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88" tabRatio="822" activeTab="5"/>
  </bookViews>
  <sheets>
    <sheet name="Export_Tari" sheetId="1" r:id="rId1"/>
    <sheet name="Import_Tari" sheetId="2" r:id="rId2"/>
    <sheet name="Balanta Comerciala_Tari" sheetId="3" r:id="rId3"/>
    <sheet name="Export_Grupe_Marfuri_CSCI" sheetId="4" r:id="rId4"/>
    <sheet name="Import_Grupe_Marfuri_CSCI" sheetId="5" r:id="rId5"/>
    <sheet name="Balanta_Comerciala_Gr_Marf_CSCI" sheetId="6" r:id="rId6"/>
  </sheets>
  <definedNames>
    <definedName name="_xlnm.Print_Titles" localSheetId="2">'Balanta Comerciala_Tari'!$3:$4</definedName>
    <definedName name="_xlnm.Print_Titles" localSheetId="5">'Balanta_Comerciala_Gr_Marf_CSCI'!$4:$5</definedName>
    <definedName name="_xlnm.Print_Titles" localSheetId="3">'Export_Grupe_Marfuri_CSCI'!$4:$6</definedName>
    <definedName name="_xlnm.Print_Titles" localSheetId="0">'Export_Tari'!$3:$5</definedName>
    <definedName name="_xlnm.Print_Titles" localSheetId="4">'Import_Grupe_Marfuri_CSCI'!$4:$6</definedName>
    <definedName name="_xlnm.Print_Titles" localSheetId="1">'Import_Tari'!$3:$5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<sst xmlns="http://schemas.openxmlformats.org/spreadsheetml/2006/main" count="400" uniqueCount="176">
  <si>
    <t>Structura, %</t>
  </si>
  <si>
    <t>Gradul de influenţă a ţărilor, grupelor de ţări  la creşterea (+),  scăderea (-) exporturilor, %</t>
  </si>
  <si>
    <t>mil. dolari SUA</t>
  </si>
  <si>
    <t>2015¹</t>
  </si>
  <si>
    <t>2016¹</t>
  </si>
  <si>
    <t xml:space="preserve">      din care:</t>
  </si>
  <si>
    <t>Ţările Uniunii Europene (UE-28)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</si>
  <si>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</si>
  <si>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</si>
  <si>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</si>
  <si>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</si>
  <si>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</si>
  <si>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</si>
  <si>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</si>
  <si>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</si>
  <si>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</si>
  <si>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de 1,8 ori</t>
  </si>
  <si>
    <t>de 3,5 ori</t>
  </si>
  <si>
    <t>de 4,1 ori</t>
  </si>
  <si>
    <t>Ţările CSI</t>
  </si>
  <si>
    <t>Federaţia Rusă</t>
  </si>
  <si>
    <t>Belarus</t>
  </si>
  <si>
    <t>Ucraina</t>
  </si>
  <si>
    <t>Kazahstan</t>
  </si>
  <si>
    <t>Azerbaidjan</t>
  </si>
  <si>
    <t>Uzbekistan</t>
  </si>
  <si>
    <t>Kîrgîzstan</t>
  </si>
  <si>
    <t>Turkmenistan</t>
  </si>
  <si>
    <t>Armenia</t>
  </si>
  <si>
    <t>Tadjikistan</t>
  </si>
  <si>
    <t>Celelalte ţări ale lumii</t>
  </si>
  <si>
    <t>Statele Unite ale Americii</t>
  </si>
  <si>
    <t>de 2,3 ori</t>
  </si>
  <si>
    <t>de 2,7 ori</t>
  </si>
  <si>
    <t>de 2,0 ori</t>
  </si>
  <si>
    <t>¹ În preţuri curente</t>
  </si>
  <si>
    <t>Anexa 1. Exporturile structurate pe principalele ţări de destinaţie a mărfurilor şi grupe de ţări</t>
  </si>
  <si>
    <t xml:space="preserve">IMPORT – total      </t>
  </si>
  <si>
    <t>Anexa 2. Importurile structurate pe principalele ţări de origine a mărfurilor şi grupe de ţări</t>
  </si>
  <si>
    <t xml:space="preserve">EXPORT – total      </t>
  </si>
  <si>
    <t xml:space="preserve">  din care:</t>
  </si>
  <si>
    <t>x</t>
  </si>
  <si>
    <t>Anexa 3. Balanţa comercială structurată pe principalele ţări şi grupe de ţări</t>
  </si>
  <si>
    <t>Balanţa comercială – total, mil. dolari SUA</t>
  </si>
  <si>
    <t>Regatul Unit al Marii Britanii și Irlandei de Nord</t>
  </si>
  <si>
    <t>Franța</t>
  </si>
  <si>
    <t>de 3,8 ori</t>
  </si>
  <si>
    <t>de 3,2 ori</t>
  </si>
  <si>
    <t>de 1,9 ori</t>
  </si>
  <si>
    <t>conform Clasificării Standard de Comerţ Internaţional</t>
  </si>
  <si>
    <t>Produse alimentare şi animale vii</t>
  </si>
  <si>
    <t>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</si>
  <si>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</si>
  <si>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</si>
  <si>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</si>
  <si>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</si>
  <si>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</si>
  <si>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</si>
  <si>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</si>
  <si>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</si>
  <si>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</si>
  <si>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Băuturi şi tutun</t>
  </si>
  <si>
    <t>Băuturi (alcoolice şi nealcoolice)</t>
  </si>
  <si>
    <t>Tutun brut şi prelucrat</t>
  </si>
  <si>
    <t>Materiale brute necomestibile, exclusiv combustibili</t>
  </si>
  <si>
    <t>Piei crude, piei tăbăcite şi blănuri brute</t>
  </si>
  <si>
    <t>Seminţe şi fructe oleaginoase</t>
  </si>
  <si>
    <t>Cauciuc brut (inclusiv cauciuc sintetic şi regenerat)</t>
  </si>
  <si>
    <t>Lemn şi plută</t>
  </si>
  <si>
    <t>Pastă de hîrtie şi deşeuri de hîrtie</t>
  </si>
  <si>
    <t>Fibre textile (cu excepţia lînii în fuior şi a lînii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</si>
  <si>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</si>
  <si>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</si>
  <si>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</si>
  <si>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</si>
  <si>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Cărbune, cocs şi brichete</t>
  </si>
  <si>
    <t>Petrol, produse petroliere şi produse înrudite</t>
  </si>
  <si>
    <t>Gaz şi produse industriale obţinute din gaz</t>
  </si>
  <si>
    <t>Energie electrică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</si>
  <si>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</si>
  <si>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</si>
  <si>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</si>
  <si>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Alte uleiuri şi grăsimi animale sau vegetale prelucrate; ceară de origine animală sau vegetală</t>
  </si>
  <si>
    <t>Produse chimice şi produse derivate nespecificate în altă parte</t>
  </si>
  <si>
    <t>Produse chimice organice</t>
  </si>
  <si>
    <t>Produse chimice anorganice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</si>
  <si>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</si>
  <si>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</si>
  <si>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</si>
  <si>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</si>
  <si>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Materiale plastice sub forme primare</t>
  </si>
  <si>
    <t>Materiale plastice prelucrate</t>
  </si>
  <si>
    <t>Alte materiale şi produse chimice</t>
  </si>
  <si>
    <t>Mărfuri manufacturate, clasificate mai ales după materia primă</t>
  </si>
  <si>
    <t>Piele, altă piele şi blană prelucrate</t>
  </si>
  <si>
    <t>Cauciuc prelucrat</t>
  </si>
  <si>
    <t>Articole din lemn (exclusiv mobilă)</t>
  </si>
  <si>
    <t>Hîrtie, carton şi articole din pastă de celuloză, din hîrtie sau din carton</t>
  </si>
  <si>
    <t>Fire, ţesături, articole textile necuprinse în altă parte şi produse conexe</t>
  </si>
  <si>
    <t>Articole din minerale nemetalice</t>
  </si>
  <si>
    <t>Fier şi oţel</t>
  </si>
  <si>
    <t>Metale neferoase</t>
  </si>
  <si>
    <t>Articole prelucrate din metal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</si>
  <si>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</si>
  <si>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</si>
  <si>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</si>
  <si>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</si>
  <si>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</si>
  <si>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</si>
  <si>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</si>
  <si>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</si>
  <si>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</si>
  <si>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Alte echipamente de transport</t>
  </si>
  <si>
    <t>Articole manufacturate diverse</t>
  </si>
  <si>
    <t>Construcţii prefabricate; alte instalaţii şi accesorii pentru instalaţii sanitare, de încălzire şi de iluminat</t>
  </si>
  <si>
    <t>Mobilă şi părţile ei</t>
  </si>
  <si>
    <t>Articole de voiaj; sacoşe şi similare</t>
  </si>
  <si>
    <t>Îmbrăcăminte şi accesorii</t>
  </si>
  <si>
    <t>Încălţăminte</t>
  </si>
  <si>
    <t>Instrumente şi aparate, profesionale, ştiinţifice şi de control</t>
  </si>
  <si>
    <t>Aparate fotografice, echipamente şi furnituri de optică; ceasuri şi orologii</t>
  </si>
  <si>
    <t>Alte articole diverse</t>
  </si>
  <si>
    <t>Gradul de influenţă a grupelor de mărfuri la creşterea (+),  scăderea (-)  exporturilor, %</t>
  </si>
  <si>
    <t>mil. dolari  SUA</t>
  </si>
  <si>
    <t>Export - total</t>
  </si>
  <si>
    <t xml:space="preserve">       din care:</t>
  </si>
  <si>
    <t>Instrumente şi aparate profesionale, ştiinţifice şi de control</t>
  </si>
  <si>
    <t xml:space="preserve">Import - total </t>
  </si>
  <si>
    <t xml:space="preserve">    din care:</t>
  </si>
  <si>
    <t xml:space="preserve">Grăsimi şi uleiuri vegetale fixate, brute, rafinate sau fracţionate </t>
  </si>
  <si>
    <t>Alte uleiuri si grasimi animale sau vegetale prelucrate</t>
  </si>
  <si>
    <t>Maşini generatoare de putere şi echipamentele lor</t>
  </si>
  <si>
    <t>Coreea de Sud</t>
  </si>
  <si>
    <t xml:space="preserve">Anexa 4. Exporturile structurate pe grupe de mărfuri, </t>
  </si>
  <si>
    <t xml:space="preserve">Anexa 5. Importurile structurate pe grupe de mărfuri, </t>
  </si>
  <si>
    <r>
      <t xml:space="preserve"> </t>
    </r>
    <r>
      <rPr>
        <b/>
        <sz val="9"/>
        <color indexed="8"/>
        <rFont val="Times New Roman"/>
        <family val="1"/>
      </rPr>
      <t>¹ În preţuri curente</t>
    </r>
  </si>
  <si>
    <t xml:space="preserve">Anexa 6. Balanţa comercială structurată pe grupe de mărfuri, </t>
  </si>
  <si>
    <t>Gradul de influenţă a grupelor de mărfuri la creşterea (+),  scăderea (-)  importurilor, %</t>
  </si>
  <si>
    <t>Arabia Saudită</t>
  </si>
  <si>
    <t>de 2,6 ori</t>
  </si>
  <si>
    <t>de 3,4 ori</t>
  </si>
  <si>
    <t>de 9,5 ori</t>
  </si>
  <si>
    <t>de 4,0 ori</t>
  </si>
  <si>
    <t>Ianuarie-octombrie 2016</t>
  </si>
  <si>
    <t>în % faţă de ianuarie-octombrie 2015¹</t>
  </si>
  <si>
    <t>ianuarie-octombrie</t>
  </si>
  <si>
    <t>Ianuarie-octombrie</t>
  </si>
  <si>
    <t>Ianuarie-octombrie 2016 în % faţă de              ianuarie-octombrie 2015</t>
  </si>
  <si>
    <t>Ianuarie-octombrie 2016 în % faţă de               ianuarie-octombrie 2015</t>
  </si>
  <si>
    <t>Croaţia</t>
  </si>
  <si>
    <t>Elveţia</t>
  </si>
  <si>
    <t>Bosnia şi Herţegovina</t>
  </si>
  <si>
    <t>Regatul Unit al Marii Britanii şi Irlandei de Nord</t>
  </si>
  <si>
    <t>Hong Kong, RAS a Chinei</t>
  </si>
  <si>
    <t>Africa de Sud</t>
  </si>
  <si>
    <t>de 1,7 ori</t>
  </si>
  <si>
    <t>de 8,6 ori</t>
  </si>
  <si>
    <t>de 2,4 ori</t>
  </si>
  <si>
    <t>de 3,7 ori</t>
  </si>
  <si>
    <t>de 7,7 ori</t>
  </si>
  <si>
    <t>de 4,5 ori</t>
  </si>
  <si>
    <t>de 6,5 ori</t>
  </si>
  <si>
    <t>de 11,0 ori</t>
  </si>
  <si>
    <t>de 38,5 ori</t>
  </si>
  <si>
    <t>de 2,5 ori</t>
  </si>
  <si>
    <t>Franţa</t>
  </si>
  <si>
    <t>de 8,0 ori</t>
  </si>
  <si>
    <t>de 10,0 ori</t>
  </si>
  <si>
    <t>de 49,7 ori</t>
  </si>
  <si>
    <t>de 9,8 ori</t>
  </si>
  <si>
    <t>de 7,8 ori</t>
  </si>
  <si>
    <t>de 7,9 ori</t>
  </si>
  <si>
    <t>de 4,9 ori</t>
  </si>
  <si>
    <t>de 2,9 ori</t>
  </si>
  <si>
    <t>Taiwan, provincie a Chinei</t>
  </si>
  <si>
    <t>Gradul de influenţă a ţărilor, grupelor de ţări  la creşterea (+),  scăderea (-) importurilor, 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</si>
</sst>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57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C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horizontal="justify"/>
    </xf>
    <xf numFmtId="0" fontId="5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3" fillId="0" borderId="0" xfId="0" applyFont="1" applyAlignment="1">
      <alignment horizontal="justify"/>
    </xf>
    <xf numFmtId="0" fontId="9" fillId="0" borderId="0" xfId="0" applyFont="1" applyBorder="1" applyAlignment="1">
      <alignment vertical="top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/>
    </xf>
    <xf numFmtId="38" fontId="11" fillId="0" borderId="0" xfId="0" applyNumberFormat="1" applyFont="1" applyFill="1" applyAlignment="1" applyProtection="1">
      <alignment horizontal="left" wrapText="1"/>
      <protection/>
    </xf>
    <xf numFmtId="165" fontId="14" fillId="0" borderId="0" xfId="0" applyNumberFormat="1" applyFont="1" applyFill="1" applyAlignment="1" applyProtection="1">
      <alignment horizontal="right"/>
      <protection/>
    </xf>
    <xf numFmtId="165" fontId="11" fillId="0" borderId="0" xfId="0" applyNumberFormat="1" applyFont="1" applyFill="1" applyAlignment="1" applyProtection="1">
      <alignment horizontal="right"/>
      <protection/>
    </xf>
    <xf numFmtId="38" fontId="11" fillId="0" borderId="0" xfId="0" applyNumberFormat="1" applyFont="1" applyFill="1" applyBorder="1" applyAlignment="1" applyProtection="1">
      <alignment horizontal="left" wrapText="1"/>
      <protection/>
    </xf>
    <xf numFmtId="38" fontId="11" fillId="0" borderId="13" xfId="0" applyNumberFormat="1" applyFont="1" applyFill="1" applyBorder="1" applyAlignment="1" applyProtection="1">
      <alignment horizontal="left" wrapText="1"/>
      <protection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horizontal="left" vertical="top" wrapText="1"/>
    </xf>
    <xf numFmtId="0" fontId="56" fillId="0" borderId="0" xfId="0" applyFont="1" applyAlignment="1">
      <alignment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7" fillId="0" borderId="0" xfId="0" applyFont="1" applyAlignment="1">
      <alignment/>
    </xf>
    <xf numFmtId="4" fontId="11" fillId="0" borderId="0" xfId="0" applyNumberFormat="1" applyFont="1" applyFill="1" applyAlignment="1" applyProtection="1">
      <alignment horizontal="right"/>
      <protection/>
    </xf>
    <xf numFmtId="38" fontId="11" fillId="0" borderId="0" xfId="0" applyNumberFormat="1" applyFont="1" applyFill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top" wrapText="1"/>
    </xf>
    <xf numFmtId="49" fontId="16" fillId="0" borderId="0" xfId="0" applyNumberFormat="1" applyFont="1" applyAlignment="1">
      <alignment horizontal="left" vertical="top" wrapText="1"/>
    </xf>
    <xf numFmtId="165" fontId="15" fillId="0" borderId="14" xfId="0" applyNumberFormat="1" applyFont="1" applyFill="1" applyBorder="1" applyAlignment="1" applyProtection="1">
      <alignment horizontal="right" vertical="top" wrapText="1" indent="1"/>
      <protection/>
    </xf>
    <xf numFmtId="164" fontId="15" fillId="0" borderId="14" xfId="0" applyNumberFormat="1" applyFont="1" applyFill="1" applyBorder="1" applyAlignment="1" applyProtection="1">
      <alignment horizontal="right" vertical="top" wrapText="1" indent="1"/>
      <protection/>
    </xf>
    <xf numFmtId="0" fontId="4" fillId="0" borderId="0" xfId="0" applyFont="1" applyBorder="1" applyAlignment="1">
      <alignment horizontal="right" vertical="top" wrapText="1" indent="1"/>
    </xf>
    <xf numFmtId="0" fontId="5" fillId="0" borderId="0" xfId="0" applyFont="1" applyBorder="1" applyAlignment="1">
      <alignment horizontal="right" vertical="top" wrapText="1" indent="1"/>
    </xf>
    <xf numFmtId="0" fontId="5" fillId="0" borderId="0" xfId="0" applyFont="1" applyAlignment="1">
      <alignment horizontal="right" vertical="top" wrapText="1" indent="1"/>
    </xf>
    <xf numFmtId="164" fontId="5" fillId="0" borderId="0" xfId="0" applyNumberFormat="1" applyFont="1" applyAlignment="1">
      <alignment horizontal="right" vertical="top" wrapText="1" indent="1"/>
    </xf>
    <xf numFmtId="165" fontId="14" fillId="0" borderId="0" xfId="0" applyNumberFormat="1" applyFont="1" applyFill="1" applyAlignment="1" applyProtection="1">
      <alignment horizontal="right" vertical="top" wrapText="1" indent="1"/>
      <protection/>
    </xf>
    <xf numFmtId="164" fontId="14" fillId="0" borderId="0" xfId="0" applyNumberFormat="1" applyFont="1" applyFill="1" applyAlignment="1" applyProtection="1">
      <alignment horizontal="right" vertical="top" wrapText="1" indent="1"/>
      <protection/>
    </xf>
    <xf numFmtId="165" fontId="11" fillId="0" borderId="0" xfId="0" applyNumberFormat="1" applyFont="1" applyFill="1" applyAlignment="1" applyProtection="1">
      <alignment horizontal="right" vertical="top" wrapText="1" indent="1"/>
      <protection/>
    </xf>
    <xf numFmtId="164" fontId="11" fillId="0" borderId="0" xfId="0" applyNumberFormat="1" applyFont="1" applyFill="1" applyAlignment="1" applyProtection="1">
      <alignment horizontal="right" vertical="top" wrapText="1" indent="1"/>
      <protection/>
    </xf>
    <xf numFmtId="38" fontId="11" fillId="0" borderId="0" xfId="0" applyNumberFormat="1" applyFont="1" applyFill="1" applyBorder="1" applyAlignment="1" applyProtection="1">
      <alignment horizontal="left" vertical="top" wrapText="1"/>
      <protection/>
    </xf>
    <xf numFmtId="38" fontId="11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right" vertical="top" wrapText="1" indent="1"/>
    </xf>
    <xf numFmtId="0" fontId="5" fillId="0" borderId="0" xfId="0" applyFont="1" applyAlignment="1">
      <alignment horizontal="right" vertical="top" wrapText="1" indent="1"/>
    </xf>
    <xf numFmtId="165" fontId="5" fillId="0" borderId="0" xfId="0" applyNumberFormat="1" applyFont="1" applyAlignment="1">
      <alignment horizontal="right" vertical="top" wrapText="1" indent="1"/>
    </xf>
    <xf numFmtId="165" fontId="11" fillId="0" borderId="0" xfId="0" applyNumberFormat="1" applyFont="1" applyFill="1" applyBorder="1" applyAlignment="1" applyProtection="1">
      <alignment horizontal="right" vertical="top" wrapText="1" indent="1"/>
      <protection/>
    </xf>
    <xf numFmtId="164" fontId="11" fillId="0" borderId="0" xfId="0" applyNumberFormat="1" applyFont="1" applyFill="1" applyBorder="1" applyAlignment="1" applyProtection="1">
      <alignment horizontal="right" vertical="top" wrapText="1" indent="1"/>
      <protection/>
    </xf>
    <xf numFmtId="165" fontId="11" fillId="0" borderId="13" xfId="0" applyNumberFormat="1" applyFont="1" applyFill="1" applyBorder="1" applyAlignment="1" applyProtection="1">
      <alignment horizontal="right" vertical="top" wrapText="1" indent="1"/>
      <protection/>
    </xf>
    <xf numFmtId="164" fontId="11" fillId="0" borderId="13" xfId="0" applyNumberFormat="1" applyFont="1" applyFill="1" applyBorder="1" applyAlignment="1" applyProtection="1">
      <alignment horizontal="right" vertical="top" wrapText="1" indent="1"/>
      <protection/>
    </xf>
    <xf numFmtId="164" fontId="5" fillId="0" borderId="0" xfId="0" applyNumberFormat="1" applyFont="1" applyAlignment="1">
      <alignment horizontal="right" vertical="top" wrapText="1" indent="1"/>
    </xf>
    <xf numFmtId="165" fontId="5" fillId="0" borderId="0" xfId="0" applyNumberFormat="1" applyFont="1" applyAlignment="1">
      <alignment horizontal="right" vertical="top" wrapText="1" indent="1"/>
    </xf>
    <xf numFmtId="0" fontId="0" fillId="0" borderId="0" xfId="0" applyAlignment="1">
      <alignment horizontal="right" vertical="top" wrapText="1" indent="1"/>
    </xf>
    <xf numFmtId="165" fontId="14" fillId="0" borderId="0" xfId="0" applyNumberFormat="1" applyFont="1" applyFill="1" applyBorder="1" applyAlignment="1" applyProtection="1">
      <alignment horizontal="right" vertical="top" wrapText="1" indent="1"/>
      <protection/>
    </xf>
    <xf numFmtId="165" fontId="15" fillId="0" borderId="14" xfId="0" applyNumberFormat="1" applyFont="1" applyFill="1" applyBorder="1" applyAlignment="1" applyProtection="1">
      <alignment horizontal="right" vertical="top" indent="1"/>
      <protection/>
    </xf>
    <xf numFmtId="165" fontId="14" fillId="0" borderId="0" xfId="0" applyNumberFormat="1" applyFont="1" applyFill="1" applyAlignment="1" applyProtection="1">
      <alignment horizontal="right" vertical="top" indent="1"/>
      <protection/>
    </xf>
    <xf numFmtId="165" fontId="11" fillId="0" borderId="0" xfId="0" applyNumberFormat="1" applyFont="1" applyFill="1" applyAlignment="1" applyProtection="1">
      <alignment horizontal="right" vertical="top" indent="1"/>
      <protection/>
    </xf>
    <xf numFmtId="165" fontId="53" fillId="0" borderId="0" xfId="0" applyNumberFormat="1" applyFont="1" applyFill="1" applyAlignment="1" applyProtection="1">
      <alignment horizontal="right" vertical="top" indent="1"/>
      <protection/>
    </xf>
    <xf numFmtId="165" fontId="11" fillId="0" borderId="13" xfId="0" applyNumberFormat="1" applyFont="1" applyFill="1" applyBorder="1" applyAlignment="1" applyProtection="1">
      <alignment horizontal="right" vertical="top" indent="1"/>
      <protection/>
    </xf>
    <xf numFmtId="164" fontId="4" fillId="0" borderId="0" xfId="0" applyNumberFormat="1" applyFont="1" applyAlignment="1">
      <alignment horizontal="right" vertical="top" wrapText="1" indent="1"/>
    </xf>
    <xf numFmtId="164" fontId="14" fillId="0" borderId="0" xfId="0" applyNumberFormat="1" applyFont="1" applyFill="1" applyBorder="1" applyAlignment="1" applyProtection="1">
      <alignment horizontal="right" vertical="top" indent="1"/>
      <protection/>
    </xf>
    <xf numFmtId="164" fontId="11" fillId="0" borderId="0" xfId="0" applyNumberFormat="1" applyFont="1" applyFill="1" applyBorder="1" applyAlignment="1" applyProtection="1">
      <alignment horizontal="right" vertical="top" indent="1"/>
      <protection/>
    </xf>
    <xf numFmtId="164" fontId="11" fillId="0" borderId="13" xfId="0" applyNumberFormat="1" applyFont="1" applyFill="1" applyBorder="1" applyAlignment="1" applyProtection="1">
      <alignment horizontal="right" vertical="top" indent="1"/>
      <protection/>
    </xf>
    <xf numFmtId="165" fontId="14" fillId="0" borderId="0" xfId="0" applyNumberFormat="1" applyFont="1" applyBorder="1" applyAlignment="1">
      <alignment horizontal="right" vertical="top" indent="1"/>
    </xf>
    <xf numFmtId="165" fontId="11" fillId="0" borderId="0" xfId="0" applyNumberFormat="1" applyFont="1" applyBorder="1" applyAlignment="1">
      <alignment horizontal="right" vertical="top" indent="1"/>
    </xf>
    <xf numFmtId="165" fontId="11" fillId="0" borderId="13" xfId="0" applyNumberFormat="1" applyFont="1" applyBorder="1" applyAlignment="1">
      <alignment horizontal="right" vertical="top" indent="1"/>
    </xf>
    <xf numFmtId="165" fontId="11" fillId="0" borderId="0" xfId="0" applyNumberFormat="1" applyFont="1" applyAlignment="1">
      <alignment horizontal="right" vertical="top" indent="1"/>
    </xf>
    <xf numFmtId="164" fontId="11" fillId="0" borderId="0" xfId="0" applyNumberFormat="1" applyFont="1" applyFill="1" applyAlignment="1" applyProtection="1">
      <alignment horizontal="right" vertical="top" indent="1"/>
      <protection/>
    </xf>
    <xf numFmtId="165" fontId="14" fillId="0" borderId="0" xfId="0" applyNumberFormat="1" applyFont="1" applyAlignment="1">
      <alignment horizontal="right" vertical="top" indent="1"/>
    </xf>
    <xf numFmtId="164" fontId="14" fillId="0" borderId="0" xfId="0" applyNumberFormat="1" applyFont="1" applyFill="1" applyAlignment="1" applyProtection="1">
      <alignment horizontal="right" vertical="top" indent="1"/>
      <protection/>
    </xf>
    <xf numFmtId="165" fontId="15" fillId="0" borderId="0" xfId="0" applyNumberFormat="1" applyFont="1" applyAlignment="1">
      <alignment horizontal="right" vertical="center" indent="1"/>
    </xf>
    <xf numFmtId="164" fontId="15" fillId="0" borderId="14" xfId="0" applyNumberFormat="1" applyFont="1" applyFill="1" applyBorder="1" applyAlignment="1" applyProtection="1">
      <alignment horizontal="right" indent="1"/>
      <protection/>
    </xf>
    <xf numFmtId="165" fontId="14" fillId="0" borderId="0" xfId="0" applyNumberFormat="1" applyFont="1" applyAlignment="1">
      <alignment horizontal="right" vertical="center" indent="1"/>
    </xf>
    <xf numFmtId="164" fontId="14" fillId="0" borderId="0" xfId="0" applyNumberFormat="1" applyFont="1" applyFill="1" applyAlignment="1" applyProtection="1">
      <alignment horizontal="right" indent="1"/>
      <protection/>
    </xf>
    <xf numFmtId="165" fontId="11" fillId="0" borderId="0" xfId="0" applyNumberFormat="1" applyFont="1" applyAlignment="1">
      <alignment horizontal="right" vertical="center" indent="1"/>
    </xf>
    <xf numFmtId="164" fontId="11" fillId="0" borderId="0" xfId="0" applyNumberFormat="1" applyFont="1" applyFill="1" applyAlignment="1" applyProtection="1">
      <alignment horizontal="right" indent="1"/>
      <protection/>
    </xf>
    <xf numFmtId="165" fontId="11" fillId="0" borderId="13" xfId="0" applyNumberFormat="1" applyFont="1" applyBorder="1" applyAlignment="1">
      <alignment horizontal="right" vertical="center" indent="1"/>
    </xf>
    <xf numFmtId="164" fontId="11" fillId="0" borderId="13" xfId="0" applyNumberFormat="1" applyFont="1" applyFill="1" applyBorder="1" applyAlignment="1" applyProtection="1">
      <alignment horizontal="right" indent="1"/>
      <protection/>
    </xf>
    <xf numFmtId="0" fontId="9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79"/>
  <sheetViews>
    <sheetView zoomScalePageLayoutView="0" workbookViewId="0" topLeftCell="A1">
      <selection activeCell="A1" sqref="A1:G1"/>
    </sheetView>
  </sheetViews>
  <sheetFormatPr defaultColWidth="9.00390625" defaultRowHeight="15.75"/>
  <cols>
    <col min="1" max="1" width="28.00390625" style="0" customWidth="1"/>
    <col min="2" max="2" width="10.875" style="0" customWidth="1"/>
    <col min="3" max="3" width="11.25390625" style="0" customWidth="1"/>
    <col min="4" max="4" width="9.875" style="0" customWidth="1"/>
    <col min="5" max="5" width="9.375" style="0" customWidth="1"/>
    <col min="6" max="7" width="10.00390625" style="0" customWidth="1"/>
  </cols>
  <sheetData>
    <row r="1" spans="1:7" ht="15.75">
      <c r="A1" s="90" t="s">
        <v>36</v>
      </c>
      <c r="B1" s="90"/>
      <c r="C1" s="90"/>
      <c r="D1" s="90"/>
      <c r="E1" s="90"/>
      <c r="F1" s="90"/>
      <c r="G1" s="90"/>
    </row>
    <row r="3" spans="1:7" ht="58.5" customHeight="1">
      <c r="A3" s="95"/>
      <c r="B3" s="93" t="s">
        <v>143</v>
      </c>
      <c r="C3" s="94"/>
      <c r="D3" s="93" t="s">
        <v>0</v>
      </c>
      <c r="E3" s="94"/>
      <c r="F3" s="91" t="s">
        <v>1</v>
      </c>
      <c r="G3" s="92"/>
    </row>
    <row r="4" spans="1:7" ht="27" customHeight="1">
      <c r="A4" s="96"/>
      <c r="B4" s="98" t="s">
        <v>2</v>
      </c>
      <c r="C4" s="100" t="s">
        <v>144</v>
      </c>
      <c r="D4" s="102" t="s">
        <v>145</v>
      </c>
      <c r="E4" s="102"/>
      <c r="F4" s="102" t="s">
        <v>145</v>
      </c>
      <c r="G4" s="93"/>
    </row>
    <row r="5" spans="1:7" ht="31.5" customHeight="1">
      <c r="A5" s="97"/>
      <c r="B5" s="99"/>
      <c r="C5" s="101"/>
      <c r="D5" s="12">
        <v>2015</v>
      </c>
      <c r="E5" s="12">
        <v>2016</v>
      </c>
      <c r="F5" s="12" t="s">
        <v>3</v>
      </c>
      <c r="G5" s="3" t="s">
        <v>4</v>
      </c>
    </row>
    <row r="6" spans="1:7" ht="15.75" customHeight="1">
      <c r="A6" s="16" t="s">
        <v>39</v>
      </c>
      <c r="B6" s="42">
        <f>IF(1633563.54712="","-",1633563.54712)/1000</f>
        <v>1633.56354712</v>
      </c>
      <c r="C6" s="43">
        <f>IF(1636115.84011="","-",1633563.54712/1636115.84011*100)</f>
        <v>99.84400291669884</v>
      </c>
      <c r="D6" s="43">
        <v>100</v>
      </c>
      <c r="E6" s="43">
        <v>100</v>
      </c>
      <c r="F6" s="43">
        <f>IF(1949953.70412="","-",(1636115.84011-1949953.70412)/1949953.70412*100)</f>
        <v>-16.094631546733705</v>
      </c>
      <c r="G6" s="43">
        <f>IF(1636115.84011="","-",(1633563.54712-1636115.84011)/1636115.84011*100)</f>
        <v>-0.15599708330116713</v>
      </c>
    </row>
    <row r="7" spans="1:7" ht="15">
      <c r="A7" s="17" t="s">
        <v>5</v>
      </c>
      <c r="B7" s="44"/>
      <c r="C7" s="45"/>
      <c r="D7" s="46"/>
      <c r="E7" s="46"/>
      <c r="F7" s="47"/>
      <c r="G7" s="47"/>
    </row>
    <row r="8" spans="1:7" ht="15">
      <c r="A8" s="18" t="s">
        <v>6</v>
      </c>
      <c r="B8" s="48">
        <f>IF(1046579.98873="","-",1046579.98873)/1000</f>
        <v>1046.57998873</v>
      </c>
      <c r="C8" s="49">
        <f>IF(1014703.13827="","-",1046579.98873/1014703.13827*100)</f>
        <v>103.14149520758829</v>
      </c>
      <c r="D8" s="49">
        <f>IF(1014703.13827="","-",1014703.13827/1636115.84011*100)</f>
        <v>62.01902783373695</v>
      </c>
      <c r="E8" s="49">
        <f>IF(1046579.98873="","-",1046579.98873/1633563.54712*100)</f>
        <v>64.06729573362102</v>
      </c>
      <c r="F8" s="49">
        <f>IF(1949953.70412="","-",(1014703.13827-1018124.57173)/1949953.70412*100)</f>
        <v>-0.1754622918877984</v>
      </c>
      <c r="G8" s="49">
        <f>IF(1636115.84011="","-",(1046579.98873-1014703.13827)/1636115.84011*100)</f>
        <v>1.9483247871896914</v>
      </c>
    </row>
    <row r="9" spans="1:7" s="24" customFormat="1" ht="15">
      <c r="A9" s="35" t="s">
        <v>7</v>
      </c>
      <c r="B9" s="50">
        <f>IF(409165.57018="","-",409165.57018)/1000</f>
        <v>409.16557018</v>
      </c>
      <c r="C9" s="51">
        <f>IF(OR(376464.08724="",409165.57018=""),"-",409165.57018/376464.08724*100)</f>
        <v>108.6864814064329</v>
      </c>
      <c r="D9" s="51">
        <f>IF(376464.08724="","-",376464.08724/1636115.84011*100)</f>
        <v>23.009623035902486</v>
      </c>
      <c r="E9" s="51">
        <f>IF(409165.57018="","-",409165.57018/1633563.54712*100)</f>
        <v>25.047422911790957</v>
      </c>
      <c r="F9" s="51">
        <f>IF(OR(1949953.70412="",358577.94359="",376464.08724=""),"-",(376464.08724-358577.94359)/1949953.70412*100)</f>
        <v>0.9172599130024951</v>
      </c>
      <c r="G9" s="51">
        <f>IF(OR(1636115.84011="",409165.57018="",376464.08724=""),"-",(409165.57018-376464.08724)/1636115.84011*100)</f>
        <v>1.998726626703972</v>
      </c>
    </row>
    <row r="10" spans="1:7" s="31" customFormat="1" ht="15">
      <c r="A10" s="35" t="s">
        <v>8</v>
      </c>
      <c r="B10" s="50">
        <f>IF(161452.00157="","-",161452.00157)/1000</f>
        <v>161.45200157</v>
      </c>
      <c r="C10" s="51">
        <f>IF(OR(168652.598="",161452.00157=""),"-",161452.00157/168652.598*100)</f>
        <v>95.73051555956464</v>
      </c>
      <c r="D10" s="51">
        <f>IF(168652.598="","-",168652.598/1636115.84011*100)</f>
        <v>10.308108623204888</v>
      </c>
      <c r="E10" s="51">
        <f>IF(161452.00157="","-",161452.00157/1633563.54712*100)</f>
        <v>9.883423381639641</v>
      </c>
      <c r="F10" s="51">
        <f>IF(OR(1949953.70412="",202578.00514="",168652.598=""),"-",(168652.598-202578.00514)/1949953.70412*100)</f>
        <v>-1.7398057742765891</v>
      </c>
      <c r="G10" s="51">
        <f>IF(OR(1636115.84011="",161452.00157="",168652.598=""),"-",(161452.00157-168652.598)/1636115.84011*100)</f>
        <v>-0.4401030937709088</v>
      </c>
    </row>
    <row r="11" spans="1:7" s="24" customFormat="1" ht="15">
      <c r="A11" s="35" t="s">
        <v>9</v>
      </c>
      <c r="B11" s="50">
        <f>IF(102245.55462="","-",102245.55462)/1000</f>
        <v>102.24555462</v>
      </c>
      <c r="C11" s="51">
        <f>IF(OR(97331.23025="",102245.55462=""),"-",102245.55462/97331.23025*100)</f>
        <v>105.04907248924864</v>
      </c>
      <c r="D11" s="51">
        <f>IF(97331.23025="","-",97331.23025/1636115.84011*100)</f>
        <v>5.948920477626827</v>
      </c>
      <c r="E11" s="51">
        <f>IF(102245.55462="","-",102245.55462/1633563.54712*100)</f>
        <v>6.259049719875338</v>
      </c>
      <c r="F11" s="51">
        <f>IF(OR(1949953.70412="",114863.68548="",97331.23025=""),"-",(97331.23025-114863.68548)/1949953.70412*100)</f>
        <v>-0.8991216146801946</v>
      </c>
      <c r="G11" s="51">
        <f>IF(OR(1636115.84011="",102245.55462="",97331.23025=""),"-",(102245.55462-97331.23025)/1636115.84011*100)</f>
        <v>0.30036530724313504</v>
      </c>
    </row>
    <row r="12" spans="1:7" s="31" customFormat="1" ht="24.75" customHeight="1">
      <c r="A12" s="35" t="s">
        <v>44</v>
      </c>
      <c r="B12" s="50">
        <f>IF(98659.956="","-",98659.956)/1000</f>
        <v>98.65995600000001</v>
      </c>
      <c r="C12" s="51">
        <f>IF(OR(120796.61732="",98659.956=""),"-",98659.956/120796.61732*100)</f>
        <v>81.67443608014436</v>
      </c>
      <c r="D12" s="51">
        <f>IF(120796.61732="","-",120796.61732/1636115.84011*100)</f>
        <v>7.3831335385077965</v>
      </c>
      <c r="E12" s="51">
        <f>IF(98659.956="","-",98659.956/1633563.54712*100)</f>
        <v>6.039554211033857</v>
      </c>
      <c r="F12" s="51">
        <f>IF(OR(1949953.70412="",86942.08272="",120796.61732=""),"-",(120796.61732-86942.08272)/1949953.70412*100)</f>
        <v>1.7361711987556292</v>
      </c>
      <c r="G12" s="51">
        <f>IF(OR(1636115.84011="",98659.956="",120796.61732=""),"-",(98659.956-120796.61732)/1636115.84011*100)</f>
        <v>-1.353000855887545</v>
      </c>
    </row>
    <row r="13" spans="1:7" s="24" customFormat="1" ht="15">
      <c r="A13" s="35" t="s">
        <v>10</v>
      </c>
      <c r="B13" s="50">
        <f>IF(57557.28564="","-",57557.28564)/1000</f>
        <v>57.55728564</v>
      </c>
      <c r="C13" s="51">
        <f>IF(OR(54567.80061="",57557.28564=""),"-",57557.28564/54567.80061*100)</f>
        <v>105.47847814385275</v>
      </c>
      <c r="D13" s="51">
        <f>IF(54567.80061="","-",54567.80061/1636115.84011*100)</f>
        <v>3.335203979586878</v>
      </c>
      <c r="E13" s="51">
        <f>IF(57557.28564="","-",57557.28564/1633563.54712*100)</f>
        <v>3.5234188312707184</v>
      </c>
      <c r="F13" s="51">
        <f>IF(OR(1949953.70412="",53123.07792="",54567.80061=""),"-",(54567.80061-53123.07792)/1949953.70412*100)</f>
        <v>0.07409010208537171</v>
      </c>
      <c r="G13" s="51">
        <f>IF(OR(1636115.84011="",57557.28564="",54567.80061=""),"-",(57557.28564-54567.80061)/1636115.84011*100)</f>
        <v>0.18271842107457462</v>
      </c>
    </row>
    <row r="14" spans="1:7" s="24" customFormat="1" ht="15">
      <c r="A14" s="35" t="s">
        <v>11</v>
      </c>
      <c r="B14" s="50">
        <f>IF(53232.64884="","-",53232.64884)/1000</f>
        <v>53.23264884</v>
      </c>
      <c r="C14" s="51" t="s">
        <v>32</v>
      </c>
      <c r="D14" s="51">
        <f>IF(22676.79985="","-",22676.79985/1636115.84011*100)</f>
        <v>1.3860143208732325</v>
      </c>
      <c r="E14" s="51">
        <f>IF(53232.64884="","-",53232.64884/1633563.54712*100)</f>
        <v>3.2586824634921645</v>
      </c>
      <c r="F14" s="51">
        <f>IF(OR(1949953.70412="",32362.53839="",22676.79985=""),"-",(22676.79985-32362.53839)/1949953.70412*100)</f>
        <v>-0.49671633329218484</v>
      </c>
      <c r="G14" s="51">
        <f>IF(OR(1636115.84011="",53232.64884="",22676.79985=""),"-",(53232.64884-22676.79985)/1636115.84011*100)</f>
        <v>1.8675846930218378</v>
      </c>
    </row>
    <row r="15" spans="1:7" ht="15">
      <c r="A15" s="35" t="s">
        <v>45</v>
      </c>
      <c r="B15" s="50">
        <f>IF(32059.31231="","-",32059.31231)/1000</f>
        <v>32.05931231</v>
      </c>
      <c r="C15" s="51">
        <f>IF(OR(30791.15093="",32059.31231=""),"-",32059.31231/30791.15093*100)</f>
        <v>104.11859037969387</v>
      </c>
      <c r="D15" s="51">
        <f>IF(30791.15093="","-",30791.15093/1636115.84011*100)</f>
        <v>1.8819664338638662</v>
      </c>
      <c r="E15" s="51">
        <f>IF(32059.31231="","-",32059.31231/1633563.54712*100)</f>
        <v>1.962538425059809</v>
      </c>
      <c r="F15" s="51">
        <f>IF(OR(1949953.70412="",24616.10308="",30791.15093=""),"-",(30791.15093-24616.10308)/1949953.70412*100)</f>
        <v>0.3166766388839346</v>
      </c>
      <c r="G15" s="51">
        <f>IF(OR(1636115.84011="",32059.31231="",30791.15093=""),"-",(32059.31231-30791.15093)/1636115.84011*100)</f>
        <v>0.0775104884941851</v>
      </c>
    </row>
    <row r="16" spans="1:7" ht="15">
      <c r="A16" s="35" t="s">
        <v>12</v>
      </c>
      <c r="B16" s="50">
        <f>IF(24011.74072="","-",24011.74072)/1000</f>
        <v>24.011740720000002</v>
      </c>
      <c r="C16" s="51">
        <f>IF(OR(23109.27666="",24011.74072=""),"-",24011.74072/23109.27666*100)</f>
        <v>103.90520254388613</v>
      </c>
      <c r="D16" s="51">
        <f>IF(23109.27666="","-",23109.27666/1636115.84011*100)</f>
        <v>1.4124474620602847</v>
      </c>
      <c r="E16" s="51">
        <f>IF(24011.74072="","-",24011.74072/1633563.54712*100)</f>
        <v>1.4698993964656657</v>
      </c>
      <c r="F16" s="51">
        <f>IF(OR(1949953.70412="",24252.34831="",23109.27666=""),"-",(23109.27666-24252.34831)/1949953.70412*100)</f>
        <v>-0.058620450710436825</v>
      </c>
      <c r="G16" s="51">
        <f>IF(OR(1636115.84011="",24011.74072="",23109.27666=""),"-",(24011.74072-23109.27666)/1636115.84011*100)</f>
        <v>0.05515893421943322</v>
      </c>
    </row>
    <row r="17" spans="1:7" ht="15">
      <c r="A17" s="35" t="s">
        <v>15</v>
      </c>
      <c r="B17" s="50">
        <f>IF(21859.36771="","-",21859.36771)/1000</f>
        <v>21.859367709999997</v>
      </c>
      <c r="C17" s="51">
        <f>IF(OR(20576.16877="",21859.36771=""),"-",21859.36771/20576.16877*100)</f>
        <v>106.23633560913876</v>
      </c>
      <c r="D17" s="51">
        <f>IF(20576.16877="","-",20576.16877/1636115.84011*100)</f>
        <v>1.257622979104989</v>
      </c>
      <c r="E17" s="51">
        <f>IF(21859.36771="","-",21859.36771/1633563.54712*100)</f>
        <v>1.3381400281940932</v>
      </c>
      <c r="F17" s="51">
        <f>IF(OR(1949953.70412="",16284.43733="",20576.16877=""),"-",(20576.16877-16284.43733)/1949953.70412*100)</f>
        <v>0.2200940171519009</v>
      </c>
      <c r="G17" s="51">
        <f>IF(OR(1636115.84011="",21859.36771="",20576.16877=""),"-",(21859.36771-20576.16877)/1636115.84011*100)</f>
        <v>0.07842958967463612</v>
      </c>
    </row>
    <row r="18" spans="1:7" ht="15">
      <c r="A18" s="35" t="s">
        <v>13</v>
      </c>
      <c r="B18" s="50">
        <f>IF(19765.31081="","-",19765.31081)/1000</f>
        <v>19.76531081</v>
      </c>
      <c r="C18" s="51">
        <f>IF(OR(18925.65751="",19765.31081=""),"-",19765.31081/18925.65751*100)</f>
        <v>104.43658720737359</v>
      </c>
      <c r="D18" s="51">
        <f>IF(18925.65751="","-",18925.65751/1636115.84011*100)</f>
        <v>1.1567431257634904</v>
      </c>
      <c r="E18" s="51">
        <f>IF(19765.31081="","-",19765.31081/1633563.54712*100)</f>
        <v>1.2099505308407852</v>
      </c>
      <c r="F18" s="51">
        <f>IF(OR(1949953.70412="",16783.69502="",18925.65751=""),"-",(18925.65751-16783.69502)/1949953.70412*100)</f>
        <v>0.10984683818258413</v>
      </c>
      <c r="G18" s="51">
        <f>IF(OR(1636115.84011="",19765.31081="",18925.65751=""),"-",(19765.31081-18925.65751)/1636115.84011*100)</f>
        <v>0.05131991753979634</v>
      </c>
    </row>
    <row r="19" spans="1:7" ht="15">
      <c r="A19" s="35" t="s">
        <v>14</v>
      </c>
      <c r="B19" s="50">
        <f>IF(19342.52521="","-",19342.52521)/1000</f>
        <v>19.342525209999998</v>
      </c>
      <c r="C19" s="51">
        <f>IF(OR(21048.94155="",19342.52521=""),"-",19342.52521/21048.94155*100)</f>
        <v>91.89310143720742</v>
      </c>
      <c r="D19" s="51">
        <f>IF(21048.94155="","-",21048.94155/1636115.84011*100)</f>
        <v>1.2865190247522345</v>
      </c>
      <c r="E19" s="51">
        <f>IF(19342.52521="","-",19342.52521/1633563.54712*100)</f>
        <v>1.1840693460686729</v>
      </c>
      <c r="F19" s="51">
        <f>IF(OR(1949953.70412="",21874.52405="",21048.94155=""),"-",(21048.94155-21874.52405)/1949953.70412*100)</f>
        <v>-0.04233856928272971</v>
      </c>
      <c r="G19" s="51">
        <f>IF(OR(1636115.84011="",19342.52521="",21048.94155=""),"-",(19342.52521-21048.94155)/1636115.84011*100)</f>
        <v>-0.10429679232769198</v>
      </c>
    </row>
    <row r="20" spans="1:7" ht="15">
      <c r="A20" s="39" t="str">
        <f>PROPER("SPANIA")</f>
        <v>Spania</v>
      </c>
      <c r="B20" s="50">
        <f>IF(8249.0336="","-",8249.0336)/1000</f>
        <v>8.2490336</v>
      </c>
      <c r="C20" s="51">
        <f>IF(OR(8030.08513="",8249.0336=""),"-",8249.0336/8030.08513*100)</f>
        <v>102.72660210266041</v>
      </c>
      <c r="D20" s="51">
        <f>IF(8030.08513="","-",8030.08513/1636115.84011*100)</f>
        <v>0.490801747232037</v>
      </c>
      <c r="E20" s="51">
        <f>IF(8249.0336="","-",8249.0336/1633563.54712*100)</f>
        <v>0.504971699114074</v>
      </c>
      <c r="F20" s="51">
        <f>IF(OR(1949953.70412="",8992.79874="",8030.08513=""),"-",(8030.08513-8992.79874)/1949953.70412*100)</f>
        <v>-0.04937110086080046</v>
      </c>
      <c r="G20" s="51">
        <f>IF(OR(1636115.84011="",8249.0336="",8030.08513=""),"-",(8249.0336-8030.08513)/1636115.84011*100)</f>
        <v>0.01338221075992271</v>
      </c>
    </row>
    <row r="21" spans="1:7" ht="15">
      <c r="A21" s="39" t="str">
        <f>PROPER("BELGIA")</f>
        <v>Belgia</v>
      </c>
      <c r="B21" s="50">
        <f>IF(7912.279="","-",7912.279)/1000</f>
        <v>7.912279000000001</v>
      </c>
      <c r="C21" s="51">
        <f>IF(OR(7852.46073="",7912.279=""),"-",7912.279/7852.46073*100)</f>
        <v>100.76177738490901</v>
      </c>
      <c r="D21" s="51">
        <f>IF(7852.46073="","-",7852.46073/1636115.84011*100)</f>
        <v>0.47994527878124205</v>
      </c>
      <c r="E21" s="51">
        <f>IF(7912.279="","-",7912.279/1633563.54712*100)</f>
        <v>0.4843569761304653</v>
      </c>
      <c r="F21" s="51">
        <f>IF(OR(1949953.70412="",9496.2469="",7852.46073=""),"-",(7852.46073-9496.2469)/1949953.70412*100)</f>
        <v>-0.08429872804297317</v>
      </c>
      <c r="G21" s="51">
        <f>IF(OR(1636115.84011="",7912.279="",7852.46073=""),"-",(7912.279-7852.46073)/1636115.84011*100)</f>
        <v>0.0036561145936939857</v>
      </c>
    </row>
    <row r="22" spans="1:7" ht="15">
      <c r="A22" s="39" t="str">
        <f>PROPER("UNGARIA")</f>
        <v>Ungaria</v>
      </c>
      <c r="B22" s="50">
        <f>IF(5986.43718="","-",5986.43718)/1000</f>
        <v>5.98643718</v>
      </c>
      <c r="C22" s="51" t="s">
        <v>155</v>
      </c>
      <c r="D22" s="51">
        <f>IF(3565.51772="","-",3565.51772/1636115.84011*100)</f>
        <v>0.21792575027941063</v>
      </c>
      <c r="E22" s="51">
        <f>IF(5986.43718="","-",5986.43718/1633563.54712*100)</f>
        <v>0.36646490983189417</v>
      </c>
      <c r="F22" s="51">
        <f>IF(OR(1949953.70412="",4995.68295="",3565.51772=""),"-",(3565.51772-4995.68295)/1949953.70412*100)</f>
        <v>-0.07334354795081784</v>
      </c>
      <c r="G22" s="51">
        <f>IF(OR(1636115.84011="",5986.43718="",3565.51772=""),"-",(5986.43718-3565.51772)/1636115.84011*100)</f>
        <v>0.14796748498182355</v>
      </c>
    </row>
    <row r="23" spans="1:7" ht="15">
      <c r="A23" s="39" t="str">
        <f>PROPER("SLOVACIA")</f>
        <v>Slovacia</v>
      </c>
      <c r="B23" s="50">
        <f>IF(5932.414="","-",5932.414)/1000</f>
        <v>5.932414</v>
      </c>
      <c r="C23" s="51">
        <f>IF(OR(7328.00633="",5932.414=""),"-",5932.414/7328.00633*100)</f>
        <v>80.95536129265325</v>
      </c>
      <c r="D23" s="51">
        <f>IF(7328.00633="","-",7328.00633/1636115.84011*100)</f>
        <v>0.44789043357145913</v>
      </c>
      <c r="E23" s="51">
        <f>IF(5932.414="","-",5932.414/1633563.54712*100)</f>
        <v>0.36315783432232834</v>
      </c>
      <c r="F23" s="51">
        <f>IF(OR(1949953.70412="",6569.01931="",7328.00633=""),"-",(7328.00633-6569.01931)/1949953.70412*100)</f>
        <v>0.03892333537951999</v>
      </c>
      <c r="G23" s="51">
        <f>IF(OR(1636115.84011="",5932.414="",7328.00633=""),"-",(5932.414-7328.00633)/1636115.84011*100)</f>
        <v>-0.0852991148784533</v>
      </c>
    </row>
    <row r="24" spans="1:7" ht="15">
      <c r="A24" s="39" t="str">
        <f>PROPER("LITUANIA")</f>
        <v>Lituania</v>
      </c>
      <c r="B24" s="50">
        <f>IF(5867.92629="","-",5867.92629)/1000</f>
        <v>5.867926290000001</v>
      </c>
      <c r="C24" s="51">
        <f>IF(OR(7064.42244="",5867.92629=""),"-",5867.92629/7064.42244*100)</f>
        <v>83.06307189070081</v>
      </c>
      <c r="D24" s="51">
        <f>IF(7064.42244="","-",7064.42244/1636115.84011*100)</f>
        <v>0.4317800895763617</v>
      </c>
      <c r="E24" s="51">
        <f>IF(5867.92629="","-",5867.92629/1633563.54712*100)</f>
        <v>0.35921016359267155</v>
      </c>
      <c r="F24" s="51">
        <f>IF(OR(1949953.70412="",13785.37865="",7064.42244=""),"-",(7064.42244-13785.37865)/1949953.70412*100)</f>
        <v>-0.3446726040623164</v>
      </c>
      <c r="G24" s="51">
        <f>IF(OR(1636115.84011="",5867.92629="",7064.42244=""),"-",(5867.92629-7064.42244)/1636115.84011*100)</f>
        <v>-0.07313028336181604</v>
      </c>
    </row>
    <row r="25" spans="1:7" s="31" customFormat="1" ht="15">
      <c r="A25" s="39" t="str">
        <f>PROPER("LETONIA")</f>
        <v>Letonia</v>
      </c>
      <c r="B25" s="50">
        <f>IF(4179.5393="","-",4179.5393)/1000</f>
        <v>4.1795393</v>
      </c>
      <c r="C25" s="51">
        <f>IF(OR(9586.2117="",4179.5393=""),"-",4179.5393/9586.2117*100)</f>
        <v>43.59948883665902</v>
      </c>
      <c r="D25" s="51">
        <f>IF(9586.2117="","-",9586.2117/1636115.84011*100)</f>
        <v>0.585912773716285</v>
      </c>
      <c r="E25" s="51">
        <f>IF(4179.5393="","-",4179.5393/1633563.54712*100)</f>
        <v>0.25585409930140757</v>
      </c>
      <c r="F25" s="51">
        <f>IF(OR(1949953.70412="",7874.70649="",9586.2117=""),"-",(9586.2117-7874.70649)/1949953.70412*100)</f>
        <v>0.0877715817757012</v>
      </c>
      <c r="G25" s="51">
        <f>IF(OR(1636115.84011="",4179.5393="",9586.2117=""),"-",(4179.5393-9586.2117)/1636115.84011*100)</f>
        <v>-0.33045779934729413</v>
      </c>
    </row>
    <row r="26" spans="1:7" ht="15">
      <c r="A26" s="39" t="str">
        <f>PROPER("ESTONIA")</f>
        <v>Estonia</v>
      </c>
      <c r="B26" s="50">
        <f>IF(2986.35129="","-",2986.35129)/1000</f>
        <v>2.98635129</v>
      </c>
      <c r="C26" s="51">
        <f>IF(OR(3303.70239="",2986.35129=""),"-",2986.35129/3303.70239*100)</f>
        <v>90.3940772340574</v>
      </c>
      <c r="D26" s="51">
        <f>IF(3303.70239="","-",3303.70239/1636115.84011*100)</f>
        <v>0.2019235013199239</v>
      </c>
      <c r="E26" s="51">
        <f>IF(2986.35129="","-",2986.35129/1633563.54712*100)</f>
        <v>0.18281206722964574</v>
      </c>
      <c r="F26" s="51">
        <f>IF(OR(1949953.70412="",3878.03022="",3303.70239=""),"-",(3303.70239-3878.03022)/1949953.70412*100)</f>
        <v>-0.02945340849818741</v>
      </c>
      <c r="G26" s="51">
        <f>IF(OR(1636115.84011="",2986.35129="",3303.70239=""),"-",(2986.35129-3303.70239)/1636115.84011*100)</f>
        <v>-0.019396615583078983</v>
      </c>
    </row>
    <row r="27" spans="1:7" s="31" customFormat="1" ht="15">
      <c r="A27" s="39" t="str">
        <f>PROPER("CIPRU")</f>
        <v>Cipru</v>
      </c>
      <c r="B27" s="50">
        <f>IF(2588.9365="","-",2588.9365)/1000</f>
        <v>2.5889365</v>
      </c>
      <c r="C27" s="51">
        <f>IF(OR(6896.92379="",2588.9365=""),"-",2588.9365/6896.92379*100)</f>
        <v>37.53755411584735</v>
      </c>
      <c r="D27" s="51">
        <f>IF(6896.92379="","-",6896.92379/1636115.84011*100)</f>
        <v>0.42154251067799103</v>
      </c>
      <c r="E27" s="51">
        <f>IF(2588.9365="","-",2588.9365/1633563.54712*100)</f>
        <v>0.1584839784509356</v>
      </c>
      <c r="F27" s="51">
        <f>IF(OR(1949953.70412="",5538.12586="",6896.92379=""),"-",(6896.92379-5538.12586)/1949953.70412*100)</f>
        <v>0.06968359951977503</v>
      </c>
      <c r="G27" s="51">
        <f>IF(OR(1636115.84011="",2588.9365="",6896.92379=""),"-",(2588.9365-6896.92379)/1636115.84011*100)</f>
        <v>-0.2633057626109386</v>
      </c>
    </row>
    <row r="28" spans="1:7" ht="15">
      <c r="A28" s="39" t="str">
        <f>PROPER("DANEMARCA")</f>
        <v>Danemarca</v>
      </c>
      <c r="B28" s="50">
        <f>IF(1043.40648="","-",1043.40648)/1000</f>
        <v>1.04340648</v>
      </c>
      <c r="C28" s="51">
        <f>IF(OR(2270.05021="",1043.40648=""),"-",1043.40648/2270.05021*100)</f>
        <v>45.964026496136405</v>
      </c>
      <c r="D28" s="51">
        <f>IF(2270.05021="","-",2270.05021/1636115.84011*100)</f>
        <v>0.13874630110832364</v>
      </c>
      <c r="E28" s="51">
        <f>IF(1043.40648="","-",1043.40648/1633563.54712*100)</f>
        <v>0.06387302666244868</v>
      </c>
      <c r="F28" s="51">
        <f>IF(OR(1949953.70412="",1279.48501="",2270.05021=""),"-",(2270.05021-1279.48501)/1949953.70412*100)</f>
        <v>0.050799421437907145</v>
      </c>
      <c r="G28" s="51">
        <f>IF(OR(1636115.84011="",1043.40648="",2270.05021=""),"-",(1043.40648-2270.05021)/1636115.84011*100)</f>
        <v>-0.07497291450448457</v>
      </c>
    </row>
    <row r="29" spans="1:7" ht="15">
      <c r="A29" s="39" t="str">
        <f>PROPER("FINLANDA")</f>
        <v>Finlanda</v>
      </c>
      <c r="B29" s="50">
        <f>IF(649.52027="","-",649.52027)/1000</f>
        <v>0.64952027</v>
      </c>
      <c r="C29" s="51" t="s">
        <v>156</v>
      </c>
      <c r="D29" s="51">
        <f>IF(75.81269="","-",75.81269/1636115.84011*100)</f>
        <v>0.004633699408160667</v>
      </c>
      <c r="E29" s="51">
        <f>IF(649.52027="","-",649.52027/1633563.54712*100)</f>
        <v>0.039760942948630015</v>
      </c>
      <c r="F29" s="51">
        <f>IF(OR(1949953.70412="",361.52525="",75.81269=""),"-",(75.81269-361.52525)/1949953.70412*100)</f>
        <v>-0.014652274020471687</v>
      </c>
      <c r="G29" s="51">
        <f>IF(OR(1636115.84011="",649.52027="",75.81269=""),"-",(649.52027-75.81269)/1636115.84011*100)</f>
        <v>0.03506521762917644</v>
      </c>
    </row>
    <row r="30" spans="1:7" ht="15">
      <c r="A30" s="39" t="str">
        <f>PROPER("SUEDIA")</f>
        <v>Suedia</v>
      </c>
      <c r="B30" s="50">
        <f>IF(623.86665="","-",623.86665)/1000</f>
        <v>0.6238666500000001</v>
      </c>
      <c r="C30" s="51">
        <f>IF(OR(2338.80797="",623.86665=""),"-",623.86665/2338.80797*100)</f>
        <v>26.674556355304368</v>
      </c>
      <c r="D30" s="51">
        <f>IF(2338.80797="","-",2338.80797/1636115.84011*100)</f>
        <v>0.142948800608321</v>
      </c>
      <c r="E30" s="51">
        <f>IF(623.86665="","-",623.86665/1633563.54712*100)</f>
        <v>0.038190534497411346</v>
      </c>
      <c r="F30" s="51">
        <f>IF(OR(1949953.70412="",1971.08847="",2338.80797=""),"-",(2338.80797-1971.08847)/1949953.70412*100)</f>
        <v>0.01885785796981006</v>
      </c>
      <c r="G30" s="51">
        <f>IF(OR(1636115.84011="",623.86665="",2338.80797=""),"-",(623.86665-2338.80797)/1636115.84011*100)</f>
        <v>-0.10481784223082276</v>
      </c>
    </row>
    <row r="31" spans="1:7" ht="15">
      <c r="A31" s="39" t="str">
        <f>PROPER("SLOVENIA")</f>
        <v>Slovenia</v>
      </c>
      <c r="B31" s="50">
        <f>IF(370.0448="","-",370.0448)/1000</f>
        <v>0.3700448</v>
      </c>
      <c r="C31" s="51">
        <f>IF(OR(288.98211="",370.0448=""),"-",370.0448/288.98211*100)</f>
        <v>128.05111015349706</v>
      </c>
      <c r="D31" s="51">
        <f>IF(288.98211="","-",288.98211/1636115.84011*100)</f>
        <v>0.01766269251329851</v>
      </c>
      <c r="E31" s="51">
        <f>IF(370.0448="","-",370.0448/1633563.54712*100)</f>
        <v>0.022652611259133152</v>
      </c>
      <c r="F31" s="51">
        <f>IF(OR(1949953.70412="",622.4942="",288.98211=""),"-",(288.98211-622.4942)/1949953.70412*100)</f>
        <v>-0.017103590167055358</v>
      </c>
      <c r="G31" s="51">
        <f>IF(OR(1636115.84011="",370.0448="",288.98211=""),"-",(370.0448-288.98211)/1636115.84011*100)</f>
        <v>0.004954581332978843</v>
      </c>
    </row>
    <row r="32" spans="1:7" ht="15">
      <c r="A32" s="39" t="str">
        <f>PROPER("PORTUGALIA")</f>
        <v>Portugalia</v>
      </c>
      <c r="B32" s="50">
        <f>IF(284.01166="","-",284.01166)/1000</f>
        <v>0.28401166</v>
      </c>
      <c r="C32" s="51" t="s">
        <v>33</v>
      </c>
      <c r="D32" s="51">
        <f>IF(106.97958="","-",106.97958/1636115.84011*100)</f>
        <v>0.006538631151740912</v>
      </c>
      <c r="E32" s="51">
        <f>IF(284.01166="","-",284.01166/1633563.54712*100)</f>
        <v>0.017386018468685673</v>
      </c>
      <c r="F32" s="51">
        <f>IF(OR(1949953.70412="",200.85596="",106.97958=""),"-",(106.97958-200.85596)/1949953.70412*100)</f>
        <v>-0.004814287631632042</v>
      </c>
      <c r="G32" s="51">
        <f>IF(OR(1636115.84011="",284.01166="",106.97958=""),"-",(284.01166-106.97958)/1636115.84011*100)</f>
        <v>0.01082026563523141</v>
      </c>
    </row>
    <row r="33" spans="1:7" ht="15">
      <c r="A33" s="39" t="str">
        <f>PROPER("IRLANDA")</f>
        <v>Irlanda</v>
      </c>
      <c r="B33" s="50">
        <f>IF(198.79953="","-",198.79953)/1000</f>
        <v>0.19879953</v>
      </c>
      <c r="C33" s="51">
        <f>IF(OR(215.82557="",198.79953=""),"-",198.79953/215.82557*100)</f>
        <v>92.11120350568287</v>
      </c>
      <c r="D33" s="51">
        <f>IF(215.82557="","-",215.82557/1636115.84011*100)</f>
        <v>0.013191337966967517</v>
      </c>
      <c r="E33" s="51">
        <f>IF(198.79953="","-",198.79953/1633563.54712*100)</f>
        <v>0.012169684512762721</v>
      </c>
      <c r="F33" s="51">
        <f>IF(OR(1949953.70412="",24.03933="",215.82557=""),"-",(215.82557-24.03933)/1949953.70412*100)</f>
        <v>0.00983542530239464</v>
      </c>
      <c r="G33" s="51">
        <f>IF(OR(1636115.84011="",198.79953="",215.82557=""),"-",(198.79953-215.82557)/1636115.84011*100)</f>
        <v>-0.00104063780709166</v>
      </c>
    </row>
    <row r="34" spans="1:7" ht="15">
      <c r="A34" s="39" t="s">
        <v>149</v>
      </c>
      <c r="B34" s="50">
        <f>IF(182.10966="","-",182.10966)/1000</f>
        <v>0.18210965999999998</v>
      </c>
      <c r="C34" s="51">
        <f>IF(OR(192.20256="",182.10966=""),"-",182.10966/192.20256*100)</f>
        <v>94.74882124358801</v>
      </c>
      <c r="D34" s="51">
        <f>IF(192.20256="","-",192.20256/1636115.84011*100)</f>
        <v>0.011747490934815334</v>
      </c>
      <c r="E34" s="51">
        <f>IF(182.10966="","-",182.10966/1633563.54712*100)</f>
        <v>0.011147999740877077</v>
      </c>
      <c r="F34" s="51">
        <f>IF(OR(1949953.70412="",229.30446="",192.20256=""),"-",(192.20256-229.30446)/1949953.70412*100)</f>
        <v>-0.0019027067115290216</v>
      </c>
      <c r="G34" s="51">
        <f>IF(OR(1636115.84011="",182.10966="",192.20256=""),"-",(182.10966-192.20256)/1636115.84011*100)</f>
        <v>-0.0006168817483804475</v>
      </c>
    </row>
    <row r="35" spans="1:7" ht="15">
      <c r="A35" s="39" t="str">
        <f>PROPER("LUXEMBURG")</f>
        <v>Luxemburg</v>
      </c>
      <c r="B35" s="50">
        <f>IF(98.8475="","-",98.8475)/1000</f>
        <v>0.09884749999999999</v>
      </c>
      <c r="C35" s="51">
        <f>IF(OR(353.50797="",98.8475=""),"-",98.8475/353.50797*100)</f>
        <v>27.96188725249957</v>
      </c>
      <c r="D35" s="51">
        <f>IF(353.50797="","-",353.50797/1636115.84011*100)</f>
        <v>0.021606536733745747</v>
      </c>
      <c r="E35" s="51">
        <f>IF(98.8475="","-",98.8475/1633563.54712*100)</f>
        <v>0.00605103487858001</v>
      </c>
      <c r="F35" s="51">
        <f>IF(OR(1949953.70412="",0.23029="",353.50797=""),"-",(353.50797-0.23029)/1949953.70412*100)</f>
        <v>0.01811723423246254</v>
      </c>
      <c r="G35" s="51">
        <f>IF(OR(1636115.84011="",98.8475="",353.50797=""),"-",(98.8475-353.50797)/1636115.84011*100)</f>
        <v>-0.015564941293085858</v>
      </c>
    </row>
    <row r="36" spans="1:7" ht="15">
      <c r="A36" s="39" t="str">
        <f>PROPER("MALTA")</f>
        <v>Malta</v>
      </c>
      <c r="B36" s="50">
        <f>IF(75.19141="","-",75.19141)/1000</f>
        <v>0.07519141</v>
      </c>
      <c r="C36" s="51">
        <f>IF(OR(293.31069="",75.19141=""),"-",75.19141/293.31069*100)</f>
        <v>25.635414106454828</v>
      </c>
      <c r="D36" s="51">
        <f>IF(293.31069="","-",293.31069/1636115.84011*100)</f>
        <v>0.0179272569098946</v>
      </c>
      <c r="E36" s="51">
        <f>IF(75.19141="","-",75.19141/1633563.54712*100)</f>
        <v>0.004602906947364474</v>
      </c>
      <c r="F36" s="51">
        <f>IF(OR(1949953.70412="",47.11861="",293.31069=""),"-",(293.31069-47.11861)/1949953.70412*100)</f>
        <v>0.012625534620633712</v>
      </c>
      <c r="G36" s="51">
        <f>IF(OR(1636115.84011="",75.19141="",293.31069=""),"-",(75.19141-293.31069)/1636115.84011*100)</f>
        <v>-0.01333153036311508</v>
      </c>
    </row>
    <row r="37" spans="1:7" ht="15">
      <c r="A37" s="36" t="s">
        <v>19</v>
      </c>
      <c r="B37" s="48">
        <f>IF(343437.44941="","-",343437.44941)/1000</f>
        <v>343.43744941</v>
      </c>
      <c r="C37" s="49">
        <f>IF(415582.4625="","-",343437.44941/415582.4625*100)</f>
        <v>82.6400246401158</v>
      </c>
      <c r="D37" s="49">
        <f>IF(415582.4625="","-",415582.4625/1636115.84011*100)</f>
        <v>25.400552473843135</v>
      </c>
      <c r="E37" s="49">
        <f>IF(343437.44941="","-",343437.44941/1633563.54712*100)</f>
        <v>21.023819368122286</v>
      </c>
      <c r="F37" s="49">
        <f>IF(1949953.70412="","-",(415582.4625-639376.31607)/1949953.70412*100)</f>
        <v>-11.476880353474673</v>
      </c>
      <c r="G37" s="49">
        <f>IF(1636115.84011="","-",(343437.44941-415582.4625)/1636115.84011*100)</f>
        <v>-4.409529650733626</v>
      </c>
    </row>
    <row r="38" spans="1:7" s="30" customFormat="1" ht="15">
      <c r="A38" s="40" t="s">
        <v>20</v>
      </c>
      <c r="B38" s="50">
        <f>IF(194636.79387="","-",194636.79387)/1000</f>
        <v>194.63679387</v>
      </c>
      <c r="C38" s="51">
        <f>IF(OR(202677.17698="",194636.79387=""),"-",194636.79387/202677.17698*100)</f>
        <v>96.03291143590705</v>
      </c>
      <c r="D38" s="51">
        <f>IF(202677.17698="","-",202677.17698/1636115.84011*100)</f>
        <v>12.387703364963052</v>
      </c>
      <c r="E38" s="51">
        <f>IF(194636.79387="","-",194636.79387/1633563.54712*100)</f>
        <v>11.914859033990318</v>
      </c>
      <c r="F38" s="51">
        <f>IF(OR(1949953.70412="",380823.5016="",202677.17698=""),"-",(202677.17698-380823.5016)/1949953.70412*100)</f>
        <v>-9.13592585524466</v>
      </c>
      <c r="G38" s="51">
        <f>IF(OR(1636115.84011="",194636.79387="",202677.17698=""),"-",(194636.79387-202677.17698)/1636115.84011*100)</f>
        <v>-0.491431163545206</v>
      </c>
    </row>
    <row r="39" spans="1:7" s="30" customFormat="1" ht="15">
      <c r="A39" s="40" t="s">
        <v>21</v>
      </c>
      <c r="B39" s="50">
        <f>IF(85824.07574="","-",85824.07574)/1000</f>
        <v>85.82407574</v>
      </c>
      <c r="C39" s="51">
        <f>IF(OR(108915.40499="",85824.07574=""),"-",85824.07574/108915.40499*100)</f>
        <v>78.79884002440232</v>
      </c>
      <c r="D39" s="51">
        <f>IF(108915.40499="","-",108915.40499/1636115.84011*100)</f>
        <v>6.656949484865164</v>
      </c>
      <c r="E39" s="51">
        <f>IF(85824.07574="","-",85824.07574/1633563.54712*100)</f>
        <v>5.25379474164377</v>
      </c>
      <c r="F39" s="51">
        <f>IF(OR(1949953.70412="",113055.18878="",108915.40499=""),"-",(108915.40499-113055.18878)/1949953.70412*100)</f>
        <v>-0.21230164496998946</v>
      </c>
      <c r="G39" s="51">
        <f>IF(OR(1636115.84011="",85824.07574="",108915.40499=""),"-",(85824.07574-108915.40499)/1636115.84011*100)</f>
        <v>-1.411350509780989</v>
      </c>
    </row>
    <row r="40" spans="1:7" s="32" customFormat="1" ht="15">
      <c r="A40" s="40" t="s">
        <v>22</v>
      </c>
      <c r="B40" s="50">
        <f>IF(41285.12617="","-",41285.12617)/1000</f>
        <v>41.285126170000005</v>
      </c>
      <c r="C40" s="51">
        <f>IF(OR(37326.23761="",41285.12617=""),"-",41285.12617/37326.23761*100)</f>
        <v>110.60618163921076</v>
      </c>
      <c r="D40" s="51">
        <f>IF(37326.23761="","-",37326.23761/1636115.84011*100)</f>
        <v>2.2813933277175815</v>
      </c>
      <c r="E40" s="51">
        <f>IF(41285.12617="","-",41285.12617/1633563.54712*100)</f>
        <v>2.527304569374505</v>
      </c>
      <c r="F40" s="51">
        <f>IF(OR(1949953.70412="",93232.16606="",37326.23761=""),"-",(37326.23761-93232.16606)/1949953.70412*100)</f>
        <v>-2.8670387574780887</v>
      </c>
      <c r="G40" s="51">
        <f>IF(OR(1636115.84011="",41285.12617="",37326.23761=""),"-",(41285.12617-37326.23761)/1636115.84011*100)</f>
        <v>0.24196872024256186</v>
      </c>
    </row>
    <row r="41" spans="1:7" s="30" customFormat="1" ht="15">
      <c r="A41" s="40" t="s">
        <v>23</v>
      </c>
      <c r="B41" s="50">
        <f>IF(10946.95014="","-",10946.95014)/1000</f>
        <v>10.94695014</v>
      </c>
      <c r="C41" s="51">
        <f>IF(OR(54269.04743="",10946.95014=""),"-",10946.95014/54269.04743*100)</f>
        <v>20.17162758222381</v>
      </c>
      <c r="D41" s="51">
        <f>IF(54269.04743="","-",54269.04743/1636115.84011*100)</f>
        <v>3.316944075692792</v>
      </c>
      <c r="E41" s="51">
        <f>IF(10946.95014="","-",10946.95014/1633563.54712*100)</f>
        <v>0.6701269846097911</v>
      </c>
      <c r="F41" s="51">
        <f>IF(OR(1949953.70412="",33957.38986="",54269.04743=""),"-",(54269.04743-33957.38986)/1949953.70412*100)</f>
        <v>1.041648195394798</v>
      </c>
      <c r="G41" s="51">
        <f>IF(OR(1636115.84011="",10946.95014="",54269.04743=""),"-",(10946.95014-54269.04743)/1636115.84011*100)</f>
        <v>-2.6478624696334063</v>
      </c>
    </row>
    <row r="42" spans="1:7" ht="15">
      <c r="A42" s="40" t="s">
        <v>25</v>
      </c>
      <c r="B42" s="50">
        <f>IF(4214.89457="","-",4214.89457)/1000</f>
        <v>4.21489457</v>
      </c>
      <c r="C42" s="51">
        <f>IF(OR(5205.01225="",4214.89457=""),"-",4214.89457/5205.01225*100)</f>
        <v>80.97761095567067</v>
      </c>
      <c r="D42" s="51">
        <f>IF(5205.01225="","-",5205.01225/1636115.84011*100)</f>
        <v>0.3181322570442234</v>
      </c>
      <c r="E42" s="51">
        <f>IF(4214.89457="","-",4214.89457/1633563.54712*100)</f>
        <v>0.258018402616227</v>
      </c>
      <c r="F42" s="51">
        <f>IF(OR(1949953.70412="",6879.43786="",5205.01225=""),"-",(5205.01225-6879.43786)/1949953.70412*100)</f>
        <v>-0.08587001868106692</v>
      </c>
      <c r="G42" s="51">
        <f>IF(OR(1636115.84011="",4214.89457="",5205.01225=""),"-",(4214.89457-5205.01225)/1636115.84011*100)</f>
        <v>-0.06051635561045796</v>
      </c>
    </row>
    <row r="43" spans="1:7" ht="15">
      <c r="A43" s="41" t="s">
        <v>24</v>
      </c>
      <c r="B43" s="50">
        <f>IF(2989.27838="","-",2989.27838)/1000</f>
        <v>2.98927838</v>
      </c>
      <c r="C43" s="51">
        <f>IF(OR(2705.81403="",2989.27838=""),"-",2989.27838/2705.81403*100)</f>
        <v>110.47612093281963</v>
      </c>
      <c r="D43" s="51">
        <f>IF(2705.81403="","-",2705.81403/1636115.84011*100)</f>
        <v>0.16538034555169892</v>
      </c>
      <c r="E43" s="51">
        <f>IF(2989.27838="","-",2989.27838/1633563.54712*100)</f>
        <v>0.1829912515659491</v>
      </c>
      <c r="F43" s="51">
        <f>IF(OR(1949953.70412="",4861.92161="",2705.81403=""),"-",(2705.81403-4861.92161)/1949953.70412*100)</f>
        <v>-0.11057224463557386</v>
      </c>
      <c r="G43" s="51">
        <f>IF(OR(1636115.84011="",2989.27838="",2705.81403=""),"-",(2989.27838-2705.81403)/1636115.84011*100)</f>
        <v>0.017325444999110956</v>
      </c>
    </row>
    <row r="44" spans="1:7" ht="15">
      <c r="A44" s="40" t="s">
        <v>26</v>
      </c>
      <c r="B44" s="50">
        <f>IF(1555.36029="","-",1555.36029)/1000</f>
        <v>1.55536029</v>
      </c>
      <c r="C44" s="51">
        <f>IF(OR(1414.48122="",1555.36029=""),"-",1555.36029/1414.48122*100)</f>
        <v>109.95976956130957</v>
      </c>
      <c r="D44" s="51">
        <f>IF(1414.48122="","-",1414.48122/1636115.84011*100)</f>
        <v>0.08645361076052542</v>
      </c>
      <c r="E44" s="51">
        <f>IF(1555.36029="","-",1555.36029/1633563.54712*100)</f>
        <v>0.09521272023620547</v>
      </c>
      <c r="F44" s="51">
        <f>IF(OR(1949953.70412="",2566.99235="",1414.48122=""),"-",(1414.48122-2566.99235)/1949953.70412*100)</f>
        <v>-0.05910453810082225</v>
      </c>
      <c r="G44" s="51">
        <f>IF(OR(1636115.84011="",1555.36029="",1414.48122=""),"-",(1555.36029-1414.48122)/1636115.84011*100)</f>
        <v>0.008610580409179863</v>
      </c>
    </row>
    <row r="45" spans="1:7" ht="15">
      <c r="A45" s="40" t="s">
        <v>27</v>
      </c>
      <c r="B45" s="50">
        <f>IF(913.85487="","-",913.85487)/1000</f>
        <v>0.91385487</v>
      </c>
      <c r="C45" s="51">
        <f>IF(OR(1462.04283="",913.85487=""),"-",913.85487/1462.04283*100)</f>
        <v>62.50534192626901</v>
      </c>
      <c r="D45" s="51">
        <f>IF(1462.04283="","-",1462.04283/1636115.84011*100)</f>
        <v>0.08936059380133521</v>
      </c>
      <c r="E45" s="51">
        <f>IF(913.85487="","-",913.85487/1633563.54712*100)</f>
        <v>0.055942413235845125</v>
      </c>
      <c r="F45" s="51">
        <f>IF(OR(1949953.70412="",895.65144="",1462.04283=""),"-",(1462.04283-895.65144)/1949953.70412*100)</f>
        <v>0.029046401912173014</v>
      </c>
      <c r="G45" s="51">
        <f>IF(OR(1636115.84011="",913.85487="",1462.04283=""),"-",(913.85487-1462.04283)/1636115.84011*100)</f>
        <v>-0.03350544909846628</v>
      </c>
    </row>
    <row r="46" spans="1:7" ht="15">
      <c r="A46" s="40" t="s">
        <v>28</v>
      </c>
      <c r="B46" s="50">
        <f>IF(652.25807="","-",652.25807)/1000</f>
        <v>0.65225807</v>
      </c>
      <c r="C46" s="51">
        <f>IF(OR(883.93534="",652.25807=""),"-",652.25807/883.93534*100)</f>
        <v>73.79024692009712</v>
      </c>
      <c r="D46" s="51">
        <f>IF(883.93534="","-",883.93534/1636115.84011*100)</f>
        <v>0.054026452059810805</v>
      </c>
      <c r="E46" s="51">
        <f>IF(652.25807="","-",652.25807/1633563.54712*100)</f>
        <v>0.03992853973449285</v>
      </c>
      <c r="F46" s="51">
        <f>IF(OR(1949953.70412="",1392.26319="",883.93534=""),"-",(883.93534-1392.26319)/1949953.70412*100)</f>
        <v>-0.026068713781561528</v>
      </c>
      <c r="G46" s="51">
        <f>IF(OR(1636115.84011="",652.25807="",883.93534=""),"-",(652.25807-883.93534)/1636115.84011*100)</f>
        <v>-0.01416019968270852</v>
      </c>
    </row>
    <row r="47" spans="1:7" ht="15">
      <c r="A47" s="40" t="s">
        <v>29</v>
      </c>
      <c r="B47" s="50">
        <f>IF(418.85731="","-",418.85731)/1000</f>
        <v>0.41885731</v>
      </c>
      <c r="C47" s="51">
        <f>IF(OR(723.30982="",418.85731=""),"-",418.85731/723.30982*100)</f>
        <v>57.90842297703078</v>
      </c>
      <c r="D47" s="51">
        <f>IF(723.30982="","-",723.30982/1636115.84011*100)</f>
        <v>0.044208961386949845</v>
      </c>
      <c r="E47" s="51">
        <f>IF(418.85731="","-",418.85731/1633563.54712*100)</f>
        <v>0.0256407111151845</v>
      </c>
      <c r="F47" s="51">
        <f>IF(OR(1949953.70412="",1711.80332="",723.30982=""),"-",(723.30982-1711.80332)/1949953.70412*100)</f>
        <v>-0.0506931778898874</v>
      </c>
      <c r="G47" s="51">
        <f>IF(OR(1636115.84011="",418.85731="",723.30982=""),"-",(418.85731-723.30982)/1636115.84011*100)</f>
        <v>-0.01860824903324271</v>
      </c>
    </row>
    <row r="48" spans="1:7" ht="15">
      <c r="A48" s="36" t="s">
        <v>30</v>
      </c>
      <c r="B48" s="48">
        <f>IF(243546.10898="","-",243546.10898)/1000</f>
        <v>243.54610897999999</v>
      </c>
      <c r="C48" s="49">
        <f>IF(205830.23934="","-",243546.10898/205830.23934*100)</f>
        <v>118.32377485491776</v>
      </c>
      <c r="D48" s="49">
        <f>IF(205830.23934="","-",205830.23934/1636115.84011*100)</f>
        <v>12.580419692419916</v>
      </c>
      <c r="E48" s="49">
        <f>IF(243546.10898="","-",243546.10898/1633563.54712*100)</f>
        <v>14.90888489825669</v>
      </c>
      <c r="F48" s="49">
        <f>IF(1949953.70412="","-",(205830.23934-292452.81632)/1949953.70412*100)</f>
        <v>-4.4422889013712314</v>
      </c>
      <c r="G48" s="49">
        <f>IF(1636115.84011="","-",(243546.10898-205830.23934)/1636115.84011*100)</f>
        <v>2.3052077802427644</v>
      </c>
    </row>
    <row r="49" spans="1:7" ht="15">
      <c r="A49" s="39" t="str">
        <f>PROPER("TURCIA")</f>
        <v>Turcia</v>
      </c>
      <c r="B49" s="50">
        <f>IF(48754.18042="","-",48754.18042)/1000</f>
        <v>48.75418042</v>
      </c>
      <c r="C49" s="51">
        <f>IF(OR(50626.7556="",48754.18042=""),"-",48754.18042/50626.7556*100)</f>
        <v>96.30121433260479</v>
      </c>
      <c r="D49" s="51">
        <f>IF(50626.7556="","-",50626.7556/1636115.84011*100)</f>
        <v>3.094325863662333</v>
      </c>
      <c r="E49" s="51">
        <f>IF(48754.18042="","-",48754.18042/1633563.54712*100)</f>
        <v>2.9845291605554274</v>
      </c>
      <c r="F49" s="51">
        <f>IF(OR(1949953.70412="",90154.30322="",50626.7556=""),"-",(50626.7556-90154.30322)/1949953.70412*100)</f>
        <v>-2.0271018504943688</v>
      </c>
      <c r="G49" s="51">
        <f>IF(OR(1636115.84011="",48754.18042="",50626.7556=""),"-",(48754.18042-50626.7556)/1636115.84011*100)</f>
        <v>-0.11445248154764531</v>
      </c>
    </row>
    <row r="50" spans="1:7" ht="15">
      <c r="A50" s="39" t="s">
        <v>150</v>
      </c>
      <c r="B50" s="50">
        <f>IF(33641.45686="","-",33641.45686)/1000</f>
        <v>33.64145686</v>
      </c>
      <c r="C50" s="51">
        <f>IF(OR(31535.20502="",33641.45686=""),"-",33641.45686/31535.20502*100)</f>
        <v>106.67904914099715</v>
      </c>
      <c r="D50" s="51">
        <f>IF(31535.20502="","-",31535.20502/1636115.84011*100)</f>
        <v>1.9274432926387297</v>
      </c>
      <c r="E50" s="51">
        <f>IF(33641.45686="","-",33641.45686/1633563.54712*100)</f>
        <v>2.059390766848982</v>
      </c>
      <c r="F50" s="51">
        <f>IF(OR(1949953.70412="",40636.89353="",31535.20502=""),"-",(31535.20502-40636.89353)/1949953.70412*100)</f>
        <v>-0.46676433859785027</v>
      </c>
      <c r="G50" s="51">
        <f>IF(OR(1636115.84011="",33641.45686="",31535.20502=""),"-",(33641.45686-31535.20502)/1636115.84011*100)</f>
        <v>0.1287348846801941</v>
      </c>
    </row>
    <row r="51" spans="1:7" s="24" customFormat="1" ht="15">
      <c r="A51" s="39" t="str">
        <f>PROPER("IRAK")</f>
        <v>Irak</v>
      </c>
      <c r="B51" s="50">
        <f>IF(25087.5347="","-",25087.5347)/1000</f>
        <v>25.0875347</v>
      </c>
      <c r="C51" s="51" t="s">
        <v>157</v>
      </c>
      <c r="D51" s="51">
        <f>IF(10669.02741="","-",10669.02741/1636115.84011*100)</f>
        <v>0.6520948669064103</v>
      </c>
      <c r="E51" s="51">
        <f>IF(25087.5347="","-",25087.5347/1633563.54712*100)</f>
        <v>1.5357550518453809</v>
      </c>
      <c r="F51" s="51">
        <f>IF(OR(1949953.70412="",8751.40382="",10669.02741=""),"-",(10669.02741-8751.40382)/1949953.70412*100)</f>
        <v>0.09834200606651895</v>
      </c>
      <c r="G51" s="51">
        <f>IF(OR(1636115.84011="",25087.5347="",10669.02741=""),"-",(25087.5347-10669.02741)/1636115.84011*100)</f>
        <v>0.8812644518514415</v>
      </c>
    </row>
    <row r="52" spans="1:7" s="31" customFormat="1" ht="15">
      <c r="A52" s="39" t="str">
        <f>PROPER("GEORGIA")</f>
        <v>Georgia</v>
      </c>
      <c r="B52" s="50">
        <f>IF(13641.14175="","-",13641.14175)/1000</f>
        <v>13.641141750000001</v>
      </c>
      <c r="C52" s="51">
        <f>IF(OR(16214.40041="",13641.14175=""),"-",13641.14175/16214.40041*100)</f>
        <v>84.12979453490628</v>
      </c>
      <c r="D52" s="51">
        <f>IF(16214.40041="","-",16214.40041/1636115.84011*100)</f>
        <v>0.9910300977777873</v>
      </c>
      <c r="E52" s="51">
        <f>IF(13641.14175="","-",13641.14175/1633563.54712*100)</f>
        <v>0.8350542453061934</v>
      </c>
      <c r="F52" s="51">
        <f>IF(OR(1949953.70412="",20715.53767="",16214.40041=""),"-",(16214.40041-20715.53767)/1949953.70412*100)</f>
        <v>-0.23083303211197684</v>
      </c>
      <c r="G52" s="51">
        <f>IF(OR(1636115.84011="",13641.14175="",16214.40041=""),"-",(13641.14175-16214.40041)/1636115.84011*100)</f>
        <v>-0.1572785127382541</v>
      </c>
    </row>
    <row r="53" spans="1:7" s="31" customFormat="1" ht="15">
      <c r="A53" s="39" t="s">
        <v>31</v>
      </c>
      <c r="B53" s="50">
        <f>IF(13580.11667="","-",13580.11667)/1000</f>
        <v>13.580116669999999</v>
      </c>
      <c r="C53" s="51">
        <f>IF(OR(18577.38901="",13580.11667=""),"-",13580.11667/18577.38901*100)</f>
        <v>73.10024386467859</v>
      </c>
      <c r="D53" s="51">
        <f>IF(18577.38901="","-",18577.38901/1636115.84011*100)</f>
        <v>1.135456827357102</v>
      </c>
      <c r="E53" s="51">
        <f>IF(13580.11667="","-",13580.11667/1633563.54712*100)</f>
        <v>0.8313185424553562</v>
      </c>
      <c r="F53" s="51">
        <f>IF(OR(1949953.70412="",20125.12322="",18577.38901=""),"-",(18577.38901-20125.12322)/1949953.70412*100)</f>
        <v>-0.07937286955735617</v>
      </c>
      <c r="G53" s="51">
        <f>IF(OR(1636115.84011="",13580.11667="",18577.38901=""),"-",(13580.11667-18577.38901)/1636115.84011*100)</f>
        <v>-0.3054351175809178</v>
      </c>
    </row>
    <row r="54" spans="1:7" s="24" customFormat="1" ht="15">
      <c r="A54" s="39" t="str">
        <f>PROPER("CHINA")</f>
        <v>China</v>
      </c>
      <c r="B54" s="50">
        <f>IF(11936.18719="","-",11936.18719)/1000</f>
        <v>11.93618719</v>
      </c>
      <c r="C54" s="51" t="s">
        <v>48</v>
      </c>
      <c r="D54" s="51">
        <f>IF(6169.22648="","-",6169.22648/1636115.84011*100)</f>
        <v>0.37706538429364683</v>
      </c>
      <c r="E54" s="51">
        <f>IF(11936.18719="","-",11936.18719/1633563.54712*100)</f>
        <v>0.7306839829429164</v>
      </c>
      <c r="F54" s="51">
        <f>IF(OR(1949953.70412="",6304.8545="",6169.22648=""),"-",(6169.22648-6304.8545)/1949953.70412*100)</f>
        <v>-0.0069554482095362385</v>
      </c>
      <c r="G54" s="51">
        <f>IF(OR(1636115.84011="",11936.18719="",6169.22648=""),"-",(11936.18719-6169.22648)/1636115.84011*100)</f>
        <v>0.3524787529477298</v>
      </c>
    </row>
    <row r="55" spans="1:7" ht="15">
      <c r="A55" s="39" t="str">
        <f>PROPER("LIBAN")</f>
        <v>Liban</v>
      </c>
      <c r="B55" s="50">
        <f>IF(9142.37303="","-",9142.37303)/1000</f>
        <v>9.14237303</v>
      </c>
      <c r="C55" s="51">
        <f>IF(OR(6806.11947="",9142.37303=""),"-",9142.37303/6806.11947*100)</f>
        <v>134.32577947386517</v>
      </c>
      <c r="D55" s="51">
        <f>IF(6806.11947="","-",6806.11947/1636115.84011*100)</f>
        <v>0.4159925173478186</v>
      </c>
      <c r="E55" s="51">
        <f>IF(9142.37303="","-",9142.37303/1633563.54712*100)</f>
        <v>0.5596582420144082</v>
      </c>
      <c r="F55" s="51">
        <f>IF(OR(1949953.70412="",7215.5979="",6806.11947=""),"-",(6806.11947-7215.5979)/1949953.70412*100)</f>
        <v>-0.020999392402743983</v>
      </c>
      <c r="G55" s="51">
        <f>IF(OR(1636115.84011="",9142.37303="",6806.11947=""),"-",(9142.37303-6806.11947)/1636115.84011*100)</f>
        <v>0.14279267413259253</v>
      </c>
    </row>
    <row r="56" spans="1:7" s="24" customFormat="1" ht="15">
      <c r="A56" s="39" t="str">
        <f>PROPER("MALAYSIA")</f>
        <v>Malaysia</v>
      </c>
      <c r="B56" s="50">
        <f>IF(8677.21536="","-",8677.21536)/1000</f>
        <v>8.67721536</v>
      </c>
      <c r="C56" s="51" t="s">
        <v>47</v>
      </c>
      <c r="D56" s="51">
        <f>IF(2704.47521="","-",2704.47521/1636115.84011*100)</f>
        <v>0.16529851638244464</v>
      </c>
      <c r="E56" s="51">
        <f>IF(8677.21536="","-",8677.21536/1633563.54712*100)</f>
        <v>0.5311832144698672</v>
      </c>
      <c r="F56" s="51">
        <f>IF(OR(1949953.70412="",4345.21922="",2704.47521=""),"-",(2704.47521-4345.21922)/1949953.70412*100)</f>
        <v>-0.08414271613389179</v>
      </c>
      <c r="G56" s="51">
        <f>IF(OR(1636115.84011="",8677.21536="",2704.47521=""),"-",(8677.21536-2704.47521)/1636115.84011*100)</f>
        <v>0.3650560677658642</v>
      </c>
    </row>
    <row r="57" spans="1:7" s="24" customFormat="1" ht="15">
      <c r="A57" s="39" t="str">
        <f>PROPER("ISRAEL")</f>
        <v>Israel</v>
      </c>
      <c r="B57" s="50">
        <f>IF(7070.68271="","-",7070.68271)/1000</f>
        <v>7.07068271</v>
      </c>
      <c r="C57" s="51" t="s">
        <v>158</v>
      </c>
      <c r="D57" s="51">
        <f>IF(1887.12866="","-",1887.12866/1636115.84011*100)</f>
        <v>0.11534199558101729</v>
      </c>
      <c r="E57" s="51">
        <f>IF(7070.68271="","-",7070.68271/1633563.54712*100)</f>
        <v>0.43283793412663574</v>
      </c>
      <c r="F57" s="51">
        <f>IF(OR(1949953.70412="",1810.42748="",1887.12866=""),"-",(1887.12866-1810.42748)/1949953.70412*100)</f>
        <v>0.003933487232950216</v>
      </c>
      <c r="G57" s="51">
        <f>IF(OR(1636115.84011="",7070.68271="",1887.12866=""),"-",(7070.68271-1887.12866)/1636115.84011*100)</f>
        <v>0.3168207239929599</v>
      </c>
    </row>
    <row r="58" spans="1:7" s="24" customFormat="1" ht="15">
      <c r="A58" s="39" t="str">
        <f>PROPER("EGIPT")</f>
        <v>Egipt</v>
      </c>
      <c r="B58" s="50">
        <f>IF(4210.03303="","-",4210.03303)/1000</f>
        <v>4.21003303</v>
      </c>
      <c r="C58" s="51" t="s">
        <v>139</v>
      </c>
      <c r="D58" s="51">
        <f>IF(1611.47068="","-",1611.47068/1636115.84011*100)</f>
        <v>0.09849367877837163</v>
      </c>
      <c r="E58" s="51">
        <f>IF(4210.03303="","-",4210.03303/1633563.54712*100)</f>
        <v>0.2577207992564696</v>
      </c>
      <c r="F58" s="51">
        <f>IF(OR(1949953.70412="",3688.30335="",1611.47068=""),"-",(1611.47068-3688.30335)/1949953.70412*100)</f>
        <v>-0.10650676811515686</v>
      </c>
      <c r="G58" s="51">
        <f>IF(OR(1636115.84011="",4210.03303="",1611.47068=""),"-",(4210.03303-1611.47068)/1636115.84011*100)</f>
        <v>0.1588250835481974</v>
      </c>
    </row>
    <row r="59" spans="1:7" s="31" customFormat="1" ht="15">
      <c r="A59" s="39" t="str">
        <f>PROPER("INDONEZIA")</f>
        <v>Indonezia</v>
      </c>
      <c r="B59" s="50">
        <f>IF(3553.78414="","-",3553.78414)/1000</f>
        <v>3.5537841400000003</v>
      </c>
      <c r="C59" s="51">
        <f>IF(OR(7349.72166="",3553.78414=""),"-",3553.78414/7349.72166*100)</f>
        <v>48.352635710561046</v>
      </c>
      <c r="D59" s="51">
        <f>IF(7349.72166="","-",7349.72166/1636115.84011*100)</f>
        <v>0.44921768250259475</v>
      </c>
      <c r="E59" s="51">
        <f>IF(3553.78414="","-",3553.78414/1633563.54712*100)</f>
        <v>0.21754795803722368</v>
      </c>
      <c r="F59" s="51">
        <f>IF(OR(1949953.70412="",5069.88805="",7349.72166=""),"-",(7349.72166-5069.88805)/1949953.70412*100)</f>
        <v>0.11691731989241627</v>
      </c>
      <c r="G59" s="51">
        <f>IF(OR(1636115.84011="",3553.78414="",7349.72166=""),"-",(3553.78414-7349.72166)/1636115.84011*100)</f>
        <v>-0.23200909293469035</v>
      </c>
    </row>
    <row r="60" spans="1:7" s="24" customFormat="1" ht="15">
      <c r="A60" s="39" t="str">
        <f>PROPER("MYANMAR")</f>
        <v>Myanmar</v>
      </c>
      <c r="B60" s="50">
        <f>IF(3497.466="","-",3497.466)/1000</f>
        <v>3.4974659999999997</v>
      </c>
      <c r="C60" s="51" t="s">
        <v>159</v>
      </c>
      <c r="D60" s="51">
        <f>IF(456.54324="","-",456.54324/1636115.84011*100)</f>
        <v>0.02790409021217627</v>
      </c>
      <c r="E60" s="51">
        <f>IF(3497.466="","-",3497.466/1633563.54712*100)</f>
        <v>0.2141003945739418</v>
      </c>
      <c r="F60" s="51">
        <f>IF(OR(1949953.70412="",223.31458="",456.54324=""),"-",(456.54324-223.31458)/1949953.70412*100)</f>
        <v>0.011960728067913512</v>
      </c>
      <c r="G60" s="51">
        <f>IF(OR(1636115.84011="",3497.466="",456.54324=""),"-",(3497.466-456.54324)/1636115.84011*100)</f>
        <v>0.1858623139908939</v>
      </c>
    </row>
    <row r="61" spans="1:7" ht="15">
      <c r="A61" s="39" t="str">
        <f>PROPER("MACEDONIA")</f>
        <v>Macedonia</v>
      </c>
      <c r="B61" s="50">
        <f>IF(3411.70659="","-",3411.70659)/1000</f>
        <v>3.4117065899999997</v>
      </c>
      <c r="C61" s="51" t="s">
        <v>157</v>
      </c>
      <c r="D61" s="51">
        <f>IF(1413.17328="","-",1413.17328/1636115.84011*100)</f>
        <v>0.08637366898819272</v>
      </c>
      <c r="E61" s="51">
        <f>IF(3411.70659="","-",3411.70659/1633563.54712*100)</f>
        <v>0.20885055840128755</v>
      </c>
      <c r="F61" s="51">
        <f>IF(OR(1949953.70412="",827.05958="",1413.17328=""),"-",(1413.17328-827.05958)/1949953.70412*100)</f>
        <v>0.030057826437705548</v>
      </c>
      <c r="G61" s="51">
        <f>IF(OR(1636115.84011="",3411.70659="",1413.17328=""),"-",(3411.70659-1413.17328)/1636115.84011*100)</f>
        <v>0.12215108863353061</v>
      </c>
    </row>
    <row r="62" spans="1:7" ht="15">
      <c r="A62" s="39" t="str">
        <f>PROPER("IORDANIA")</f>
        <v>Iordania</v>
      </c>
      <c r="B62" s="50">
        <f>IF(2565.7021="","-",2565.7021)/1000</f>
        <v>2.5657020999999998</v>
      </c>
      <c r="C62" s="51" t="s">
        <v>160</v>
      </c>
      <c r="D62" s="51">
        <f>IF(565.148="","-",565.148/1636115.84011*100)</f>
        <v>0.03454205296136023</v>
      </c>
      <c r="E62" s="51">
        <f>IF(2565.7021="","-",2565.7021/1633563.54712*100)</f>
        <v>0.1570616646363942</v>
      </c>
      <c r="F62" s="51">
        <f>IF(OR(1949953.70412="",584.77058="",565.148=""),"-",(565.148-584.77058)/1949953.70412*100)</f>
        <v>-0.0010063100451328663</v>
      </c>
      <c r="G62" s="51">
        <f>IF(OR(1636115.84011="",2565.7021="",565.148=""),"-",(2565.7021-565.148)/1636115.84011*100)</f>
        <v>0.12227460005921693</v>
      </c>
    </row>
    <row r="63" spans="1:7" ht="15">
      <c r="A63" s="39" t="str">
        <f>PROPER("SERBIA")</f>
        <v>Serbia</v>
      </c>
      <c r="B63" s="50">
        <f>IF(2412.44029="","-",2412.44029)/1000</f>
        <v>2.41244029</v>
      </c>
      <c r="C63" s="51">
        <f>IF(OR(2025.74289="",2412.44029=""),"-",2412.44029/2025.74289*100)</f>
        <v>119.08916486435255</v>
      </c>
      <c r="D63" s="51">
        <f>IF(2025.74289="","-",2025.74289/1636115.84011*100)</f>
        <v>0.12381414813903424</v>
      </c>
      <c r="E63" s="51">
        <f>IF(2412.44029="","-",2412.44029/1633563.54712*100)</f>
        <v>0.14767961088830445</v>
      </c>
      <c r="F63" s="51">
        <f>IF(OR(1949953.70412="",1454.24086="",2025.74289=""),"-",(2025.74289-1454.24086)/1949953.70412*100)</f>
        <v>0.029308492237148508</v>
      </c>
      <c r="G63" s="51">
        <f>IF(OR(1636115.84011="",2412.44029="",2025.74289=""),"-",(2412.44029-2025.74289)/1636115.84011*100)</f>
        <v>0.023635086863653947</v>
      </c>
    </row>
    <row r="64" spans="1:7" ht="15">
      <c r="A64" s="39" t="str">
        <f>PROPER("CANADA")</f>
        <v>Canada</v>
      </c>
      <c r="B64" s="50">
        <f>IF(1962.73664="","-",1962.73664)/1000</f>
        <v>1.9627366400000001</v>
      </c>
      <c r="C64" s="51">
        <f>IF(OR(1911.87449="",1962.73664=""),"-",1962.73664/1911.87449*100)</f>
        <v>102.66032892148691</v>
      </c>
      <c r="D64" s="51">
        <f>IF(1911.87449="","-",1911.87449/1636115.84011*100)</f>
        <v>0.11685446978323125</v>
      </c>
      <c r="E64" s="51">
        <f>IF(1962.73664="","-",1962.73664/1633563.54712*100)</f>
        <v>0.12015061449310238</v>
      </c>
      <c r="F64" s="51">
        <f>IF(OR(1949953.70412="",628.1917="",1911.87449=""),"-",(1911.87449-628.1917)/1949953.70412*100)</f>
        <v>0.06583144960250821</v>
      </c>
      <c r="G64" s="51">
        <f>IF(OR(1636115.84011="",1962.73664="",1911.87449=""),"-",(1962.73664-1911.87449)/1636115.84011*100)</f>
        <v>0.0031087132556934702</v>
      </c>
    </row>
    <row r="65" spans="1:7" ht="15">
      <c r="A65" s="39" t="str">
        <f>PROPER("INDIA")</f>
        <v>India</v>
      </c>
      <c r="B65" s="50">
        <f>IF(1745.68753="","-",1745.68753)/1000</f>
        <v>1.7456875299999999</v>
      </c>
      <c r="C65" s="51" t="s">
        <v>161</v>
      </c>
      <c r="D65" s="51">
        <f>IF(270.22407="","-",270.22407/1636115.84011*100)</f>
        <v>0.016516194231200168</v>
      </c>
      <c r="E65" s="51">
        <f>IF(1745.68753="","-",1745.68753/1633563.54712*100)</f>
        <v>0.10686376621697248</v>
      </c>
      <c r="F65" s="51">
        <f>IF(OR(1949953.70412="",622.24157="",270.22407=""),"-",(270.22407-622.24157)/1949953.70412*100)</f>
        <v>-0.018052608082757687</v>
      </c>
      <c r="G65" s="51">
        <f>IF(OR(1636115.84011="",1745.68753="",270.22407=""),"-",(1745.68753-270.22407)/1636115.84011*100)</f>
        <v>0.09018086762736806</v>
      </c>
    </row>
    <row r="66" spans="1:7" ht="15">
      <c r="A66" s="39" t="str">
        <f>PROPER("BANGLADESH")</f>
        <v>Bangladesh</v>
      </c>
      <c r="B66" s="50">
        <f>IF(1429.88723="","-",1429.88723)/1000</f>
        <v>1.42988723</v>
      </c>
      <c r="C66" s="51" t="s">
        <v>33</v>
      </c>
      <c r="D66" s="51">
        <f>IF(527.76143="","-",527.76143/1636115.84011*100)</f>
        <v>0.03225697209584606</v>
      </c>
      <c r="E66" s="51">
        <f>IF(1429.88723="","-",1429.88723/1633563.54712*100)</f>
        <v>0.08753177876189239</v>
      </c>
      <c r="F66" s="51">
        <f>IF(OR(1949953.70412="",167.30373="",527.76143=""),"-",(527.76143-167.30373)/1949953.70412*100)</f>
        <v>0.018485449128274153</v>
      </c>
      <c r="G66" s="51">
        <f>IF(OR(1636115.84011="",1429.88723="",527.76143=""),"-",(1429.88723-527.76143)/1636115.84011*100)</f>
        <v>0.05513825964421614</v>
      </c>
    </row>
    <row r="67" spans="1:7" ht="15">
      <c r="A67" s="39" t="s">
        <v>174</v>
      </c>
      <c r="B67" s="50">
        <f>IF(1353.31678="","-",1353.31678)/1000</f>
        <v>1.35331678</v>
      </c>
      <c r="C67" s="51">
        <f>IF(OR(1042.17195="",1353.31678=""),"-",1353.31678/1042.17195*100)</f>
        <v>129.85542165090897</v>
      </c>
      <c r="D67" s="51">
        <f>IF(1042.17195="","-",1042.17195/1636115.84011*100)</f>
        <v>0.06369793167762083</v>
      </c>
      <c r="E67" s="51">
        <f>IF(1353.31678="","-",1353.31678/1633563.54712*100)</f>
        <v>0.08284445269275996</v>
      </c>
      <c r="F67" s="51">
        <f>IF(OR(1949953.70412="",1272.60306="",1042.17195=""),"-",(1042.17195-1272.60306)/1949953.70412*100)</f>
        <v>-0.011817260559218862</v>
      </c>
      <c r="G67" s="51">
        <f>IF(OR(1636115.84011="",1353.31678="",1042.17195=""),"-",(1353.31678-1042.17195)/1636115.84011*100)</f>
        <v>0.019017286085261615</v>
      </c>
    </row>
    <row r="68" spans="1:7" ht="15">
      <c r="A68" s="39" t="s">
        <v>138</v>
      </c>
      <c r="B68" s="50">
        <f>IF(1313.58654="","-",1313.58654)/1000</f>
        <v>1.31358654</v>
      </c>
      <c r="C68" s="51" t="s">
        <v>46</v>
      </c>
      <c r="D68" s="51">
        <f>IF(343.78908="","-",343.78908/1636115.84011*100)</f>
        <v>0.02101251461368935</v>
      </c>
      <c r="E68" s="51">
        <f>IF(1313.58654="","-",1313.58654/1633563.54712*100)</f>
        <v>0.08041233181995737</v>
      </c>
      <c r="F68" s="51">
        <f>IF(OR(1949953.70412="",1266.5209="",343.78908=""),"-",(343.78908-1266.5209)/1949953.70412*100)</f>
        <v>-0.04732070397622195</v>
      </c>
      <c r="G68" s="51">
        <f>IF(OR(1636115.84011="",1313.58654="",343.78908=""),"-",(1313.58654-343.78908)/1636115.84011*100)</f>
        <v>0.05927437631401442</v>
      </c>
    </row>
    <row r="69" spans="1:7" ht="15">
      <c r="A69" s="39" t="str">
        <f>PROPER("VIETNAM")</f>
        <v>Vietnam</v>
      </c>
      <c r="B69" s="50">
        <f>IF(1103.09441="","-",1103.09441)/1000</f>
        <v>1.10309441</v>
      </c>
      <c r="C69" s="51">
        <f>IF(OR(765.08212="",1103.09441=""),"-",1103.09441/765.08212*100)</f>
        <v>144.17987052161146</v>
      </c>
      <c r="D69" s="51">
        <f>IF(765.08212="","-",765.08212/1636115.84011*100)</f>
        <v>0.04676209967801312</v>
      </c>
      <c r="E69" s="51">
        <f>IF(1103.09441="","-",1103.09441/1633563.54712*100)</f>
        <v>0.06752687472396002</v>
      </c>
      <c r="F69" s="51">
        <f>IF(OR(1949953.70412="",2997.84164="",765.08212=""),"-",(765.08212-2997.84164)/1949953.70412*100)</f>
        <v>-0.11450320668036724</v>
      </c>
      <c r="G69" s="51">
        <f>IF(OR(1636115.84011="",1103.09441="",765.08212=""),"-",(1103.09441-765.08212)/1636115.84011*100)</f>
        <v>0.02065943509093308</v>
      </c>
    </row>
    <row r="70" spans="1:7" ht="15">
      <c r="A70" s="39" t="s">
        <v>151</v>
      </c>
      <c r="B70" s="50">
        <f>IF(948.44681="","-",948.44681)/1000</f>
        <v>0.94844681</v>
      </c>
      <c r="C70" s="51">
        <f>IF(OR(628.78633="",948.44681=""),"-",948.44681/628.78633*100)</f>
        <v>150.83769553323464</v>
      </c>
      <c r="D70" s="51">
        <f>IF(628.78633="","-",628.78633/1636115.84011*100)</f>
        <v>0.038431651022810535</v>
      </c>
      <c r="E70" s="51">
        <f>IF(948.44681="","-",948.44681/1633563.54712*100)</f>
        <v>0.05805998864703658</v>
      </c>
      <c r="F70" s="51">
        <f>IF(OR(1949953.70412="",781.69648="",628.78633=""),"-",(628.78633-781.69648)/1949953.70412*100)</f>
        <v>-0.007841732328153257</v>
      </c>
      <c r="G70" s="51">
        <f>IF(OR(1636115.84011="",948.44681="",628.78633=""),"-",(948.44681-628.78633)/1636115.84011*100)</f>
        <v>0.019537765735371675</v>
      </c>
    </row>
    <row r="71" spans="1:7" ht="15">
      <c r="A71" s="39" t="str">
        <f>PROPER("IRAN")</f>
        <v>Iran</v>
      </c>
      <c r="B71" s="50">
        <f>IF(918.07083="","-",918.07083)/1000</f>
        <v>0.91807083</v>
      </c>
      <c r="C71" s="51">
        <f>IF(OR(640.75947="",918.07083=""),"-",918.07083/640.75947*100)</f>
        <v>143.27854257074034</v>
      </c>
      <c r="D71" s="51">
        <f>IF(640.75947="","-",640.75947/1636115.84011*100)</f>
        <v>0.039163453729347195</v>
      </c>
      <c r="E71" s="51">
        <f>IF(918.07083="","-",918.07083/1633563.54712*100)</f>
        <v>0.05620049685967676</v>
      </c>
      <c r="F71" s="51">
        <f>IF(OR(1949953.70412="",1556.57511="",640.75947=""),"-",(640.75947-1556.57511)/1949953.70412*100)</f>
        <v>-0.046966019658056496</v>
      </c>
      <c r="G71" s="51">
        <f>IF(OR(1636115.84011="",918.07083="",640.75947=""),"-",(918.07083-640.75947)/1636115.84011*100)</f>
        <v>0.01694937199442771</v>
      </c>
    </row>
    <row r="72" spans="1:7" ht="15">
      <c r="A72" s="39" t="str">
        <f>PROPER("PAKISTAN")</f>
        <v>Pakistan</v>
      </c>
      <c r="B72" s="50">
        <f>IF(884.8753="","-",884.8753)/1000</f>
        <v>0.8848753</v>
      </c>
      <c r="C72" s="51">
        <f>IF(OR(628.63605="",884.8753=""),"-",884.8753/628.63605*100)</f>
        <v>140.76114470368032</v>
      </c>
      <c r="D72" s="51">
        <f>IF(628.63605="","-",628.63605/1636115.84011*100)</f>
        <v>0.03842246585411307</v>
      </c>
      <c r="E72" s="51">
        <f>IF(884.8753="","-",884.8753/1633563.54712*100)</f>
        <v>0.05416840388976909</v>
      </c>
      <c r="F72" s="51">
        <f>IF(OR(1949953.70412="",7898.59332="",628.63605=""),"-",(628.63605-7898.59332)/1949953.70412*100)</f>
        <v>-0.3728271730061858</v>
      </c>
      <c r="G72" s="51">
        <f>IF(OR(1636115.84011="",884.8753="",628.63605=""),"-",(884.8753-628.63605)/1636115.84011*100)</f>
        <v>0.015661436905517186</v>
      </c>
    </row>
    <row r="73" spans="1:7" ht="15">
      <c r="A73" s="39" t="str">
        <f>PROPER("LIBIA")</f>
        <v>Libia</v>
      </c>
      <c r="B73" s="50">
        <f>IF(801.64653="","-",801.64653)/1000</f>
        <v>0.80164653</v>
      </c>
      <c r="C73" s="51" t="s">
        <v>162</v>
      </c>
      <c r="D73" s="51">
        <f>IF(72.54842="","-",72.54842/1636115.84011*100)</f>
        <v>0.004434186028974721</v>
      </c>
      <c r="E73" s="51">
        <f>IF(801.64653="","-",801.64653/1633563.54712*100)</f>
        <v>0.04907348302509053</v>
      </c>
      <c r="F73" s="51">
        <f>IF(OR(1949953.70412="",2220.13327="",72.54842=""),"-",(72.54842-2220.13327)/1949953.70412*100)</f>
        <v>-0.11013517118188143</v>
      </c>
      <c r="G73" s="51">
        <f>IF(OR(1636115.84011="",801.64653="",72.54842=""),"-",(801.64653-72.54842)/1636115.84011*100)</f>
        <v>0.04456274379392238</v>
      </c>
    </row>
    <row r="74" spans="1:7" ht="15">
      <c r="A74" s="39" t="str">
        <f>PROPER("EMIRATELE ARABE UNITE")</f>
        <v>Emiratele Arabe Unite</v>
      </c>
      <c r="B74" s="50">
        <f>IF(763.19737="","-",763.19737)/1000</f>
        <v>0.76319737</v>
      </c>
      <c r="C74" s="51">
        <f>IF(OR(735.88248="",763.19737=""),"-",763.19737/735.88248*100)</f>
        <v>103.71185491465975</v>
      </c>
      <c r="D74" s="51">
        <f>IF(735.88248="","-",735.88248/1636115.84011*100)</f>
        <v>0.04497740697568974</v>
      </c>
      <c r="E74" s="51">
        <f>IF(763.19737="","-",763.19737/1633563.54712*100)</f>
        <v>0.046719784568254465</v>
      </c>
      <c r="F74" s="51">
        <f>IF(OR(1949953.70412="",312.15358="",735.88248=""),"-",(735.88248-312.15358)/1949953.70412*100)</f>
        <v>0.021730203086602295</v>
      </c>
      <c r="G74" s="51">
        <f>IF(OR(1636115.84011="",763.19737="",735.88248=""),"-",(763.19737-735.88248)/1636115.84011*100)</f>
        <v>0.0016694960913136532</v>
      </c>
    </row>
    <row r="75" spans="1:7" ht="15">
      <c r="A75" s="39" t="str">
        <f>PROPER("JAPONIA")</f>
        <v>Japonia</v>
      </c>
      <c r="B75" s="50">
        <f>IF(671.52408="","-",671.52408)/1000</f>
        <v>0.6715240800000001</v>
      </c>
      <c r="C75" s="51">
        <f>IF(OR(1172.6839="",671.52408=""),"-",671.52408/1172.6839*100)</f>
        <v>57.263861130864</v>
      </c>
      <c r="D75" s="51">
        <f>IF(1172.6839="","-",1172.6839/1636115.84011*100)</f>
        <v>0.0716748699114824</v>
      </c>
      <c r="E75" s="51">
        <f>IF(671.52408="","-",671.52408/1633563.54712*100)</f>
        <v>0.041107925136056586</v>
      </c>
      <c r="F75" s="51">
        <f>IF(OR(1949953.70412="",1390.17406="",1172.6839=""),"-",(1172.6839-1390.17406)/1949953.70412*100)</f>
        <v>-0.011153606341549108</v>
      </c>
      <c r="G75" s="51">
        <f>IF(OR(1636115.84011="",671.52408="",1172.6839=""),"-",(671.52408-1172.6839)/1636115.84011*100)</f>
        <v>-0.030631071939643695</v>
      </c>
    </row>
    <row r="76" spans="1:7" ht="15">
      <c r="A76" s="39" t="str">
        <f>PROPER("NIGERIA")</f>
        <v>Nigeria</v>
      </c>
      <c r="B76" s="50">
        <f>IF(643.13181="","-",643.13181)/1000</f>
        <v>0.64313181</v>
      </c>
      <c r="C76" s="51">
        <f>IF(OR(616.66006="",643.13181=""),"-",643.13181/616.66006*100)</f>
        <v>104.29276220678211</v>
      </c>
      <c r="D76" s="51">
        <f>IF(616.66006="","-",616.66006/1636115.84011*100)</f>
        <v>0.03769048895453151</v>
      </c>
      <c r="E76" s="51">
        <f>IF(643.13181="","-",643.13181/1633563.54712*100)</f>
        <v>0.03936986786549272</v>
      </c>
      <c r="F76" s="51">
        <f>IF(OR(1949953.70412="",1594.55537="",616.66006=""),"-",(616.66006-1594.55537)/1949953.70412*100)</f>
        <v>-0.050149668063084456</v>
      </c>
      <c r="G76" s="51">
        <f>IF(OR(1636115.84011="",643.13181="",616.66006=""),"-",(643.13181-616.66006)/1636115.84011*100)</f>
        <v>0.0016179630653915171</v>
      </c>
    </row>
    <row r="77" spans="1:7" ht="15">
      <c r="A77" s="39" t="str">
        <f>PROPER("NORVEGIA")</f>
        <v>Norvegia</v>
      </c>
      <c r="B77" s="50">
        <f>IF(500.87669="","-",500.87669)/1000</f>
        <v>0.50087669</v>
      </c>
      <c r="C77" s="51">
        <f>IF(OR(480.36922="",500.87669=""),"-",500.87669/480.36922*100)</f>
        <v>104.26910575161332</v>
      </c>
      <c r="D77" s="51">
        <f>IF(480.36922="","-",480.36922/1636115.84011*100)</f>
        <v>0.029360342845143755</v>
      </c>
      <c r="E77" s="51">
        <f>IF(500.87669="","-",500.87669/1633563.54712*100)</f>
        <v>0.030661598129013957</v>
      </c>
      <c r="F77" s="51">
        <f>IF(OR(1949953.70412="",345.6423="",480.36922=""),"-",(480.36922-345.6423)/1949953.70412*100)</f>
        <v>0.006909236856000194</v>
      </c>
      <c r="G77" s="51">
        <f>IF(OR(1636115.84011="",500.87669="",480.36922=""),"-",(500.87669-480.36922)/1636115.84011*100)</f>
        <v>0.00125342408509542</v>
      </c>
    </row>
    <row r="78" spans="1:7" ht="15">
      <c r="A78" s="53" t="str">
        <f>PROPER("CAMBODJIA")</f>
        <v>Cambodjia</v>
      </c>
      <c r="B78" s="59">
        <f>IF(451.10036="","-",451.10036)/1000</f>
        <v>0.45110036000000003</v>
      </c>
      <c r="C78" s="60" t="s">
        <v>18</v>
      </c>
      <c r="D78" s="60">
        <f>IF(108.7816="","-",108.7816/1636115.84011*100)</f>
        <v>0.006648771274819169</v>
      </c>
      <c r="E78" s="60">
        <f>IF(451.10036="","-",451.10036/1633563.54712*100)</f>
        <v>0.027614497201244332</v>
      </c>
      <c r="F78" s="60" t="str">
        <f>IF(OR(1949953.70412="",""="",108.7816=""),"-",(108.7816-"")/1949953.70412*100)</f>
        <v>-</v>
      </c>
      <c r="G78" s="60">
        <f>IF(OR(1636115.84011="",451.10036="",108.7816=""),"-",(451.10036-108.7816)/1636115.84011*100)</f>
        <v>0.02092264811622294</v>
      </c>
    </row>
    <row r="79" spans="1:7" ht="15">
      <c r="A79" s="89" t="s">
        <v>35</v>
      </c>
      <c r="B79" s="89"/>
      <c r="C79" s="89"/>
      <c r="D79" s="89"/>
      <c r="E79" s="89"/>
      <c r="F79" s="89"/>
      <c r="G79" s="89"/>
    </row>
  </sheetData>
  <sheetProtection/>
  <mergeCells count="10">
    <mergeCell ref="A79:G79"/>
    <mergeCell ref="A1:G1"/>
    <mergeCell ref="F3:G3"/>
    <mergeCell ref="D3:E3"/>
    <mergeCell ref="A3:A5"/>
    <mergeCell ref="B3:C3"/>
    <mergeCell ref="B4:B5"/>
    <mergeCell ref="C4:C5"/>
    <mergeCell ref="D4:E4"/>
    <mergeCell ref="F4:G4"/>
  </mergeCells>
  <printOptions/>
  <pageMargins left="0.5905511811023623" right="0.3937007874015748" top="0.3937007874015748" bottom="0.1968503937007874" header="0.11811023622047245" footer="0.118110236220472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98"/>
  <sheetViews>
    <sheetView zoomScalePageLayoutView="0" workbookViewId="0" topLeftCell="A1">
      <selection activeCell="A91" sqref="A91"/>
    </sheetView>
  </sheetViews>
  <sheetFormatPr defaultColWidth="9.00390625" defaultRowHeight="15.75"/>
  <cols>
    <col min="1" max="1" width="27.875" style="0" customWidth="1"/>
    <col min="2" max="2" width="11.00390625" style="0" customWidth="1"/>
    <col min="3" max="3" width="11.25390625" style="0" customWidth="1"/>
    <col min="4" max="4" width="9.75390625" style="0" customWidth="1"/>
    <col min="5" max="5" width="9.125" style="0" customWidth="1"/>
    <col min="6" max="6" width="10.25390625" style="0" customWidth="1"/>
    <col min="7" max="7" width="10.50390625" style="0" customWidth="1"/>
  </cols>
  <sheetData>
    <row r="1" spans="1:7" ht="15.75">
      <c r="A1" s="90" t="s">
        <v>38</v>
      </c>
      <c r="B1" s="90"/>
      <c r="C1" s="90"/>
      <c r="D1" s="90"/>
      <c r="E1" s="90"/>
      <c r="F1" s="90"/>
      <c r="G1" s="90"/>
    </row>
    <row r="2" ht="15">
      <c r="A2" s="5"/>
    </row>
    <row r="3" spans="1:8" ht="57.75" customHeight="1">
      <c r="A3" s="95"/>
      <c r="B3" s="93" t="s">
        <v>143</v>
      </c>
      <c r="C3" s="94"/>
      <c r="D3" s="93" t="s">
        <v>0</v>
      </c>
      <c r="E3" s="94"/>
      <c r="F3" s="91" t="s">
        <v>175</v>
      </c>
      <c r="G3" s="92"/>
      <c r="H3" s="2"/>
    </row>
    <row r="4" spans="1:8" ht="29.25" customHeight="1">
      <c r="A4" s="96"/>
      <c r="B4" s="98" t="s">
        <v>2</v>
      </c>
      <c r="C4" s="100" t="s">
        <v>144</v>
      </c>
      <c r="D4" s="102" t="s">
        <v>145</v>
      </c>
      <c r="E4" s="102"/>
      <c r="F4" s="102" t="s">
        <v>145</v>
      </c>
      <c r="G4" s="93"/>
      <c r="H4" s="2"/>
    </row>
    <row r="5" spans="1:8" ht="30.75" customHeight="1">
      <c r="A5" s="97"/>
      <c r="B5" s="99"/>
      <c r="C5" s="101"/>
      <c r="D5" s="12">
        <v>2015</v>
      </c>
      <c r="E5" s="12">
        <v>2016</v>
      </c>
      <c r="F5" s="12" t="s">
        <v>3</v>
      </c>
      <c r="G5" s="3" t="s">
        <v>4</v>
      </c>
      <c r="H5" s="2"/>
    </row>
    <row r="6" spans="1:7" s="6" customFormat="1" ht="13.5">
      <c r="A6" s="16" t="s">
        <v>37</v>
      </c>
      <c r="B6" s="42">
        <f>IF(3276222.75667="","-",3276222.75667)/1000</f>
        <v>3276.22275667</v>
      </c>
      <c r="C6" s="42">
        <f>IF(3299511.05107="","-",3276222.75667/3299511.05107*100)</f>
        <v>99.29418953173538</v>
      </c>
      <c r="D6" s="42">
        <v>100</v>
      </c>
      <c r="E6" s="42">
        <v>100</v>
      </c>
      <c r="F6" s="42">
        <f>IF(4347533.23603="","-",(3299511.05107-4347533.23603)/4347533.23603*100)</f>
        <v>-24.106133939921612</v>
      </c>
      <c r="G6" s="42">
        <f>IF(3299511.05107="","-",(3276222.75667-3299511.05107)/3299511.05107*100)</f>
        <v>-0.7058104682646188</v>
      </c>
    </row>
    <row r="7" spans="1:7" ht="15">
      <c r="A7" s="17" t="s">
        <v>5</v>
      </c>
      <c r="B7" s="54"/>
      <c r="C7" s="55"/>
      <c r="D7" s="46"/>
      <c r="E7" s="46"/>
      <c r="F7" s="56"/>
      <c r="G7" s="56"/>
    </row>
    <row r="8" spans="1:7" ht="15">
      <c r="A8" s="18" t="s">
        <v>6</v>
      </c>
      <c r="B8" s="48">
        <f>IF(1625512.98987="","-",1625512.98987)/1000</f>
        <v>1625.51298987</v>
      </c>
      <c r="C8" s="49">
        <f>IF(1634400.39906="","-",1625512.98987/1634400.39906*100)</f>
        <v>99.45622815589671</v>
      </c>
      <c r="D8" s="49">
        <f>IF(1634400.39906="","-",1634400.39906/3299511.05107*100)</f>
        <v>49.53462418408871</v>
      </c>
      <c r="E8" s="49">
        <f>IF(1625512.98987="","-",1625512.98987/3276222.75667*100)</f>
        <v>49.61545995493282</v>
      </c>
      <c r="F8" s="48">
        <f>IF(4347533.23603="","-",(1634400.39906-2153869.26643)/4347533.23603*100)</f>
        <v>-11.948588755226144</v>
      </c>
      <c r="G8" s="48">
        <f>IF(3299511.05107="","-",(1625512.98987-1634400.39906)/3299511.05107*100)</f>
        <v>-0.2693553393954517</v>
      </c>
    </row>
    <row r="9" spans="1:7" s="37" customFormat="1" ht="15">
      <c r="A9" s="39" t="str">
        <f>PROPER("ROMANIA")</f>
        <v>Romania</v>
      </c>
      <c r="B9" s="50">
        <f>IF(450222.49298="","-",450222.49298)/1000</f>
        <v>450.22249297999997</v>
      </c>
      <c r="C9" s="51">
        <f>IF(OR(481385.34849="",450222.49298=""),"-",450222.49298/481385.34849*100)</f>
        <v>93.5264221049205</v>
      </c>
      <c r="D9" s="51">
        <f>IF(481385.34849="","-",481385.34849/3299511.05107*100)</f>
        <v>14.589596489876625</v>
      </c>
      <c r="E9" s="51">
        <f>IF(450222.49298="","-",450222.49298/3276222.75667*100)</f>
        <v>13.742120924573904</v>
      </c>
      <c r="F9" s="50">
        <f>IF(OR(4347533.23603="",686321.01969="",481385.34849=""),"-",(481385.34849-686321.01969)/4347533.23603*100)</f>
        <v>-4.713837941515988</v>
      </c>
      <c r="G9" s="50">
        <f>IF(OR(3299511.05107="",450222.49298="",481385.34849=""),"-",(450222.49298-481385.34849)/3299511.05107*100)</f>
        <v>-0.9444688933499467</v>
      </c>
    </row>
    <row r="10" spans="1:7" s="37" customFormat="1" ht="15">
      <c r="A10" s="39" t="str">
        <f>PROPER("GERMANIA")</f>
        <v>Germania</v>
      </c>
      <c r="B10" s="50">
        <f>IF(261340.05116="","-",261340.05116)/1000</f>
        <v>261.34005116000003</v>
      </c>
      <c r="C10" s="51">
        <f>IF(OR(269814.82723="",261340.05116=""),"-",261340.05116/269814.82723*100)</f>
        <v>96.8590398989542</v>
      </c>
      <c r="D10" s="51">
        <f>IF(269814.82723="","-",269814.82723/3299511.05107*100)</f>
        <v>8.177418503947779</v>
      </c>
      <c r="E10" s="51">
        <f>IF(261340.05116="","-",261340.05116/3276222.75667*100)</f>
        <v>7.976870639456451</v>
      </c>
      <c r="F10" s="50">
        <f>IF(OR(4347533.23603="",352842.2183="",269814.82723=""),"-",(269814.82723-352842.2183)/4347533.23603*100)</f>
        <v>-1.9097586277642222</v>
      </c>
      <c r="G10" s="50">
        <f>IF(OR(3299511.05107="",261340.05116="",269814.82723=""),"-",(261340.05116-269814.82723)/3299511.05107*100)</f>
        <v>-0.2568494525045371</v>
      </c>
    </row>
    <row r="11" spans="1:7" s="37" customFormat="1" ht="15">
      <c r="A11" s="39" t="str">
        <f>PROPER("ITALIA")</f>
        <v>Italia</v>
      </c>
      <c r="B11" s="50">
        <f>IF(234678.87157="","-",234678.87157)/1000</f>
        <v>234.67887156999998</v>
      </c>
      <c r="C11" s="51">
        <f>IF(OR(229835.71697="",234678.87157=""),"-",234678.87157/229835.71697*100)</f>
        <v>102.10722452708782</v>
      </c>
      <c r="D11" s="51">
        <f>IF(229835.71697="","-",229835.71697/3299511.05107*100)</f>
        <v>6.965750785876788</v>
      </c>
      <c r="E11" s="51">
        <f>IF(234678.87157="","-",234678.87157/3276222.75667*100)</f>
        <v>7.1630926527270375</v>
      </c>
      <c r="F11" s="50">
        <f>IF(OR(4347533.23603="",293384.74134="",229835.71697=""),"-",(229835.71697-293384.74134)/4347533.23603*100)</f>
        <v>-1.4617260161081718</v>
      </c>
      <c r="G11" s="50">
        <f>IF(OR(3299511.05107="",234678.87157="",229835.71697=""),"-",(234678.87157-229835.71697)/3299511.05107*100)</f>
        <v>0.14678400905580816</v>
      </c>
    </row>
    <row r="12" spans="1:7" s="37" customFormat="1" ht="15">
      <c r="A12" s="39" t="str">
        <f>PROPER("POLONIA")</f>
        <v>Polonia</v>
      </c>
      <c r="B12" s="50">
        <f>IF(105726.1855="","-",105726.1855)/1000</f>
        <v>105.72618550000001</v>
      </c>
      <c r="C12" s="51">
        <f>IF(OR(99523.35789="",105726.1855=""),"-",105726.1855/99523.35789*100)</f>
        <v>106.2325344939183</v>
      </c>
      <c r="D12" s="51">
        <f>IF(99523.35789="","-",99523.35789/3299511.05107*100)</f>
        <v>3.016306245063962</v>
      </c>
      <c r="E12" s="51">
        <f>IF(105726.1855="","-",105726.1855/3276222.75667*100)</f>
        <v>3.227075609701876</v>
      </c>
      <c r="F12" s="50">
        <f>IF(OR(4347533.23603="",130718.85405="",99523.35789=""),"-",(99523.35789-130718.85405)/4347533.23603*100)</f>
        <v>-0.7175447424178065</v>
      </c>
      <c r="G12" s="50">
        <f>IF(OR(3299511.05107="",105726.1855="",99523.35789=""),"-",(105726.1855-99523.35789)/3299511.05107*100)</f>
        <v>0.18799232716582323</v>
      </c>
    </row>
    <row r="13" spans="1:7" s="37" customFormat="1" ht="15">
      <c r="A13" s="39" t="str">
        <f>PROPER("FRANţA")</f>
        <v>Franţa</v>
      </c>
      <c r="B13" s="50">
        <f>IF(75447.53349="","-",75447.53349)/1000</f>
        <v>75.44753349</v>
      </c>
      <c r="C13" s="51">
        <f>IF(OR(66723.09999="",75447.53349=""),"-",75447.53349/66723.09999*100)</f>
        <v>113.07558177199135</v>
      </c>
      <c r="D13" s="51">
        <f>IF(66723.09999="","-",66723.09999/3299511.05107*100)</f>
        <v>2.0222117446268997</v>
      </c>
      <c r="E13" s="51">
        <f>IF(75447.53349="","-",75447.53349/3276222.75667*100)</f>
        <v>2.3028816748311085</v>
      </c>
      <c r="F13" s="50">
        <f>IF(OR(4347533.23603="",75102.96625="",66723.09999=""),"-",(66723.09999-75102.96625)/4347533.23603*100)</f>
        <v>-0.1927499067874215</v>
      </c>
      <c r="G13" s="50">
        <f>IF(OR(3299511.05107="",75447.53349="",66723.09999=""),"-",(75447.53349-66723.09999)/3299511.05107*100)</f>
        <v>0.26441595027150305</v>
      </c>
    </row>
    <row r="14" spans="1:7" s="37" customFormat="1" ht="15">
      <c r="A14" s="39" t="str">
        <f>PROPER("UNGARIA")</f>
        <v>Ungaria</v>
      </c>
      <c r="B14" s="50">
        <f>IF(66723.8536="","-",66723.8536)/1000</f>
        <v>66.7238536</v>
      </c>
      <c r="C14" s="51">
        <f>IF(OR(56382.62421="",66723.8536=""),"-",66723.8536/56382.62421*100)</f>
        <v>118.34116367390696</v>
      </c>
      <c r="D14" s="51">
        <f>IF(56382.62421="","-",56382.62421/3299511.05107*100)</f>
        <v>1.7088175592476242</v>
      </c>
      <c r="E14" s="51">
        <f>IF(66723.8536="","-",66723.8536/3276222.75667*100)</f>
        <v>2.036609185506638</v>
      </c>
      <c r="F14" s="50">
        <f>IF(OR(4347533.23603="",72658.83528="",56382.62421=""),"-",(56382.62421-72658.83528)/4347533.23603*100)</f>
        <v>-0.37437807111194865</v>
      </c>
      <c r="G14" s="50">
        <f>IF(OR(3299511.05107="",66723.8536="",56382.62421=""),"-",(66723.8536-56382.62421)/3299511.05107*100)</f>
        <v>0.313417025430069</v>
      </c>
    </row>
    <row r="15" spans="1:7" s="37" customFormat="1" ht="15">
      <c r="A15" s="39" t="str">
        <f>PROPER("AUSTRIA")</f>
        <v>Austria</v>
      </c>
      <c r="B15" s="50">
        <f>IF(63334.37461="","-",63334.37461)/1000</f>
        <v>63.33437461</v>
      </c>
      <c r="C15" s="51">
        <f>IF(OR(77590.37305="",63334.37461=""),"-",63334.37461/77590.37305*100)</f>
        <v>81.62658860937131</v>
      </c>
      <c r="D15" s="51">
        <f>IF(77590.37305="","-",77590.37305/3299511.05107*100)</f>
        <v>2.3515718495574722</v>
      </c>
      <c r="E15" s="51">
        <f>IF(63334.37461="","-",63334.37461/3276222.75667*100)</f>
        <v>1.9331522705853483</v>
      </c>
      <c r="F15" s="50">
        <f>IF(OR(4347533.23603="",95899.11765="",77590.37305=""),"-",(77590.37305-95899.11765)/4347533.23603*100)</f>
        <v>-0.42112949127719246</v>
      </c>
      <c r="G15" s="50">
        <f>IF(OR(3299511.05107="",63334.37461="",77590.37305=""),"-",(63334.37461-77590.37305)/3299511.05107*100)</f>
        <v>-0.4320639700654104</v>
      </c>
    </row>
    <row r="16" spans="1:7" s="37" customFormat="1" ht="26.25">
      <c r="A16" s="39" t="s">
        <v>152</v>
      </c>
      <c r="B16" s="50">
        <f>IF(53528.20941="","-",53528.20941)/1000</f>
        <v>53.52820941</v>
      </c>
      <c r="C16" s="51">
        <f>IF(OR(44068.68795="",53528.20941=""),"-",53528.20941/44068.68795*100)</f>
        <v>121.46540298801884</v>
      </c>
      <c r="D16" s="51">
        <f>IF(44068.68795="","-",44068.68795/3299511.05107*100)</f>
        <v>1.3356126792092102</v>
      </c>
      <c r="E16" s="51">
        <f>IF(53528.20941="","-",53528.20941/3276222.75667*100)</f>
        <v>1.633839130780193</v>
      </c>
      <c r="F16" s="50">
        <f>IF(OR(4347533.23603="",56987.88485="",44068.68795=""),"-",(44068.68795-56987.88485)/4347533.23603*100)</f>
        <v>-0.2971615442277174</v>
      </c>
      <c r="G16" s="50">
        <f>IF(OR(3299511.05107="",53528.20941="",44068.68795=""),"-",(53528.20941-44068.68795)/3299511.05107*100)</f>
        <v>0.2866946439513325</v>
      </c>
    </row>
    <row r="17" spans="1:7" s="37" customFormat="1" ht="15">
      <c r="A17" s="39" t="str">
        <f>PROPER("BULGARIA")</f>
        <v>Bulgaria</v>
      </c>
      <c r="B17" s="50">
        <f>IF(47911.31484="","-",47911.31484)/1000</f>
        <v>47.911314839999996</v>
      </c>
      <c r="C17" s="51">
        <f>IF(OR(54951.22757="",47911.31484=""),"-",47911.31484/54951.22757*100)</f>
        <v>87.1887980645525</v>
      </c>
      <c r="D17" s="51">
        <f>IF(54951.22757="","-",54951.22757/3299511.05107*100)</f>
        <v>1.6654354757254062</v>
      </c>
      <c r="E17" s="51">
        <f>IF(47911.31484="","-",47911.31484/3276222.75667*100)</f>
        <v>1.4623949101891274</v>
      </c>
      <c r="F17" s="50">
        <f>IF(OR(4347533.23603="",70418.98993="",54951.22757=""),"-",(54951.22757-70418.98993)/4347533.23603*100)</f>
        <v>-0.35578249826387887</v>
      </c>
      <c r="G17" s="50">
        <f>IF(OR(3299511.05107="",47911.31484="",54951.22757=""),"-",(47911.31484-54951.22757)/3299511.05107*100)</f>
        <v>-0.21336230189976257</v>
      </c>
    </row>
    <row r="18" spans="1:7" s="37" customFormat="1" ht="15">
      <c r="A18" s="39" t="str">
        <f>PROPER("REPUBLICA CEHă")</f>
        <v>Republica Cehă</v>
      </c>
      <c r="B18" s="50">
        <f>IF(44178.91879="","-",44178.91879)/1000</f>
        <v>44.178918790000004</v>
      </c>
      <c r="C18" s="51">
        <f>IF(OR(41840.36163="",44178.91879=""),"-",44178.91879/41840.36163*100)</f>
        <v>105.58923744655982</v>
      </c>
      <c r="D18" s="51">
        <f>IF(41840.36163="","-",41840.36163/3299511.05107*100)</f>
        <v>1.2680776327883967</v>
      </c>
      <c r="E18" s="51">
        <f>IF(44178.91879="","-",44178.91879/3276222.75667*100)</f>
        <v>1.348471153252842</v>
      </c>
      <c r="F18" s="50">
        <f>IF(OR(4347533.23603="",53985.30447="",41840.36163=""),"-",(41840.36163-53985.30447)/4347533.23603*100)</f>
        <v>-0.27935250130693184</v>
      </c>
      <c r="G18" s="50">
        <f>IF(OR(3299511.05107="",44178.91879="",41840.36163=""),"-",(44178.91879-41840.36163)/3299511.05107*100)</f>
        <v>0.07087586990325831</v>
      </c>
    </row>
    <row r="19" spans="1:7" s="37" customFormat="1" ht="15">
      <c r="A19" s="39" t="str">
        <f>PROPER("SPANIA")</f>
        <v>Spania</v>
      </c>
      <c r="B19" s="50">
        <f>IF(40568.95921="","-",40568.95921)/1000</f>
        <v>40.56895921</v>
      </c>
      <c r="C19" s="51">
        <f>IF(OR(35925.34376="",40568.95921=""),"-",40568.95921/35925.34376*100)</f>
        <v>112.92573699787471</v>
      </c>
      <c r="D19" s="51">
        <f>IF(35925.34376="","-",35925.34376/3299511.05107*100)</f>
        <v>1.0888081053206278</v>
      </c>
      <c r="E19" s="51">
        <f>IF(40568.95921="","-",40568.95921/3276222.75667*100)</f>
        <v>1.2382845191892529</v>
      </c>
      <c r="F19" s="50">
        <f>IF(OR(4347533.23603="",38725.02071="",35925.34376=""),"-",(35925.34376-38725.02071)/4347533.23603*100)</f>
        <v>-0.06439690734961581</v>
      </c>
      <c r="G19" s="50">
        <f>IF(OR(3299511.05107="",40568.95921="",35925.34376=""),"-",(40568.95921-35925.34376)/3299511.05107*100)</f>
        <v>0.14073647210528714</v>
      </c>
    </row>
    <row r="20" spans="1:7" s="37" customFormat="1" ht="15">
      <c r="A20" s="39" t="str">
        <f>PROPER("OLANDA")</f>
        <v>Olanda</v>
      </c>
      <c r="B20" s="50">
        <f>IF(35432.4064="","-",35432.4064)/1000</f>
        <v>35.4324064</v>
      </c>
      <c r="C20" s="51">
        <f>IF(OR(34672.6254="",35432.4064=""),"-",35432.4064/34672.6254*100)</f>
        <v>102.1912993066859</v>
      </c>
      <c r="D20" s="51">
        <f>IF(34672.6254="","-",34672.6254/3299511.05107*100)</f>
        <v>1.0508413174962998</v>
      </c>
      <c r="E20" s="51">
        <f>IF(35432.4064="","-",35432.4064/3276222.75667*100)</f>
        <v>1.0815017485567437</v>
      </c>
      <c r="F20" s="50">
        <f>IF(OR(4347533.23603="",46344.22025="",34672.6254=""),"-",(34672.6254-46344.22025)/4347533.23603*100)</f>
        <v>-0.2684647641856339</v>
      </c>
      <c r="G20" s="50">
        <f>IF(OR(3299511.05107="",35432.4064="",34672.6254=""),"-",(35432.4064-34672.6254)/3299511.05107*100)</f>
        <v>0.0230270785046655</v>
      </c>
    </row>
    <row r="21" spans="1:7" s="37" customFormat="1" ht="15">
      <c r="A21" s="39" t="str">
        <f>PROPER("BELGIA")</f>
        <v>Belgia</v>
      </c>
      <c r="B21" s="50">
        <f>IF(25486.67598="","-",25486.67598)/1000</f>
        <v>25.48667598</v>
      </c>
      <c r="C21" s="51">
        <f>IF(OR(27887.76089="",25486.67598=""),"-",25486.67598/27887.76089*100)</f>
        <v>91.39018396109032</v>
      </c>
      <c r="D21" s="51">
        <f>IF(27887.76089="","-",27887.76089/3299511.05107*100)</f>
        <v>0.8452088948438667</v>
      </c>
      <c r="E21" s="51">
        <f>IF(25486.67598="","-",25486.67598/3276222.75667*100)</f>
        <v>0.7779286658122424</v>
      </c>
      <c r="F21" s="50">
        <f>IF(OR(4347533.23603="",34298.34228="",27887.76089=""),"-",(27887.76089-34298.34228)/4347533.23603*100)</f>
        <v>-0.14745330379242577</v>
      </c>
      <c r="G21" s="50">
        <f>IF(OR(3299511.05107="",25486.67598="",27887.76089=""),"-",(25486.67598-27887.76089)/3299511.05107*100)</f>
        <v>-0.07277093099055851</v>
      </c>
    </row>
    <row r="22" spans="1:7" s="37" customFormat="1" ht="15">
      <c r="A22" s="39" t="str">
        <f>PROPER("GRECIA")</f>
        <v>Grecia</v>
      </c>
      <c r="B22" s="50">
        <f>IF(15943.18846="","-",15943.18846)/1000</f>
        <v>15.94318846</v>
      </c>
      <c r="C22" s="51">
        <f>IF(OR(16334.3811="",15943.18846=""),"-",15943.18846/16334.3811*100)</f>
        <v>97.60509665101421</v>
      </c>
      <c r="D22" s="51">
        <f>IF(16334.3811="","-",16334.3811/3299511.05107*100)</f>
        <v>0.49505459588331785</v>
      </c>
      <c r="E22" s="51">
        <f>IF(15943.18846="","-",15943.18846/3276222.75667*100)</f>
        <v>0.48663322503152645</v>
      </c>
      <c r="F22" s="50">
        <f>IF(OR(4347533.23603="",32781.52773="",16334.3811=""),"-",(16334.3811-32781.52773)/4347533.23603*100)</f>
        <v>-0.37830985381997684</v>
      </c>
      <c r="G22" s="50">
        <f>IF(OR(3299511.05107="",15943.18846="",16334.3811=""),"-",(15943.18846-16334.3811)/3299511.05107*100)</f>
        <v>-0.011856079096117623</v>
      </c>
    </row>
    <row r="23" spans="1:7" s="37" customFormat="1" ht="15">
      <c r="A23" s="39" t="str">
        <f>PROPER("SLOVACIA")</f>
        <v>Slovacia</v>
      </c>
      <c r="B23" s="50">
        <f>IF(15046.31575="","-",15046.31575)/1000</f>
        <v>15.04631575</v>
      </c>
      <c r="C23" s="51">
        <f>IF(OR(12338.37372="",15046.31575=""),"-",15046.31575/12338.37372*100)</f>
        <v>121.94731730009553</v>
      </c>
      <c r="D23" s="51">
        <f>IF(12338.37372="","-",12338.37372/3299511.05107*100)</f>
        <v>0.37394551886706917</v>
      </c>
      <c r="E23" s="51">
        <f>IF(15046.31575="","-",15046.31575/3276222.75667*100)</f>
        <v>0.45925801960100204</v>
      </c>
      <c r="F23" s="50">
        <f>IF(OR(4347533.23603="",17138.27995="",12338.37372=""),"-",(12338.37372-17138.27995)/4347533.23603*100)</f>
        <v>-0.1104052797163453</v>
      </c>
      <c r="G23" s="50">
        <f>IF(OR(3299511.05107="",15046.31575="",12338.37372=""),"-",(15046.31575-12338.37372)/3299511.05107*100)</f>
        <v>0.08207100955524425</v>
      </c>
    </row>
    <row r="24" spans="1:7" s="37" customFormat="1" ht="15">
      <c r="A24" s="39" t="str">
        <f>PROPER("SUEDIA")</f>
        <v>Suedia</v>
      </c>
      <c r="B24" s="50">
        <f>IF(14776.26871="","-",14776.26871)/1000</f>
        <v>14.77626871</v>
      </c>
      <c r="C24" s="51">
        <f>IF(OR(13102.42136="",14776.26871=""),"-",14776.26871/13102.42136*100)</f>
        <v>112.77509938056214</v>
      </c>
      <c r="D24" s="51">
        <f>IF(13102.42136="","-",13102.42136/3299511.05107*100)</f>
        <v>0.39710190865252626</v>
      </c>
      <c r="E24" s="51">
        <f>IF(14776.26871="","-",14776.26871/3276222.75667*100)</f>
        <v>0.4510153859323904</v>
      </c>
      <c r="F24" s="50">
        <f>IF(OR(4347533.23603="",16657.27613="",13102.42136=""),"-",(13102.42136-16657.27613)/4347533.23603*100)</f>
        <v>-0.0817671671958546</v>
      </c>
      <c r="G24" s="50">
        <f>IF(OR(3299511.05107="",14776.26871="",13102.42136=""),"-",(14776.26871-13102.42136)/3299511.05107*100)</f>
        <v>0.05073016347246927</v>
      </c>
    </row>
    <row r="25" spans="1:7" s="37" customFormat="1" ht="15">
      <c r="A25" s="39" t="str">
        <f>PROPER("SLOVENIA")</f>
        <v>Slovenia</v>
      </c>
      <c r="B25" s="50">
        <f>IF(13147.81654="","-",13147.81654)/1000</f>
        <v>13.147816539999999</v>
      </c>
      <c r="C25" s="51">
        <f>IF(OR(13545.64621="",13147.81654=""),"-",13147.81654/13545.64621*100)</f>
        <v>97.06304399338065</v>
      </c>
      <c r="D25" s="51">
        <f>IF(13545.64621="","-",13545.64621/3299511.05107*100)</f>
        <v>0.4105349550384829</v>
      </c>
      <c r="E25" s="51">
        <f>IF(13147.81654="","-",13147.81654/3276222.75667*100)</f>
        <v>0.401310213514408</v>
      </c>
      <c r="F25" s="50">
        <f>IF(OR(4347533.23603="",15345.99222="",13545.64621=""),"-",(13545.64621-15345.99222)/4347533.23603*100)</f>
        <v>-0.04141074748042653</v>
      </c>
      <c r="G25" s="50">
        <f>IF(OR(3299511.05107="",13147.81654="",13545.64621=""),"-",(13147.81654-13545.64621)/3299511.05107*100)</f>
        <v>-0.012057231021274761</v>
      </c>
    </row>
    <row r="26" spans="1:7" s="37" customFormat="1" ht="15">
      <c r="A26" s="39" t="str">
        <f>PROPER("LITUANIA")</f>
        <v>Lituania</v>
      </c>
      <c r="B26" s="50">
        <f>IF(11726.7879="","-",11726.7879)/1000</f>
        <v>11.7267879</v>
      </c>
      <c r="C26" s="51">
        <f>IF(OR(8542.9684="",11726.7879=""),"-",11726.7879/8542.9684*100)</f>
        <v>137.2683047733151</v>
      </c>
      <c r="D26" s="51">
        <f>IF(8542.9684="","-",8542.9684/3299511.05107*100)</f>
        <v>0.2589161929683368</v>
      </c>
      <c r="E26" s="51">
        <f>IF(11726.7879="","-",11726.7879/3276222.75667*100)</f>
        <v>0.35793622018300353</v>
      </c>
      <c r="F26" s="50">
        <f>IF(OR(4347533.23603="",10052.14591="",8542.9684=""),"-",(8542.9684-10052.14591)/4347533.23603*100)</f>
        <v>-0.034713420877217314</v>
      </c>
      <c r="G26" s="50">
        <f>IF(OR(3299511.05107="",11726.7879="",8542.9684=""),"-",(11726.7879-8542.9684)/3299511.05107*100)</f>
        <v>0.09649367590290438</v>
      </c>
    </row>
    <row r="27" spans="1:7" s="37" customFormat="1" ht="15">
      <c r="A27" s="39" t="str">
        <f>PROPER("PORTUGALIA")</f>
        <v>Portugalia</v>
      </c>
      <c r="B27" s="50">
        <f>IF(10703.35103="","-",10703.35103)/1000</f>
        <v>10.70335103</v>
      </c>
      <c r="C27" s="51" t="s">
        <v>16</v>
      </c>
      <c r="D27" s="51">
        <f>IF(5815.74178="","-",5815.74178/3299511.05107*100)</f>
        <v>0.17626071529943838</v>
      </c>
      <c r="E27" s="51">
        <f>IF(10703.35103="","-",10703.35103/3276222.75667*100)</f>
        <v>0.32669790258337134</v>
      </c>
      <c r="F27" s="50">
        <f>IF(OR(4347533.23603="",6495.20227="",5815.74178=""),"-",(5815.74178-6495.20227)/4347533.23603*100)</f>
        <v>-0.01562864394845792</v>
      </c>
      <c r="G27" s="50">
        <f>IF(OR(3299511.05107="",10703.35103="",5815.74178=""),"-",(10703.35103-5815.74178)/3299511.05107*100)</f>
        <v>0.14813131928789855</v>
      </c>
    </row>
    <row r="28" spans="1:7" s="37" customFormat="1" ht="15">
      <c r="A28" s="39" t="str">
        <f>PROPER("FINLANDA")</f>
        <v>Finlanda</v>
      </c>
      <c r="B28" s="50">
        <f>IF(10290.50183="","-",10290.50183)/1000</f>
        <v>10.290501829999998</v>
      </c>
      <c r="C28" s="51">
        <f>IF(OR(10785.26091="",10290.50183=""),"-",10290.50183/10785.26091*100)</f>
        <v>95.41263689280558</v>
      </c>
      <c r="D28" s="51">
        <f>IF(10785.26091="","-",10785.26091/3299511.05107*100)</f>
        <v>0.3268745199838759</v>
      </c>
      <c r="E28" s="51">
        <f>IF(10290.50183="","-",10290.50183/3276222.75667*100)</f>
        <v>0.3140965250012308</v>
      </c>
      <c r="F28" s="50">
        <f>IF(OR(4347533.23603="",11081.92297="",10785.26091=""),"-",(10785.26091-11081.92297)/4347533.23603*100)</f>
        <v>-0.006823686994303442</v>
      </c>
      <c r="G28" s="50">
        <f>IF(OR(3299511.05107="",10290.50183="",10785.26091=""),"-",(10290.50183-10785.26091)/3299511.05107*100)</f>
        <v>-0.014994921136559189</v>
      </c>
    </row>
    <row r="29" spans="1:7" s="37" customFormat="1" ht="15">
      <c r="A29" s="39" t="str">
        <f>PROPER("DANEMARCA")</f>
        <v>Danemarca</v>
      </c>
      <c r="B29" s="50">
        <f>IF(9677.07573="","-",9677.07573)/1000</f>
        <v>9.67707573</v>
      </c>
      <c r="C29" s="51">
        <f>IF(OR(12413.34547="",9677.07573=""),"-",9677.07573/12413.34547*100)</f>
        <v>77.95703223910999</v>
      </c>
      <c r="D29" s="51">
        <f>IF(12413.34547="","-",12413.34547/3299511.05107*100)</f>
        <v>0.37621772674392073</v>
      </c>
      <c r="E29" s="51">
        <f>IF(9677.07573="","-",9677.07573/3276222.75667*100)</f>
        <v>0.2953729477123808</v>
      </c>
      <c r="F29" s="50">
        <f>IF(OR(4347533.23603="",13519.42793="",12413.34547=""),"-",(12413.34547-13519.42793)/4347533.23603*100)</f>
        <v>-0.025441610217798623</v>
      </c>
      <c r="G29" s="50">
        <f>IF(OR(3299511.05107="",9677.07573="",12413.34547=""),"-",(9677.07573-12413.34547)/3299511.05107*100)</f>
        <v>-0.0829295522169157</v>
      </c>
    </row>
    <row r="30" spans="1:7" s="37" customFormat="1" ht="15">
      <c r="A30" s="39" t="str">
        <f>PROPER("LETONIA")</f>
        <v>Letonia</v>
      </c>
      <c r="B30" s="50">
        <f>IF(7033.1294="","-",7033.1294)/1000</f>
        <v>7.0331294</v>
      </c>
      <c r="C30" s="51">
        <f>IF(OR(6684.78604="",7033.1294=""),"-",7033.1294/6684.78604*100)</f>
        <v>105.21098742600891</v>
      </c>
      <c r="D30" s="51">
        <f>IF(6684.78604="","-",6684.78604/3299511.05107*100)</f>
        <v>0.20259929233551704</v>
      </c>
      <c r="E30" s="51">
        <f>IF(7033.1294="","-",7033.1294/3276222.75667*100)</f>
        <v>0.2146718926752274</v>
      </c>
      <c r="F30" s="50">
        <f>IF(OR(4347533.23603="",5791.75441="",6684.78604=""),"-",(6684.78604-5791.75441)/4347533.23603*100)</f>
        <v>0.020541111051182726</v>
      </c>
      <c r="G30" s="50">
        <f>IF(OR(3299511.05107="",7033.1294="",6684.78604=""),"-",(7033.1294-6684.78604)/3299511.05107*100)</f>
        <v>0.010557423648786852</v>
      </c>
    </row>
    <row r="31" spans="1:7" s="37" customFormat="1" ht="15">
      <c r="A31" s="39" t="str">
        <f>PROPER("IRLANDA")</f>
        <v>Irlanda</v>
      </c>
      <c r="B31" s="50">
        <f>IF(4688.59919="","-",4688.59919)/1000</f>
        <v>4.68859919</v>
      </c>
      <c r="C31" s="51">
        <f>IF(OR(5337.54554="",4688.59919=""),"-",4688.59919/5337.54554*100)</f>
        <v>87.84185830103475</v>
      </c>
      <c r="D31" s="51">
        <f>IF(5337.54554="","-",5337.54554/3299511.05107*100)</f>
        <v>0.1617677727816394</v>
      </c>
      <c r="E31" s="51">
        <f>IF(4688.59919="","-",4688.59919/3276222.75667*100)</f>
        <v>0.1431099024159627</v>
      </c>
      <c r="F31" s="50">
        <f>IF(OR(4347533.23603="",6776.81689="",5337.54554=""),"-",(5337.54554-6776.81689)/4347533.23603*100)</f>
        <v>-0.03310547089259948</v>
      </c>
      <c r="G31" s="50">
        <f>IF(OR(3299511.05107="",4688.59919="",5337.54554=""),"-",(4688.59919-5337.54554)/3299511.05107*100)</f>
        <v>-0.019667955038051868</v>
      </c>
    </row>
    <row r="32" spans="1:7" s="37" customFormat="1" ht="15">
      <c r="A32" s="39" t="str">
        <f>PROPER("ESTONIA")</f>
        <v>Estonia</v>
      </c>
      <c r="B32" s="50">
        <f>IF(3624.22717="","-",3624.22717)/1000</f>
        <v>3.62422717</v>
      </c>
      <c r="C32" s="51">
        <f>IF(OR(5088.35701="",3624.22717=""),"-",3624.22717/5088.35701*100)</f>
        <v>71.22588220278986</v>
      </c>
      <c r="D32" s="51">
        <f>IF(5088.35701="","-",5088.35701/3299511.05107*100)</f>
        <v>0.15421548621120373</v>
      </c>
      <c r="E32" s="51">
        <f>IF(3624.22717="","-",3624.22717/3276222.75667*100)</f>
        <v>0.11062212307211117</v>
      </c>
      <c r="F32" s="50">
        <f>IF(OR(4347533.23603="",5292.11242="",5088.35701=""),"-",(5088.35701-5292.11242)/4347533.23603*100)</f>
        <v>-0.00468669010535414</v>
      </c>
      <c r="G32" s="50">
        <f>IF(OR(3299511.05107="",3624.22717="",5088.35701=""),"-",(3624.22717-5088.35701)/3299511.05107*100)</f>
        <v>-0.044374145663952126</v>
      </c>
    </row>
    <row r="33" spans="1:7" s="37" customFormat="1" ht="15">
      <c r="A33" s="39" t="str">
        <f>PROPER("LUXEMBURG")</f>
        <v>Luxemburg</v>
      </c>
      <c r="B33" s="50">
        <f>IF(1994.53855="","-",1994.53855)/1000</f>
        <v>1.99453855</v>
      </c>
      <c r="C33" s="51">
        <f>IF(OR(1864.35202="",1994.53855=""),"-",1994.53855/1864.35202*100)</f>
        <v>106.98293716011851</v>
      </c>
      <c r="D33" s="51">
        <f>IF(1864.35202="","-",1864.35202/3299511.05107*100)</f>
        <v>0.05650388773195376</v>
      </c>
      <c r="E33" s="51">
        <f>IF(1994.53855="","-",1994.53855/3276222.75667*100)</f>
        <v>0.060879210546332864</v>
      </c>
      <c r="F33" s="50">
        <f>IF(OR(4347533.23603="",2863.43061="",1864.35202=""),"-",(1864.35202-2863.43061)/4347533.23603*100)</f>
        <v>-0.022980355428227156</v>
      </c>
      <c r="G33" s="50">
        <f>IF(OR(3299511.05107="",1994.53855="",1864.35202=""),"-",(1994.53855-1864.35202)/3299511.05107*100)</f>
        <v>0.003945630973346238</v>
      </c>
    </row>
    <row r="34" spans="1:7" s="37" customFormat="1" ht="15">
      <c r="A34" s="39" t="s">
        <v>149</v>
      </c>
      <c r="B34" s="50">
        <f>IF(1488.1336="","-",1488.1336)/1000</f>
        <v>1.4881335999999998</v>
      </c>
      <c r="C34" s="51">
        <f>IF(OR(1194.69272="",1488.1336=""),"-",1488.1336/1194.69272*100)</f>
        <v>124.56203801091212</v>
      </c>
      <c r="D34" s="51">
        <f>IF(1194.69272="","-",1194.69272/3299511.05107*100)</f>
        <v>0.03620817452975563</v>
      </c>
      <c r="E34" s="51">
        <f>IF(1488.1336="","-",1488.1336/3276222.75667*100)</f>
        <v>0.04542223501043501</v>
      </c>
      <c r="F34" s="50">
        <f>IF(OR(4347533.23603="",1432.82802="",1194.69272=""),"-",(1194.69272-1432.82802)/4347533.23603*100)</f>
        <v>-0.0054774808396279425</v>
      </c>
      <c r="G34" s="50">
        <f>IF(OR(3299511.05107="",1488.1336="",1194.69272=""),"-",(1488.1336-1194.69272)/3299511.05107*100)</f>
        <v>0.008893465591055978</v>
      </c>
    </row>
    <row r="35" spans="1:7" s="37" customFormat="1" ht="15">
      <c r="A35" s="39" t="str">
        <f>PROPER("CIPRU")</f>
        <v>Cipru</v>
      </c>
      <c r="B35" s="50">
        <f>IF(510.69207="","-",510.69207)/1000</f>
        <v>0.51069207</v>
      </c>
      <c r="C35" s="51">
        <f>IF(OR(594.87031="",510.69207=""),"-",510.69207/594.87031*100)</f>
        <v>85.84931226438246</v>
      </c>
      <c r="D35" s="51">
        <f>IF(594.87031="","-",594.87031/3299511.05107*100)</f>
        <v>0.018029044327858495</v>
      </c>
      <c r="E35" s="51">
        <f>IF(510.69207="","-",510.69207/3276222.75667*100)</f>
        <v>0.015587831107036041</v>
      </c>
      <c r="F35" s="50">
        <f>IF(OR(4347533.23603="",832.03942="",594.87031=""),"-",(594.87031-832.03942)/4347533.23603*100)</f>
        <v>-0.005455256972723539</v>
      </c>
      <c r="G35" s="50">
        <f>IF(OR(3299511.05107="",510.69207="",594.87031=""),"-",(510.69207-594.87031)/3299511.05107*100)</f>
        <v>-0.0025512337645513207</v>
      </c>
    </row>
    <row r="36" spans="1:7" s="37" customFormat="1" ht="15">
      <c r="A36" s="39" t="str">
        <f>PROPER("MALTA")</f>
        <v>Malta</v>
      </c>
      <c r="B36" s="50">
        <f>IF(282.5164="","-",282.5164)/1000</f>
        <v>0.2825164</v>
      </c>
      <c r="C36" s="51">
        <f>IF(OR(156.30144="",282.5164=""),"-",282.5164/156.30144*100)</f>
        <v>180.75098988211494</v>
      </c>
      <c r="D36" s="51">
        <f>IF(156.30144="","-",156.30144/3299511.05107*100)</f>
        <v>0.004737109152864118</v>
      </c>
      <c r="E36" s="51">
        <f>IF(282.5164="","-",282.5164/3276222.75667*100)</f>
        <v>0.008623235383638985</v>
      </c>
      <c r="F36" s="50">
        <f>IF(OR(4347533.23603="",120.9945="",156.30144=""),"-",(156.30144-120.9945)/4347533.23603*100)</f>
        <v>0.0008121143205391788</v>
      </c>
      <c r="G36" s="50">
        <f>IF(OR(3299511.05107="",282.5164="",156.30144=""),"-",(282.5164-156.30144)/3299511.05107*100)</f>
        <v>0.003825262532734044</v>
      </c>
    </row>
    <row r="37" spans="1:7" s="37" customFormat="1" ht="15">
      <c r="A37" s="36" t="s">
        <v>19</v>
      </c>
      <c r="B37" s="48">
        <f>IF(828045.6948="","-",828045.6948)/1000</f>
        <v>828.0456948000001</v>
      </c>
      <c r="C37" s="49">
        <f>IF(823992.18546="","-",828045.6948/823992.18546*100)</f>
        <v>100.4919354104963</v>
      </c>
      <c r="D37" s="49">
        <f>IF(823992.18546="","-",823992.18546/3299511.05107*100)</f>
        <v>24.973160347281976</v>
      </c>
      <c r="E37" s="49">
        <f>IF(828045.6948="","-",828045.6948/3276222.75667*100)</f>
        <v>25.274401537996688</v>
      </c>
      <c r="F37" s="48">
        <f>IF(4347533.23603="","-",(823992.18546-1164620.94989)/4347533.23603*100)</f>
        <v>-7.834989313182322</v>
      </c>
      <c r="G37" s="48">
        <f>IF(3299511.05107="","-",(828045.6948-823992.18546)/3299511.05107*100)</f>
        <v>0.12285181886830146</v>
      </c>
    </row>
    <row r="38" spans="1:7" s="37" customFormat="1" ht="15">
      <c r="A38" s="39" t="s">
        <v>20</v>
      </c>
      <c r="B38" s="50">
        <f>IF(421569.35535="","-",421569.35535)/1000</f>
        <v>421.56935535</v>
      </c>
      <c r="C38" s="51">
        <f>IF(OR(424432.06753="",421569.35535=""),"-",421569.35535/424432.06753*100)</f>
        <v>99.32551934714556</v>
      </c>
      <c r="D38" s="51">
        <f>IF(424432.06753="","-",424432.06753/3299511.05107*100)</f>
        <v>12.863483739275877</v>
      </c>
      <c r="E38" s="51">
        <f>IF(421569.35535="","-",421569.35535/3276222.75667*100)</f>
        <v>12.867542492088942</v>
      </c>
      <c r="F38" s="50">
        <f>IF(OR(4347533.23603="",541972.04248="",424432.06753=""),"-",(424432.06753-541972.04248)/4347533.23603*100)</f>
        <v>-2.7036015268587783</v>
      </c>
      <c r="G38" s="50">
        <f>IF(OR(3299511.05107="",421569.35535="",424432.06753=""),"-",(421569.35535-424432.06753)/3299511.05107*100)</f>
        <v>-0.08676170910449361</v>
      </c>
    </row>
    <row r="39" spans="1:7" s="37" customFormat="1" ht="15">
      <c r="A39" s="39" t="str">
        <f>PROPER("UCRAINA")</f>
        <v>Ucraina</v>
      </c>
      <c r="B39" s="50">
        <f>IF(316083.84455="","-",316083.84455)/1000</f>
        <v>316.08384455</v>
      </c>
      <c r="C39" s="51">
        <f>IF(OR(307876.73411="",316083.84455=""),"-",316083.84455/307876.73411*100)</f>
        <v>102.66571310226634</v>
      </c>
      <c r="D39" s="51">
        <f>IF(307876.73411="","-",307876.73411/3299511.05107*100)</f>
        <v>9.330980540591264</v>
      </c>
      <c r="E39" s="51">
        <f>IF(316083.84455="","-",316083.84455/3276222.75667*100)</f>
        <v>9.647812985441568</v>
      </c>
      <c r="F39" s="50">
        <f>IF(OR(4347533.23603="",465353.5904="",307876.73411=""),"-",(307876.73411-465353.5904)/4347533.23603*100)</f>
        <v>-3.62221167132012</v>
      </c>
      <c r="G39" s="50">
        <f>IF(OR(3299511.05107="",316083.84455="",307876.73411=""),"-",(316083.84455-307876.73411)/3299511.05107*100)</f>
        <v>0.2487371708404635</v>
      </c>
    </row>
    <row r="40" spans="1:7" s="37" customFormat="1" ht="15">
      <c r="A40" s="39" t="str">
        <f>PROPER("BELARUS")</f>
        <v>Belarus</v>
      </c>
      <c r="B40" s="50">
        <f>IF(84455.21483="","-",84455.21483)/1000</f>
        <v>84.45521483</v>
      </c>
      <c r="C40" s="51">
        <f>IF(OR(68330.83812="",84455.21483=""),"-",84455.21483/68330.83812*100)</f>
        <v>123.597510514481</v>
      </c>
      <c r="D40" s="51">
        <f>IF(68330.83812="","-",68330.83812/3299511.05107*100)</f>
        <v>2.070938301535343</v>
      </c>
      <c r="E40" s="51">
        <f>IF(84455.21483="","-",84455.21483/3276222.75667*100)</f>
        <v>2.577822727653644</v>
      </c>
      <c r="F40" s="50">
        <f>IF(OR(4347533.23603="",121258.3055="",68330.83812=""),"-",(68330.83812-121258.3055)/4347533.23603*100)</f>
        <v>-1.217413749511236</v>
      </c>
      <c r="G40" s="50">
        <f>IF(OR(3299511.05107="",84455.21483="",68330.83812=""),"-",(84455.21483-68330.83812)/3299511.05107*100)</f>
        <v>0.48868988345321696</v>
      </c>
    </row>
    <row r="41" spans="1:7" s="37" customFormat="1" ht="15">
      <c r="A41" s="39" t="str">
        <f>PROPER("KAZAHSTAN")</f>
        <v>Kazahstan</v>
      </c>
      <c r="B41" s="50">
        <f>IF(2636.67247="","-",2636.67247)/1000</f>
        <v>2.63667247</v>
      </c>
      <c r="C41" s="51">
        <f>IF(OR(9544.10467="",2636.67247=""),"-",2636.67247/9544.10467*100)</f>
        <v>27.626189791147794</v>
      </c>
      <c r="D41" s="51">
        <f>IF(9544.10467="","-",9544.10467/3299511.05107*100)</f>
        <v>0.28925815135260535</v>
      </c>
      <c r="E41" s="51">
        <f>IF(2636.67247="","-",2636.67247/3276222.75667*100)</f>
        <v>0.08047903533519045</v>
      </c>
      <c r="F41" s="50">
        <f>IF(OR(4347533.23603="",22994.22859="",9544.10467=""),"-",(9544.10467-22994.22859)/4347533.23603*100)</f>
        <v>-0.3093736882453861</v>
      </c>
      <c r="G41" s="50">
        <f>IF(OR(3299511.05107="",2636.67247="",9544.10467=""),"-",(2636.67247-9544.10467)/3299511.05107*100)</f>
        <v>-0.20934714547356909</v>
      </c>
    </row>
    <row r="42" spans="1:7" s="37" customFormat="1" ht="15">
      <c r="A42" s="39" t="str">
        <f>PROPER("UZBEKISTAN")</f>
        <v>Uzbekistan</v>
      </c>
      <c r="B42" s="50">
        <f>IF(2333.21632="","-",2333.21632)/1000</f>
        <v>2.33321632</v>
      </c>
      <c r="C42" s="51">
        <f>IF(OR(10338.75586="",2333.21632=""),"-",2333.21632/10338.75586*100)</f>
        <v>22.56767014904635</v>
      </c>
      <c r="D42" s="51">
        <f>IF(10338.75586="","-",10338.75586/3299511.05107*100)</f>
        <v>0.3133420588680022</v>
      </c>
      <c r="E42" s="51">
        <f>IF(2333.21632="","-",2333.21632/3276222.75667*100)</f>
        <v>0.07121665690313178</v>
      </c>
      <c r="F42" s="50">
        <f>IF(OR(4347533.23603="",12340.77533="",10338.75586=""),"-",(10338.75586-12340.77533)/4347533.23603*100)</f>
        <v>-0.04604954951024522</v>
      </c>
      <c r="G42" s="50">
        <f>IF(OR(3299511.05107="",2333.21632="",10338.75586=""),"-",(2333.21632-10338.75586)/3299511.05107*100)</f>
        <v>-0.2426280565844409</v>
      </c>
    </row>
    <row r="43" spans="1:7" s="37" customFormat="1" ht="15">
      <c r="A43" s="39" t="str">
        <f>PROPER("AZERBAIDJAN")</f>
        <v>Azerbaidjan</v>
      </c>
      <c r="B43" s="50">
        <f>IF(590.97024="","-",590.97024)/1000</f>
        <v>0.59097024</v>
      </c>
      <c r="C43" s="51" t="s">
        <v>163</v>
      </c>
      <c r="D43" s="51">
        <f>IF(15.36773="","-",15.36773/3299511.05107*100)</f>
        <v>0.0004657577975081002</v>
      </c>
      <c r="E43" s="51">
        <f>IF(590.97024="","-",590.97024/3276222.75667*100)</f>
        <v>0.018038158083019687</v>
      </c>
      <c r="F43" s="50">
        <f>IF(OR(4347533.23603="",114.50286="",15.36773=""),"-",(15.36773-114.50286)/4347533.23603*100)</f>
        <v>-0.0022802615786446843</v>
      </c>
      <c r="G43" s="50">
        <f>IF(OR(3299511.05107="",590.97024="",15.36773=""),"-",(590.97024-15.36773)/3299511.05107*100)</f>
        <v>0.01744508507747951</v>
      </c>
    </row>
    <row r="44" spans="1:7" s="37" customFormat="1" ht="15">
      <c r="A44" s="39" t="str">
        <f>PROPER("ARMENIA")</f>
        <v>Armenia</v>
      </c>
      <c r="B44" s="50">
        <f>IF(267.12121="","-",267.12121)/1000</f>
        <v>0.26712121</v>
      </c>
      <c r="C44" s="51">
        <f>IF(OR(492.52554="",267.12121=""),"-",267.12121/492.52554*100)</f>
        <v>54.23499662575875</v>
      </c>
      <c r="D44" s="51">
        <f>IF(492.52554="","-",492.52554/3299511.05107*100)</f>
        <v>0.014927228076422978</v>
      </c>
      <c r="E44" s="51">
        <f>IF(267.12121="","-",267.12121/3276222.75667*100)</f>
        <v>0.008153328690980276</v>
      </c>
      <c r="F44" s="50">
        <f>IF(OR(4347533.23603="",328.07619="",492.52554=""),"-",(492.52554-328.07619)/4347533.23603*100)</f>
        <v>0.003782589829035299</v>
      </c>
      <c r="G44" s="50">
        <f>IF(OR(3299511.05107="",267.12121="",492.52554=""),"-",(267.12121-492.52554)/3299511.05107*100)</f>
        <v>-0.006831446432855664</v>
      </c>
    </row>
    <row r="45" spans="1:7" s="37" customFormat="1" ht="15">
      <c r="A45" s="39" t="s">
        <v>26</v>
      </c>
      <c r="B45" s="50">
        <f>IF(90.57511="","-",90.57511)/1000</f>
        <v>0.09057511</v>
      </c>
      <c r="C45" s="51">
        <f>IF(OR(185.52484="",90.57511=""),"-",90.57511/185.52484*100)</f>
        <v>48.821015018797475</v>
      </c>
      <c r="D45" s="51">
        <f>IF(185.52484="","-",185.52484/3299511.05107*100)</f>
        <v>0.00562279795789246</v>
      </c>
      <c r="E45" s="51">
        <f>IF(90.57511="","-",90.57511/3276222.75667*100)</f>
        <v>0.002764620012958516</v>
      </c>
      <c r="F45" s="50">
        <f>IF(OR(4347533.23603="",242.01615="",185.52484=""),"-",(185.52484-242.01615)/4347533.23603*100)</f>
        <v>-0.0012993876511818386</v>
      </c>
      <c r="G45" s="50">
        <f>IF(OR(3299511.05107="",90.57511="",185.52484=""),"-",(90.57511-185.52484)/3299511.05107*100)</f>
        <v>-0.002877690922393144</v>
      </c>
    </row>
    <row r="46" spans="1:7" s="37" customFormat="1" ht="15">
      <c r="A46" s="39" t="str">
        <f>PROPER("TURKMENISTAN")</f>
        <v>Turkmenistan</v>
      </c>
      <c r="B46" s="50">
        <f>IF(17.29307="","-",17.29307)/1000</f>
        <v>0.01729307</v>
      </c>
      <c r="C46" s="51">
        <f>IF(OR(2682.67357="",17.29307=""),"-",17.29307/2682.67357*100)</f>
        <v>0.6446207318469984</v>
      </c>
      <c r="D46" s="51">
        <f>IF(2682.67357="","-",2682.67357/3299511.05107*100)</f>
        <v>0.08130518517675625</v>
      </c>
      <c r="E46" s="51">
        <f>IF(17.29307="","-",17.29307/3276222.75667*100)</f>
        <v>0.0005278355986262951</v>
      </c>
      <c r="F46" s="50">
        <f>IF(OR(4347533.23603="",6.37941="",2682.67357=""),"-",(2682.67357-6.37941)/4347533.23603*100)</f>
        <v>0.06155891202441706</v>
      </c>
      <c r="G46" s="50">
        <f>IF(OR(3299511.05107="",17.29307="",2682.67357=""),"-",(17.29307-2682.67357)/3299511.05107*100)</f>
        <v>-0.08078107509704027</v>
      </c>
    </row>
    <row r="47" spans="1:7" s="37" customFormat="1" ht="15">
      <c r="A47" s="39" t="str">
        <f>PROPER("TADJIKISTAN")</f>
        <v>Tadjikistan</v>
      </c>
      <c r="B47" s="50">
        <f>IF(1.43165="","-",1.43165)/1000</f>
        <v>0.00143165</v>
      </c>
      <c r="C47" s="51">
        <f>IF(OR(93.59349="",1.43165=""),"-",1.43165/93.59349*100)</f>
        <v>1.529646987199644</v>
      </c>
      <c r="D47" s="51">
        <f>IF(93.59349="","-",93.59349/3299511.05107*100)</f>
        <v>0.0028365866503053086</v>
      </c>
      <c r="E47" s="51">
        <f>IF(1.43165="","-",1.43165/3276222.75667*100)</f>
        <v>4.3698188625462994E-05</v>
      </c>
      <c r="F47" s="50">
        <f>IF(OR(4347533.23603="",11.03298="",93.59349=""),"-",(93.59349-11.03298)/4347533.23603*100)</f>
        <v>0.0018990196398220311</v>
      </c>
      <c r="G47" s="50">
        <f>IF(OR(3299511.05107="",1.43165="",93.59349=""),"-",(1.43165-93.59349)/3299511.05107*100)</f>
        <v>-0.002793196888069606</v>
      </c>
    </row>
    <row r="48" spans="1:7" s="37" customFormat="1" ht="15">
      <c r="A48" s="36" t="s">
        <v>30</v>
      </c>
      <c r="B48" s="48">
        <f>IF(822664.072="","-",822664.072)/1000</f>
        <v>822.664072</v>
      </c>
      <c r="C48" s="49">
        <f>IF(841118.46655="","-",822664.072/841118.46655*100)</f>
        <v>97.8059696363945</v>
      </c>
      <c r="D48" s="49">
        <f>IF(841118.46655="","-",841118.46655/3299511.05107*100)</f>
        <v>25.492215468629308</v>
      </c>
      <c r="E48" s="49">
        <f>IF(822664.072="","-",822664.072/3276222.75667*100)</f>
        <v>25.110138507070488</v>
      </c>
      <c r="F48" s="48">
        <f>IF(4347533.23603="","-",(841118.46655-1029043.01971)/4347533.23603*100)</f>
        <v>-4.32255587151314</v>
      </c>
      <c r="G48" s="48">
        <f>IF(3299511.05107="","-",(822664.072-841118.46655)/3299511.05107*100)</f>
        <v>-0.559306947737465</v>
      </c>
    </row>
    <row r="49" spans="1:7" s="37" customFormat="1" ht="15">
      <c r="A49" s="52" t="str">
        <f>PROPER("CHINA")</f>
        <v>China</v>
      </c>
      <c r="B49" s="57">
        <f>IF(314438.32499="","-",314438.32499)/1000</f>
        <v>314.43832499</v>
      </c>
      <c r="C49" s="58">
        <f>IF(OR(300209.10239="",314438.32499=""),"-",314438.32499/300209.10239*100)</f>
        <v>104.73977054217191</v>
      </c>
      <c r="D49" s="58">
        <f>IF(300209.10239="","-",300209.10239/3299511.05107*100)</f>
        <v>9.0985936323094</v>
      </c>
      <c r="E49" s="58">
        <f>IF(314438.32499="","-",314438.32499/3276222.75667*100)</f>
        <v>9.59758686584546</v>
      </c>
      <c r="F49" s="57">
        <f>IF(OR(4347533.23603="",384575.19165="",300209.10239=""),"-",(300209.10239-384575.19165)/4347533.23603*100)</f>
        <v>-1.940550760160257</v>
      </c>
      <c r="G49" s="57">
        <f>IF(OR(3299511.05107="",314438.32499="",300209.10239=""),"-",(314438.32499-300209.10239)/3299511.05107*100)</f>
        <v>0.4312524607361317</v>
      </c>
    </row>
    <row r="50" spans="1:7" s="37" customFormat="1" ht="15">
      <c r="A50" s="52" t="str">
        <f>PROPER("TURCIA")</f>
        <v>Turcia</v>
      </c>
      <c r="B50" s="57">
        <f>IF(222966.73024="","-",222966.73024)/1000</f>
        <v>222.96673024</v>
      </c>
      <c r="C50" s="58">
        <f>IF(OR(237959.33384="",222966.73024=""),"-",222966.73024/237959.33384*100)</f>
        <v>93.69951018181922</v>
      </c>
      <c r="D50" s="58">
        <f>IF(237959.33384="","-",237959.33384/3299511.05107*100)</f>
        <v>7.211957473603007</v>
      </c>
      <c r="E50" s="58">
        <f>IF(222966.73024="","-",222966.73024/3276222.75667*100)</f>
        <v>6.805603489142069</v>
      </c>
      <c r="F50" s="57">
        <f>IF(OR(4347533.23603="",246886.81257="",237959.33384=""),"-",(237959.33384-246886.81257)/4347533.23603*100)</f>
        <v>-0.20534584200562045</v>
      </c>
      <c r="G50" s="57">
        <f>IF(OR(3299511.05107="",222966.73024="",237959.33384=""),"-",(222966.73024-237959.33384)/3299511.05107*100)</f>
        <v>-0.45438864631588505</v>
      </c>
    </row>
    <row r="51" spans="1:7" s="37" customFormat="1" ht="15">
      <c r="A51" s="52" t="s">
        <v>31</v>
      </c>
      <c r="B51" s="57">
        <f>IF(44481.80632="","-",44481.80632)/1000</f>
        <v>44.481806320000004</v>
      </c>
      <c r="C51" s="58">
        <f>IF(OR(40319.73997="",44481.80632=""),"-",44481.80632/40319.73997*100)</f>
        <v>110.32265176585166</v>
      </c>
      <c r="D51" s="58">
        <f>IF(40319.73997="","-",40319.73997/3299511.05107*100)</f>
        <v>1.221991360111514</v>
      </c>
      <c r="E51" s="58">
        <f>IF(44481.80632="","-",44481.80632/3276222.75667*100)</f>
        <v>1.357716175722189</v>
      </c>
      <c r="F51" s="57">
        <f>IF(OR(4347533.23603="",64148.30115="",40319.73997=""),"-",(40319.73997-64148.30115)/4347533.23603*100)</f>
        <v>-0.5480938243903875</v>
      </c>
      <c r="G51" s="57">
        <f>IF(OR(3299511.05107="",44481.80632="",40319.73997=""),"-",(44481.80632-40319.73997)/3299511.05107*100)</f>
        <v>0.12614191271310585</v>
      </c>
    </row>
    <row r="52" spans="1:7" s="37" customFormat="1" ht="15">
      <c r="A52" s="52" t="s">
        <v>150</v>
      </c>
      <c r="B52" s="57">
        <f>IF(23464.58497="","-",23464.58497)/1000</f>
        <v>23.46458497</v>
      </c>
      <c r="C52" s="58">
        <f>IF(OR(25780.53421="",23464.58497=""),"-",23464.58497/25780.53421*100)</f>
        <v>91.01667474717546</v>
      </c>
      <c r="D52" s="58">
        <f>IF(25780.53421="","-",25780.53421/3299511.05107*100)</f>
        <v>0.7813440782881943</v>
      </c>
      <c r="E52" s="58">
        <f>IF(23464.58497="","-",23464.58497/3276222.75667*100)</f>
        <v>0.7162084727672712</v>
      </c>
      <c r="F52" s="57">
        <f>IF(OR(4347533.23603="",36118.22376="",25780.53421=""),"-",(25780.53421-36118.22376)/4347533.23603*100)</f>
        <v>-0.2377828756851547</v>
      </c>
      <c r="G52" s="57">
        <f>IF(OR(3299511.05107="",23464.58497="",25780.53421=""),"-",(23464.58497-25780.53421)/3299511.05107*100)</f>
        <v>-0.07019067989631256</v>
      </c>
    </row>
    <row r="53" spans="1:7" s="37" customFormat="1" ht="15">
      <c r="A53" s="52" t="str">
        <f>PROPER("JAPONIA")</f>
        <v>Japonia</v>
      </c>
      <c r="B53" s="57">
        <f>IF(22502.5044="","-",22502.5044)/1000</f>
        <v>22.502504400000003</v>
      </c>
      <c r="C53" s="58">
        <f>IF(OR(38101.13671="",22502.5044=""),"-",22502.5044/38101.13671*100)</f>
        <v>59.059929291017745</v>
      </c>
      <c r="D53" s="58">
        <f>IF(38101.13671="","-",38101.13671/3299511.05107*100)</f>
        <v>1.1547509955344493</v>
      </c>
      <c r="E53" s="58">
        <f>IF(22502.5044="","-",22502.5044/3276222.75667*100)</f>
        <v>0.686842930755779</v>
      </c>
      <c r="F53" s="57">
        <f>IF(OR(4347533.23603="",27685.55001="",38101.13671=""),"-",(38101.13671-27685.55001)/4347533.23603*100)</f>
        <v>0.23957463082009953</v>
      </c>
      <c r="G53" s="57">
        <f>IF(OR(3299511.05107="",22502.5044="",38101.13671=""),"-",(22502.5044-38101.13671)/3299511.05107*100)</f>
        <v>-0.47275587408448017</v>
      </c>
    </row>
    <row r="54" spans="1:7" s="37" customFormat="1" ht="15">
      <c r="A54" s="52" t="str">
        <f>PROPER("INDIA")</f>
        <v>India</v>
      </c>
      <c r="B54" s="57">
        <f>IF(19469.3763="","-",19469.3763)/1000</f>
        <v>19.4693763</v>
      </c>
      <c r="C54" s="58">
        <f>IF(OR(22855.27378="",19469.3763=""),"-",19469.3763/22855.27378*100)</f>
        <v>85.18548711080021</v>
      </c>
      <c r="D54" s="58">
        <f>IF(22855.27378="","-",22855.27378/3299511.05107*100)</f>
        <v>0.6926866867922219</v>
      </c>
      <c r="E54" s="58">
        <f>IF(19469.3763="","-",19469.3763/3276222.75667*100)</f>
        <v>0.5942628980389891</v>
      </c>
      <c r="F54" s="57">
        <f>IF(OR(4347533.23603="",31867.93078="",22855.27378=""),"-",(22855.27378-31867.93078)/4347533.23603*100)</f>
        <v>-0.2073050741811007</v>
      </c>
      <c r="G54" s="57">
        <f>IF(OR(3299511.05107="",19469.3763="",22855.27378=""),"-",(19469.3763-22855.27378)/3299511.05107*100)</f>
        <v>-0.10261815849660469</v>
      </c>
    </row>
    <row r="55" spans="1:7" s="37" customFormat="1" ht="15">
      <c r="A55" s="52" t="s">
        <v>132</v>
      </c>
      <c r="B55" s="57">
        <f>IF(18602.69203="","-",18602.69203)/1000</f>
        <v>18.60269203</v>
      </c>
      <c r="C55" s="58">
        <f>IF(OR(20375.10882="",18602.69203=""),"-",18602.69203/20375.10882*100)</f>
        <v>91.30106834933702</v>
      </c>
      <c r="D55" s="58">
        <f>IF(20375.10882="","-",20375.10882/3299511.05107*100)</f>
        <v>0.6175190355368729</v>
      </c>
      <c r="E55" s="58">
        <f>IF(18602.69203="","-",18602.69203/3276222.75667*100)</f>
        <v>0.5678091330062075</v>
      </c>
      <c r="F55" s="57">
        <f>IF(OR(4347533.23603="",33019.6615="",20375.10882=""),"-",(20375.10882-33019.6615)/4347533.23603*100)</f>
        <v>-0.29084430166533976</v>
      </c>
      <c r="G55" s="57">
        <f>IF(OR(3299511.05107="",18602.69203="",20375.10882=""),"-",(18602.69203-20375.10882)/3299511.05107*100)</f>
        <v>-0.053717558831185765</v>
      </c>
    </row>
    <row r="56" spans="1:7" s="37" customFormat="1" ht="15">
      <c r="A56" s="52" t="str">
        <f>PROPER("VIETNAM")</f>
        <v>Vietnam</v>
      </c>
      <c r="B56" s="57">
        <f>IF(16706.65045="","-",16706.65045)/1000</f>
        <v>16.70665045</v>
      </c>
      <c r="C56" s="58" t="s">
        <v>16</v>
      </c>
      <c r="D56" s="58">
        <f>IF(9480.40202="","-",9480.40202/3299511.05107*100)</f>
        <v>0.2873274819590495</v>
      </c>
      <c r="E56" s="58">
        <f>IF(16706.65045="","-",16706.65045/3276222.75667*100)</f>
        <v>0.5099363410496813</v>
      </c>
      <c r="F56" s="57">
        <f>IF(OR(4347533.23603="",12782.71076="",9480.40202=""),"-",(9480.40202-12782.71076)/4347533.23603*100)</f>
        <v>-0.07595821723988799</v>
      </c>
      <c r="G56" s="57">
        <f>IF(OR(3299511.05107="",16706.65045="",9480.40202=""),"-",(16706.65045-9480.40202)/3299511.05107*100)</f>
        <v>0.21900967501401755</v>
      </c>
    </row>
    <row r="57" spans="1:7" s="37" customFormat="1" ht="15">
      <c r="A57" s="52" t="str">
        <f>PROPER("SERBIA")</f>
        <v>Serbia</v>
      </c>
      <c r="B57" s="57">
        <f>IF(14936.14712="","-",14936.14712)/1000</f>
        <v>14.93614712</v>
      </c>
      <c r="C57" s="58">
        <f>IF(OR(12675.33896="",14936.14712=""),"-",14936.14712/12675.33896*100)</f>
        <v>117.83627378435015</v>
      </c>
      <c r="D57" s="58">
        <f>IF(12675.33896="","-",12675.33896/3299511.05107*100)</f>
        <v>0.38415809990663635</v>
      </c>
      <c r="E57" s="58">
        <f>IF(14936.14712="","-",14936.14712/3276222.75667*100)</f>
        <v>0.4558953474574273</v>
      </c>
      <c r="F57" s="57">
        <f>IF(OR(4347533.23603="",18238.86695="",12675.33896=""),"-",(12675.33896-18238.86695)/4347533.23603*100)</f>
        <v>-0.12796976326465995</v>
      </c>
      <c r="G57" s="57">
        <f>IF(OR(3299511.05107="",14936.14712="",12675.33896=""),"-",(14936.14712-12675.33896)/3299511.05107*100)</f>
        <v>0.06851949046410503</v>
      </c>
    </row>
    <row r="58" spans="1:7" s="37" customFormat="1" ht="15">
      <c r="A58" s="52" t="s">
        <v>174</v>
      </c>
      <c r="B58" s="57">
        <f>IF(11920.02183="","-",11920.02183)/1000</f>
        <v>11.92002183</v>
      </c>
      <c r="C58" s="58">
        <f>IF(OR(9317.2166="",11920.02183=""),"-",11920.02183/9317.2166*100)</f>
        <v>127.93543760697803</v>
      </c>
      <c r="D58" s="58">
        <f>IF(9317.2166="","-",9317.2166/3299511.05107*100)</f>
        <v>0.28238173643875253</v>
      </c>
      <c r="E58" s="58">
        <f>IF(11920.02183="","-",11920.02183/3276222.75667*100)</f>
        <v>0.36383429074632523</v>
      </c>
      <c r="F58" s="57">
        <f>IF(OR(4347533.23603="",14301.85344="",9317.2166=""),"-",(9317.2166-14301.85344)/4347533.23603*100)</f>
        <v>-0.11465436994684783</v>
      </c>
      <c r="G58" s="57">
        <f>IF(OR(3299511.05107="",11920.02183="",9317.2166=""),"-",(11920.02183-9317.2166)/3299511.05107*100)</f>
        <v>0.07888457379634885</v>
      </c>
    </row>
    <row r="59" spans="1:7" s="37" customFormat="1" ht="15">
      <c r="A59" s="52" t="str">
        <f>PROPER("ISRAEL")</f>
        <v>Israel</v>
      </c>
      <c r="B59" s="57">
        <f>IF(9783.93602="","-",9783.93602)/1000</f>
        <v>9.783936019999999</v>
      </c>
      <c r="C59" s="58">
        <f>IF(OR(26995.93906="",9783.93602=""),"-",9783.93602/26995.93906*100)</f>
        <v>36.24225109656178</v>
      </c>
      <c r="D59" s="58">
        <f>IF(26995.93906="","-",26995.93906/3299511.05107*100)</f>
        <v>0.818179986129929</v>
      </c>
      <c r="E59" s="58">
        <f>IF(9783.93602="","-",9783.93602/3276222.75667*100)</f>
        <v>0.2986346395427804</v>
      </c>
      <c r="F59" s="57">
        <f>IF(OR(4347533.23603="",20554.75878="",26995.93906=""),"-",(26995.93906-20554.75878)/4347533.23603*100)</f>
        <v>0.14815712566885028</v>
      </c>
      <c r="G59" s="57">
        <f>IF(OR(3299511.05107="",9783.93602="",26995.93906=""),"-",(9783.93602-26995.93906)/3299511.05107*100)</f>
        <v>-0.5216531411349059</v>
      </c>
    </row>
    <row r="60" spans="1:7" ht="15">
      <c r="A60" s="52" t="str">
        <f>PROPER("ECUADOR")</f>
        <v>Ecuador</v>
      </c>
      <c r="B60" s="57">
        <f>IF(7934.70842="","-",7934.70842)/1000</f>
        <v>7.93470842</v>
      </c>
      <c r="C60" s="58">
        <f>IF(OR(6239.46125="",7934.70842=""),"-",7934.70842/6239.46125*100)</f>
        <v>127.16976838344816</v>
      </c>
      <c r="D60" s="58">
        <f>IF(6239.46125="","-",6239.46125/3299511.05107*100)</f>
        <v>0.18910260197421075</v>
      </c>
      <c r="E60" s="58">
        <f>IF(7934.70842="","-",7934.70842/3276222.75667*100)</f>
        <v>0.24219074859442563</v>
      </c>
      <c r="F60" s="57">
        <f>IF(OR(4347533.23603="",7184.60948="",6239.46125=""),"-",(6239.46125-7184.60948)/4347533.23603*100)</f>
        <v>-0.021739873594688666</v>
      </c>
      <c r="G60" s="57">
        <f>IF(OR(3299511.05107="",7934.70842="",6239.46125=""),"-",(7934.70842-6239.46125)/3299511.05107*100)</f>
        <v>0.05137873896346694</v>
      </c>
    </row>
    <row r="61" spans="1:7" ht="15">
      <c r="A61" s="52" t="str">
        <f>PROPER("MALAYSIA")</f>
        <v>Malaysia</v>
      </c>
      <c r="B61" s="57">
        <f>IF(5132.22506="","-",5132.22506)/1000</f>
        <v>5.13222506</v>
      </c>
      <c r="C61" s="58">
        <f>IF(OR(6208.39926="",5132.22506=""),"-",5132.22506/6208.39926*100)</f>
        <v>82.66583454234868</v>
      </c>
      <c r="D61" s="58">
        <f>IF(6208.39926="","-",6208.39926/3299511.05107*100)</f>
        <v>0.18816119006440896</v>
      </c>
      <c r="E61" s="58">
        <f>IF(5132.22506="","-",5132.22506/3276222.75667*100)</f>
        <v>0.15665067491370666</v>
      </c>
      <c r="F61" s="57">
        <f>IF(OR(4347533.23603="",9125.59344="",6208.39926=""),"-",(6208.39926-9125.59344)/4347533.23603*100)</f>
        <v>-0.06709998570738633</v>
      </c>
      <c r="G61" s="57">
        <f>IF(OR(3299511.05107="",5132.22506="",6208.39926=""),"-",(5132.22506-6208.39926)/3299511.05107*100)</f>
        <v>-0.03261617201285043</v>
      </c>
    </row>
    <row r="62" spans="1:7" ht="15">
      <c r="A62" s="52" t="str">
        <f>PROPER("ARGENTINA")</f>
        <v>Argentina</v>
      </c>
      <c r="B62" s="57">
        <f>IF(5125.50097="","-",5125.50097)/1000</f>
        <v>5.12550097</v>
      </c>
      <c r="C62" s="58">
        <f>IF(OR(4937.73541="",5125.50097=""),"-",5125.50097/4937.73541*100)</f>
        <v>103.80266548142157</v>
      </c>
      <c r="D62" s="58">
        <f>IF(4937.73541="","-",4937.73541/3299511.05107*100)</f>
        <v>0.14965051892760717</v>
      </c>
      <c r="E62" s="58">
        <f>IF(5125.50097="","-",5125.50097/3276222.75667*100)</f>
        <v>0.15644543581675238</v>
      </c>
      <c r="F62" s="57">
        <f>IF(OR(4347533.23603="",9528.50075="",4937.73541=""),"-",(4937.73541-9528.50075)/4347533.23603*100)</f>
        <v>-0.10559471522734369</v>
      </c>
      <c r="G62" s="57">
        <f>IF(OR(3299511.05107="",5125.50097="",4937.73541=""),"-",(5125.50097-4937.73541)/3299511.05107*100)</f>
        <v>0.00569070862602837</v>
      </c>
    </row>
    <row r="63" spans="1:7" ht="15">
      <c r="A63" s="52" t="str">
        <f>PROPER("MACEDONIA")</f>
        <v>Macedonia</v>
      </c>
      <c r="B63" s="57">
        <f>IF(4992.44647="","-",4992.44647)/1000</f>
        <v>4.99244647</v>
      </c>
      <c r="C63" s="58" t="s">
        <v>17</v>
      </c>
      <c r="D63" s="58">
        <f>IF(1444.96544="","-",1444.96544/3299511.05107*100)</f>
        <v>0.04379332021122982</v>
      </c>
      <c r="E63" s="58">
        <f>IF(4992.44647="","-",4992.44647/3276222.75667*100)</f>
        <v>0.15238421929143775</v>
      </c>
      <c r="F63" s="57">
        <f>IF(OR(4347533.23603="",1343.48153="",1444.96544=""),"-",(1444.96544-1343.48153)/4347533.23603*100)</f>
        <v>0.0023342871575760767</v>
      </c>
      <c r="G63" s="57">
        <f>IF(OR(3299511.05107="",4992.44647="",1444.96544=""),"-",(4992.44647-1444.96544)/3299511.05107*100)</f>
        <v>0.10751535530846565</v>
      </c>
    </row>
    <row r="64" spans="1:7" ht="15">
      <c r="A64" s="52" t="str">
        <f>PROPER("NORVEGIA")</f>
        <v>Norvegia</v>
      </c>
      <c r="B64" s="57">
        <f>IF(4891.95291="","-",4891.95291)/1000</f>
        <v>4.89195291</v>
      </c>
      <c r="C64" s="58">
        <f>IF(OR(4916.82779="",4891.95291=""),"-",4891.95291/4916.82779*100)</f>
        <v>99.49408681649189</v>
      </c>
      <c r="D64" s="58">
        <f>IF(4916.82779="","-",4916.82779/3299511.05107*100)</f>
        <v>0.14901686079837556</v>
      </c>
      <c r="E64" s="58">
        <f>IF(4891.95291="","-",4891.95291/3276222.75667*100)</f>
        <v>0.14931685887476867</v>
      </c>
      <c r="F64" s="57">
        <f>IF(OR(4347533.23603="",7965.29077="",4916.82779=""),"-",(4916.82779-7965.29077)/4347533.23603*100)</f>
        <v>-0.07011937148026816</v>
      </c>
      <c r="G64" s="57">
        <f>IF(OR(3299511.05107="",4891.95291="",4916.82779=""),"-",(4891.95291-4916.82779)/3299511.05107*100)</f>
        <v>-0.0007538959444289062</v>
      </c>
    </row>
    <row r="65" spans="1:7" ht="15">
      <c r="A65" s="52" t="str">
        <f>PROPER("BANGLADESH")</f>
        <v>Bangladesh</v>
      </c>
      <c r="B65" s="57">
        <f>IF(4842.81695="","-",4842.81695)/1000</f>
        <v>4.8428169500000005</v>
      </c>
      <c r="C65" s="58">
        <f>IF(OR(4613.76109="",4842.81695=""),"-",4842.81695/4613.76109*100)</f>
        <v>104.96462334160437</v>
      </c>
      <c r="D65" s="58">
        <f>IF(4613.76109="","-",4613.76109/3299511.05107*100)</f>
        <v>0.1398316604668986</v>
      </c>
      <c r="E65" s="58">
        <f>IF(4842.81695="","-",4842.81695/3276222.75667*100)</f>
        <v>0.1478170841753846</v>
      </c>
      <c r="F65" s="57">
        <f>IF(OR(4347533.23603="",5735.44947="",4613.76109=""),"-",(4613.76109-5735.44947)/4347533.23603*100)</f>
        <v>-0.025800570555828163</v>
      </c>
      <c r="G65" s="57">
        <f>IF(OR(3299511.05107="",4842.81695="",4613.76109=""),"-",(4842.81695-4613.76109)/3299511.05107*100)</f>
        <v>0.0069421152544926245</v>
      </c>
    </row>
    <row r="66" spans="1:7" ht="15">
      <c r="A66" s="52" t="str">
        <f>PROPER("ISLANDA")</f>
        <v>Islanda</v>
      </c>
      <c r="B66" s="57">
        <f>IF(4741.57517="","-",4741.57517)/1000</f>
        <v>4.74157517</v>
      </c>
      <c r="C66" s="58" t="s">
        <v>16</v>
      </c>
      <c r="D66" s="58">
        <f>IF(2698.34882="","-",2698.34882/3299511.05107*100)</f>
        <v>0.08178026314307847</v>
      </c>
      <c r="E66" s="58">
        <f>IF(4741.57517="","-",4741.57517/3276222.75667*100)</f>
        <v>0.14472688587327331</v>
      </c>
      <c r="F66" s="57">
        <f>IF(OR(4347533.23603="",2852.70371="",2698.34882=""),"-",(2698.34882-2852.70371)/4347533.23603*100)</f>
        <v>-0.0035504016098322124</v>
      </c>
      <c r="G66" s="57">
        <f>IF(OR(3299511.05107="",4741.57517="",2698.34882=""),"-",(4741.57517-2698.34882)/3299511.05107*100)</f>
        <v>0.0619251252193079</v>
      </c>
    </row>
    <row r="67" spans="1:7" ht="15">
      <c r="A67" s="52" t="str">
        <f>PROPER("EGIPT")</f>
        <v>Egipt</v>
      </c>
      <c r="B67" s="57">
        <f>IF(4438.88383="","-",4438.88383)/1000</f>
        <v>4.43888383</v>
      </c>
      <c r="C67" s="58">
        <f>IF(OR(4388.8537="",4438.88383=""),"-",4438.88383/4388.8537*100)</f>
        <v>101.13993615234884</v>
      </c>
      <c r="D67" s="58">
        <f>IF(4388.8537="","-",4388.8537/3299511.05107*100)</f>
        <v>0.13301527505345787</v>
      </c>
      <c r="E67" s="58">
        <f>IF(4438.88383="","-",4438.88383/3276222.75667*100)</f>
        <v>0.13548785170248145</v>
      </c>
      <c r="F67" s="57">
        <f>IF(OR(4347533.23603="",10064.81488="",4388.8537=""),"-",(4388.8537-10064.81488)/4347533.23603*100)</f>
        <v>-0.13055590082579954</v>
      </c>
      <c r="G67" s="57">
        <f>IF(OR(3299511.05107="",4438.88383="",4388.8537=""),"-",(4438.88383-4388.8537)/3299511.05107*100)</f>
        <v>0.0015162892084806263</v>
      </c>
    </row>
    <row r="68" spans="1:7" ht="15">
      <c r="A68" s="52" t="str">
        <f>PROPER("THAILANDA")</f>
        <v>Thailanda</v>
      </c>
      <c r="B68" s="57">
        <f>IF(4104.90728="","-",4104.90728)/1000</f>
        <v>4.10490728</v>
      </c>
      <c r="C68" s="58">
        <f>IF(OR(4196.43976="",4104.90728=""),"-",4104.90728/4196.43976*100)</f>
        <v>97.81880629212226</v>
      </c>
      <c r="D68" s="58">
        <f>IF(4196.43976="","-",4196.43976/3299511.05107*100)</f>
        <v>0.12718368555362572</v>
      </c>
      <c r="E68" s="58">
        <f>IF(4104.90728="","-",4104.90728/3276222.75667*100)</f>
        <v>0.1252939004725151</v>
      </c>
      <c r="F68" s="57">
        <f>IF(OR(4347533.23603="",7433.27677="",4196.43976=""),"-",(4196.43976-7433.27677)/4347533.23603*100)</f>
        <v>-0.07445226601546938</v>
      </c>
      <c r="G68" s="57">
        <f>IF(OR(3299511.05107="",4104.90728="",4196.43976=""),"-",(4104.90728-4196.43976)/3299511.05107*100)</f>
        <v>-0.002774122546742698</v>
      </c>
    </row>
    <row r="69" spans="1:7" ht="15">
      <c r="A69" s="52" t="str">
        <f>PROPER("INDONEZIA")</f>
        <v>Indonezia</v>
      </c>
      <c r="B69" s="57">
        <f>IF(4004.54498="","-",4004.54498)/1000</f>
        <v>4.00454498</v>
      </c>
      <c r="C69" s="58">
        <f>IF(OR(3902.18047="",4004.54498=""),"-",4004.54498/3902.18047*100)</f>
        <v>102.6232643719833</v>
      </c>
      <c r="D69" s="58">
        <f>IF(3902.18047="","-",3902.18047/3299511.05107*100)</f>
        <v>0.11826541598442472</v>
      </c>
      <c r="E69" s="58">
        <f>IF(4004.54498="","-",4004.54498/3276222.75667*100)</f>
        <v>0.12223054649892846</v>
      </c>
      <c r="F69" s="57">
        <f>IF(OR(4347533.23603="",5778.62481="",3902.18047=""),"-",(3902.18047-5778.62481)/4347533.23603*100)</f>
        <v>-0.04316112696848517</v>
      </c>
      <c r="G69" s="57">
        <f>IF(OR(3299511.05107="",4004.54498="",3902.18047=""),"-",(4004.54498-3902.18047)/3299511.05107*100)</f>
        <v>0.003102414521897252</v>
      </c>
    </row>
    <row r="70" spans="1:7" ht="15">
      <c r="A70" s="52" t="str">
        <f>PROPER("BRAZILIA")</f>
        <v>Brazilia</v>
      </c>
      <c r="B70" s="57">
        <f>IF(3288.23436="","-",3288.23436)/1000</f>
        <v>3.28823436</v>
      </c>
      <c r="C70" s="58">
        <f>IF(OR(4697.96135="",3288.23436=""),"-",3288.23436/4697.96135*100)</f>
        <v>69.9927929377282</v>
      </c>
      <c r="D70" s="58">
        <f>IF(4697.96135="","-",4697.96135/3299511.05107*100)</f>
        <v>0.1423835616030592</v>
      </c>
      <c r="E70" s="58">
        <f>IF(3288.23436="","-",3288.23436/3276222.75667*100)</f>
        <v>0.10036662962875603</v>
      </c>
      <c r="F70" s="57">
        <f>IF(OR(4347533.23603="",10933.71657="",4697.96135=""),"-",(4697.96135-10933.71657)/4347533.23603*100)</f>
        <v>-0.14343203102673122</v>
      </c>
      <c r="G70" s="57">
        <f>IF(OR(3299511.05107="",3288.23436="",4697.96135=""),"-",(3288.23436-4697.96135)/3299511.05107*100)</f>
        <v>-0.04272533015286731</v>
      </c>
    </row>
    <row r="71" spans="1:7" ht="15">
      <c r="A71" s="52" t="str">
        <f>PROPER("CANADA")</f>
        <v>Canada</v>
      </c>
      <c r="B71" s="57">
        <f>IF(3160.11503="","-",3160.11503)/1000</f>
        <v>3.16011503</v>
      </c>
      <c r="C71" s="58">
        <f>IF(OR(2792.55527="",3160.11503=""),"-",3160.11503/2792.55527*100)</f>
        <v>113.1621301805067</v>
      </c>
      <c r="D71" s="58">
        <f>IF(2792.55527="","-",2792.55527/3299511.05107*100)</f>
        <v>0.0846354270913686</v>
      </c>
      <c r="E71" s="58">
        <f>IF(3160.11503="","-",3160.11503/3276222.75667*100)</f>
        <v>0.0964560490756125</v>
      </c>
      <c r="F71" s="57">
        <f>IF(OR(4347533.23603="",5827.74878="",2792.55527=""),"-",(2792.55527-5827.74878)/4347533.23603*100)</f>
        <v>-0.06981415311206733</v>
      </c>
      <c r="G71" s="57">
        <f>IF(OR(3299511.05107="",3160.11503="",2792.55527=""),"-",(3160.11503-2792.55527)/3299511.05107*100)</f>
        <v>0.011139825092593763</v>
      </c>
    </row>
    <row r="72" spans="1:7" ht="15">
      <c r="A72" s="52" t="s">
        <v>153</v>
      </c>
      <c r="B72" s="57">
        <f>IF(3032.24109="","-",3032.24109)/1000</f>
        <v>3.03224109</v>
      </c>
      <c r="C72" s="58">
        <f>IF(OR(2950.22787="",3032.24109=""),"-",3032.24109/2950.22787*100)</f>
        <v>102.77989442218916</v>
      </c>
      <c r="D72" s="58">
        <f>IF(2950.22787="","-",2950.22787/3299511.05107*100)</f>
        <v>0.08941409270453177</v>
      </c>
      <c r="E72" s="58">
        <f>IF(3032.24109="","-",3032.24109/3276222.75667*100)</f>
        <v>0.09255295855041351</v>
      </c>
      <c r="F72" s="57">
        <f>IF(OR(4347533.23603="",1717.60996="",2950.22787=""),"-",(2950.22787-1717.60996)/4347533.23603*100)</f>
        <v>0.028352121607368764</v>
      </c>
      <c r="G72" s="57">
        <f>IF(OR(3299511.05107="",3032.24109="",2950.22787=""),"-",(3032.24109-2950.22787)/3299511.05107*100)</f>
        <v>0.0024856173757443157</v>
      </c>
    </row>
    <row r="73" spans="1:7" ht="15">
      <c r="A73" s="52" t="str">
        <f>PROPER("MEXIC")</f>
        <v>Mexic</v>
      </c>
      <c r="B73" s="57">
        <f>IF(2781.1154="","-",2781.1154)/1000</f>
        <v>2.7811154</v>
      </c>
      <c r="C73" s="58">
        <f>IF(OR(2696.55472="",2781.1154=""),"-",2781.1154/2696.55472*100)</f>
        <v>103.13587851093192</v>
      </c>
      <c r="D73" s="58">
        <f>IF(2696.55472="","-",2696.55472/3299511.05107*100)</f>
        <v>0.08172588841990795</v>
      </c>
      <c r="E73" s="58">
        <f>IF(2781.1154="","-",2781.1154/3276222.75667*100)</f>
        <v>0.08488786039770892</v>
      </c>
      <c r="F73" s="57">
        <f>IF(OR(4347533.23603="",3316.08313="",2696.55472=""),"-",(2696.55472-3316.08313)/4347533.23603*100)</f>
        <v>-0.014250113256540145</v>
      </c>
      <c r="G73" s="57">
        <f>IF(OR(3299511.05107="",2781.1154="",2696.55472=""),"-",(2781.1154-2696.55472)/3299511.05107*100)</f>
        <v>0.002562824572828081</v>
      </c>
    </row>
    <row r="74" spans="1:7" ht="15">
      <c r="A74" s="52" t="s">
        <v>154</v>
      </c>
      <c r="B74" s="57">
        <f>IF(2652.5535="","-",2652.5535)/1000</f>
        <v>2.6525535</v>
      </c>
      <c r="C74" s="58">
        <f>IF(OR(3681.66699="",2652.5535=""),"-",2652.5535/3681.66699*100)</f>
        <v>72.0476215585158</v>
      </c>
      <c r="D74" s="58">
        <f>IF(3681.66699="","-",3681.66699/3299511.05107*100)</f>
        <v>0.11158219908995518</v>
      </c>
      <c r="E74" s="58">
        <f>IF(2652.5535="","-",2652.5535/3276222.75667*100)</f>
        <v>0.0809637713003402</v>
      </c>
      <c r="F74" s="57">
        <f>IF(OR(4347533.23603="",3623.69879="",3681.66699=""),"-",(3681.66699-3623.69879)/4347533.23603*100)</f>
        <v>0.0013333584093064826</v>
      </c>
      <c r="G74" s="57">
        <f>IF(OR(3299511.05107="",2652.5535="",3681.66699=""),"-",(2652.5535-3681.66699)/3299511.05107*100)</f>
        <v>-0.031189878562954607</v>
      </c>
    </row>
    <row r="75" spans="1:7" ht="15">
      <c r="A75" s="52" t="str">
        <f>PROPER("MAROC")</f>
        <v>Maroc</v>
      </c>
      <c r="B75" s="57">
        <f>IF(2611.53294="","-",2611.53294)/1000</f>
        <v>2.61153294</v>
      </c>
      <c r="C75" s="58" t="s">
        <v>164</v>
      </c>
      <c r="D75" s="58">
        <f>IF(1063.6369="","-",1063.6369/3299511.05107*100)</f>
        <v>0.03223619753160314</v>
      </c>
      <c r="E75" s="58">
        <f>IF(2611.53294="","-",2611.53294/3276222.75667*100)</f>
        <v>0.07971170259052836</v>
      </c>
      <c r="F75" s="57">
        <f>IF(OR(4347533.23603="",1415.67396="",1063.6369=""),"-",(1063.6369-1415.67396)/4347533.23603*100)</f>
        <v>-0.008097397786002132</v>
      </c>
      <c r="G75" s="57">
        <f>IF(OR(3299511.05107="",2611.53294="",1063.6369=""),"-",(2611.53294-1063.6369)/3299511.05107*100)</f>
        <v>0.04691289151760932</v>
      </c>
    </row>
    <row r="76" spans="1:7" ht="15">
      <c r="A76" s="52" t="str">
        <f>PROPER("PAKISTAN")</f>
        <v>Pakistan</v>
      </c>
      <c r="B76" s="57">
        <f>IF(1688.32043="","-",1688.32043)/1000</f>
        <v>1.68832043</v>
      </c>
      <c r="C76" s="58">
        <f>IF(OR(2717.52544="",1688.32043=""),"-",1688.32043/2717.52544*100)</f>
        <v>62.127125109820504</v>
      </c>
      <c r="D76" s="58">
        <f>IF(2717.52544="","-",2717.52544/3299511.05107*100)</f>
        <v>0.08236145895370565</v>
      </c>
      <c r="E76" s="58">
        <f>IF(1688.32043="","-",1688.32043/3276222.75667*100)</f>
        <v>0.05153252862806047</v>
      </c>
      <c r="F76" s="57">
        <f>IF(OR(4347533.23603="",2462.57518="",2717.52544=""),"-",(2717.52544-2462.57518)/4347533.23603*100)</f>
        <v>0.005864250970805938</v>
      </c>
      <c r="G76" s="57">
        <f>IF(OR(3299511.05107="",1688.32043="",2717.52544=""),"-",(1688.32043-2717.52544)/3299511.05107*100)</f>
        <v>-0.03119265230726348</v>
      </c>
    </row>
    <row r="77" spans="1:7" ht="15">
      <c r="A77" s="52" t="str">
        <f>PROPER("IORDANIA")</f>
        <v>Iordania</v>
      </c>
      <c r="B77" s="57">
        <f>IF(1613.71593="","-",1613.71593)/1000</f>
        <v>1.6137159300000001</v>
      </c>
      <c r="C77" s="58" t="s">
        <v>140</v>
      </c>
      <c r="D77" s="58">
        <f>IF(468.21426="","-",468.21426/3299511.05107*100)</f>
        <v>0.014190413450749395</v>
      </c>
      <c r="E77" s="58">
        <f>IF(1613.71593="","-",1613.71593/3276222.75667*100)</f>
        <v>0.04925537882656685</v>
      </c>
      <c r="F77" s="57">
        <f>IF(OR(4347533.23603="",669.6553="",468.21426=""),"-",(468.21426-669.6553)/4347533.23603*100)</f>
        <v>-0.0046334560097336525</v>
      </c>
      <c r="G77" s="57">
        <f>IF(OR(3299511.05107="",1613.71593="",468.21426=""),"-",(1613.71593-468.21426)/3299511.05107*100)</f>
        <v>0.03471731575587615</v>
      </c>
    </row>
    <row r="78" spans="1:7" ht="15">
      <c r="A78" s="52" t="str">
        <f>PROPER("SINGAPORE")</f>
        <v>Singapore</v>
      </c>
      <c r="B78" s="57">
        <f>IF(1577.4987="","-",1577.4987)/1000</f>
        <v>1.5774987</v>
      </c>
      <c r="C78" s="58">
        <f>IF(OR(1876.10952="",1577.4987=""),"-",1577.4987/1876.10952*100)</f>
        <v>84.08350808858962</v>
      </c>
      <c r="D78" s="58">
        <f>IF(1876.10952="","-",1876.10952/3299511.05107*100)</f>
        <v>0.05686022840843632</v>
      </c>
      <c r="E78" s="58">
        <f>IF(1577.4987="","-",1577.4987/3276222.75667*100)</f>
        <v>0.048149921942529705</v>
      </c>
      <c r="F78" s="57">
        <f>IF(OR(4347533.23603="",1281.13252="",1876.10952=""),"-",(1876.10952-1281.13252)/4347533.23603*100)</f>
        <v>0.013685392789390379</v>
      </c>
      <c r="G78" s="57">
        <f>IF(OR(3299511.05107="",1577.4987="",1876.10952=""),"-",(1577.4987-1876.10952)/3299511.05107*100)</f>
        <v>-0.009050153655438226</v>
      </c>
    </row>
    <row r="79" spans="1:7" ht="15">
      <c r="A79" s="52" t="str">
        <f>PROPER("FILIPINE")</f>
        <v>Filipine</v>
      </c>
      <c r="B79" s="57">
        <f>IF(1543.03086="","-",1543.03086)/1000</f>
        <v>1.54303086</v>
      </c>
      <c r="C79" s="58">
        <f>IF(OR(986.0505="",1543.03086=""),"-",1543.03086/986.0505*100)</f>
        <v>156.48598727955616</v>
      </c>
      <c r="D79" s="58">
        <f>IF(986.0505="","-",986.0505/3299511.05107*100)</f>
        <v>0.02988474609534141</v>
      </c>
      <c r="E79" s="58">
        <f>IF(1543.03086="","-",1543.03086/3276222.75667*100)</f>
        <v>0.04709786161086186</v>
      </c>
      <c r="F79" s="57">
        <f>IF(OR(4347533.23603="",1152.17361="",986.0505=""),"-",(986.0505-1152.17361)/4347533.23603*100)</f>
        <v>-0.0038210889021678238</v>
      </c>
      <c r="G79" s="57">
        <f>IF(OR(3299511.05107="",1543.03086="",986.0505=""),"-",(1543.03086-986.0505)/3299511.05107*100)</f>
        <v>0.016880693877942207</v>
      </c>
    </row>
    <row r="80" spans="1:7" ht="15">
      <c r="A80" s="52" t="s">
        <v>151</v>
      </c>
      <c r="B80" s="57">
        <f>IF(1254.3768="","-",1254.3768)/1000</f>
        <v>1.2543768</v>
      </c>
      <c r="C80" s="58">
        <f>IF(OR(1242.93325="",1254.3768=""),"-",1254.3768/1242.93325*100)</f>
        <v>100.92068902332446</v>
      </c>
      <c r="D80" s="58">
        <f>IF(1242.93325="","-",1242.93325/3299511.05107*100)</f>
        <v>0.037670225398909594</v>
      </c>
      <c r="E80" s="58">
        <f>IF(1254.3768="","-",1254.3768/3276222.75667*100)</f>
        <v>0.038287286706810086</v>
      </c>
      <c r="F80" s="57">
        <f>IF(OR(4347533.23603="",1404.44565="",1242.93325=""),"-",(1242.93325-1404.44565)/4347533.23603*100)</f>
        <v>-0.0037150354288604985</v>
      </c>
      <c r="G80" s="57">
        <f>IF(OR(3299511.05107="",1254.3768="",1242.93325=""),"-",(1254.3768-1242.93325)/3299511.05107*100)</f>
        <v>0.0003468256303093431</v>
      </c>
    </row>
    <row r="81" spans="1:7" ht="15">
      <c r="A81" s="52" t="str">
        <f>PROPER("CHILE")</f>
        <v>Chile</v>
      </c>
      <c r="B81" s="57">
        <f>IF(1230.5254="","-",1230.5254)/1000</f>
        <v>1.2305253999999999</v>
      </c>
      <c r="C81" s="58">
        <f>IF(OR(1142.20561="",1230.5254=""),"-",1230.5254/1142.20561*100)</f>
        <v>107.73238979276245</v>
      </c>
      <c r="D81" s="58">
        <f>IF(1142.20561="","-",1142.20561/3299511.05107*100)</f>
        <v>0.034617420348678436</v>
      </c>
      <c r="E81" s="58">
        <f>IF(1230.5254="","-",1230.5254/3276222.75667*100)</f>
        <v>0.03755927149626186</v>
      </c>
      <c r="F81" s="57">
        <f>IF(OR(4347533.23603="",1974.5166="",1142.20561=""),"-",(1142.20561-1974.5166)/4347533.23603*100)</f>
        <v>-0.01914444225756016</v>
      </c>
      <c r="G81" s="57">
        <f>IF(OR(3299511.05107="",1230.5254="",1142.20561=""),"-",(1230.5254-1142.20561)/3299511.05107*100)</f>
        <v>0.002676753877558881</v>
      </c>
    </row>
    <row r="82" spans="1:7" ht="15">
      <c r="A82" s="52" t="str">
        <f>PROPER("GEORGIA")</f>
        <v>Georgia</v>
      </c>
      <c r="B82" s="57">
        <f>IF(1184.26911="","-",1184.26911)/1000</f>
        <v>1.18426911</v>
      </c>
      <c r="C82" s="58">
        <f>IF(OR(1676.91823="",1184.26911=""),"-",1184.26911/1676.91823*100)</f>
        <v>70.62175655398534</v>
      </c>
      <c r="D82" s="58">
        <f>IF(1676.91823="","-",1676.91823/3299511.05107*100)</f>
        <v>0.05082323423212028</v>
      </c>
      <c r="E82" s="58">
        <f>IF(1184.26911="","-",1184.26911/3276222.75667*100)</f>
        <v>0.03614739283490321</v>
      </c>
      <c r="F82" s="57">
        <f>IF(OR(4347533.23603="",1778.9206="",1676.91823=""),"-",(1676.91823-1778.9206)/4347533.23603*100)</f>
        <v>-0.0023462125408187694</v>
      </c>
      <c r="G82" s="57">
        <f>IF(OR(3299511.05107="",1184.26911="",1676.91823=""),"-",(1184.26911-1676.91823)/3299511.05107*100)</f>
        <v>-0.014930973479850555</v>
      </c>
    </row>
    <row r="83" spans="1:7" ht="15">
      <c r="A83" s="52" t="str">
        <f>PROPER("IRAN")</f>
        <v>Iran</v>
      </c>
      <c r="B83" s="57">
        <f>IF(1149.83468="","-",1149.83468)/1000</f>
        <v>1.1498346799999999</v>
      </c>
      <c r="C83" s="58">
        <f>IF(OR(772.95709="",1149.83468=""),"-",1149.83468/772.95709*100)</f>
        <v>148.75789288639552</v>
      </c>
      <c r="D83" s="58">
        <f>IF(772.95709="","-",772.95709/3299511.05107*100)</f>
        <v>0.023426413127161292</v>
      </c>
      <c r="E83" s="58">
        <f>IF(1149.83468="","-",1149.83468/3276222.75667*100)</f>
        <v>0.035096352275164236</v>
      </c>
      <c r="F83" s="57">
        <f>IF(OR(4347533.23603="",875.65265="",772.95709=""),"-",(772.95709-875.65265)/4347533.23603*100)</f>
        <v>-0.002362156984768163</v>
      </c>
      <c r="G83" s="57">
        <f>IF(OR(3299511.05107="",1149.83468="",772.95709=""),"-",(1149.83468-772.95709)/3299511.05107*100)</f>
        <v>0.011422225419665807</v>
      </c>
    </row>
    <row r="84" spans="1:7" ht="15">
      <c r="A84" s="52" t="str">
        <f>PROPER("COTE D'IVOIRE")</f>
        <v>Cote D'Ivoire</v>
      </c>
      <c r="B84" s="57">
        <f>IF(1015.49727="","-",1015.49727)/1000</f>
        <v>1.01549727</v>
      </c>
      <c r="C84" s="58">
        <f>IF(OR(1280.40452="",1015.49727=""),"-",1015.49727/1280.40452*100)</f>
        <v>79.31065957186718</v>
      </c>
      <c r="D84" s="58">
        <f>IF(1280.40452="","-",1280.40452/3299511.05107*100)</f>
        <v>0.03880588669599325</v>
      </c>
      <c r="E84" s="58">
        <f>IF(1015.49727="","-",1015.49727/3276222.75667*100)</f>
        <v>0.030995977545561215</v>
      </c>
      <c r="F84" s="57">
        <f>IF(OR(4347533.23603="",1784.92963="",1280.40452=""),"-",(1280.40452-1784.92963)/4347533.23603*100)</f>
        <v>-0.011604859183565734</v>
      </c>
      <c r="G84" s="57">
        <f>IF(OR(3299511.05107="",1015.49727="",1280.40452=""),"-",(1015.49727-1280.40452)/3299511.05107*100)</f>
        <v>-0.008028682004689548</v>
      </c>
    </row>
    <row r="85" spans="1:7" ht="15">
      <c r="A85" s="52" t="str">
        <f>PROPER("COSTA RICA")</f>
        <v>Costa Rica</v>
      </c>
      <c r="B85" s="57">
        <f>IF(992.1913="","-",992.1913)/1000</f>
        <v>0.9921913</v>
      </c>
      <c r="C85" s="58">
        <f>IF(OR(1180.71577="",992.1913=""),"-",992.1913/1180.71577*100)</f>
        <v>84.03303531721271</v>
      </c>
      <c r="D85" s="58">
        <f>IF(1180.71577="","-",1180.71577/3299511.05107*100)</f>
        <v>0.035784567826105784</v>
      </c>
      <c r="E85" s="58">
        <f>IF(992.1913="","-",992.1913/3276222.75667*100)</f>
        <v>0.03028461047039663</v>
      </c>
      <c r="F85" s="57">
        <f>IF(OR(4347533.23603="",1946.3343="",1180.71577=""),"-",(1180.71577-1946.3343)/4347533.23603*100)</f>
        <v>-0.017610412351881946</v>
      </c>
      <c r="G85" s="57">
        <f>IF(OR(3299511.05107="",992.1913="",1180.71577=""),"-",(992.1913-1180.71577)/3299511.05107*100)</f>
        <v>-0.005713709306682376</v>
      </c>
    </row>
    <row r="86" spans="1:7" ht="15">
      <c r="A86" s="52" t="str">
        <f>PROPER("ȘRI LANKA")</f>
        <v>Șri Lanka</v>
      </c>
      <c r="B86" s="57">
        <f>IF(933.04373="","-",933.04373)/1000</f>
        <v>0.93304373</v>
      </c>
      <c r="C86" s="58">
        <f>IF(OR(1737.79876="",933.04373=""),"-",933.04373/1737.79876*100)</f>
        <v>53.69112646852159</v>
      </c>
      <c r="D86" s="58">
        <f>IF(1737.79876="","-",1737.79876/3299511.05107*100)</f>
        <v>0.052668372164913595</v>
      </c>
      <c r="E86" s="58">
        <f>IF(933.04373="","-",933.04373/3276222.75667*100)</f>
        <v>0.028479251848807716</v>
      </c>
      <c r="F86" s="57">
        <f>IF(OR(4347533.23603="",1870.72948="",1737.79876=""),"-",(1737.79876-1870.72948)/4347533.23603*100)</f>
        <v>-0.003057612507670839</v>
      </c>
      <c r="G86" s="57">
        <f>IF(OR(3299511.05107="",933.04373="",1737.79876=""),"-",(933.04373-1737.79876)/3299511.05107*100)</f>
        <v>-0.02439012985693821</v>
      </c>
    </row>
    <row r="87" spans="1:7" ht="15">
      <c r="A87" s="52" t="str">
        <f>PROPER("INS.FAROE")</f>
        <v>Ins.Faroe</v>
      </c>
      <c r="B87" s="57">
        <f>IF(928.93666="","-",928.93666)/1000</f>
        <v>0.92893666</v>
      </c>
      <c r="C87" s="58">
        <f>IF(OR(1860.42148="",928.93666=""),"-",928.93666/1860.42148*100)</f>
        <v>49.93151659375595</v>
      </c>
      <c r="D87" s="58">
        <f>IF(1860.42148="","-",1860.42148/3299511.05107*100)</f>
        <v>0.056384762808922344</v>
      </c>
      <c r="E87" s="58">
        <f>IF(928.93666="","-",928.93666/3276222.75667*100)</f>
        <v>0.02835389193572981</v>
      </c>
      <c r="F87" s="57">
        <f>IF(OR(4347533.23603="",3352.18139="",1860.42148=""),"-",(1860.42148-3352.18139)/4347533.23603*100)</f>
        <v>-0.03431278909237777</v>
      </c>
      <c r="G87" s="57">
        <f>IF(OR(3299511.05107="",928.93666="",1860.42148=""),"-",(928.93666-1860.42148)/3299511.05107*100)</f>
        <v>-0.02823099561063535</v>
      </c>
    </row>
    <row r="88" spans="1:7" ht="15">
      <c r="A88" s="52" t="str">
        <f>PROPER("LIBAN")</f>
        <v>Liban</v>
      </c>
      <c r="B88" s="57">
        <f>IF(883.69847="","-",883.69847)/1000</f>
        <v>0.88369847</v>
      </c>
      <c r="C88" s="58" t="s">
        <v>34</v>
      </c>
      <c r="D88" s="58">
        <f>IF(449.31044="","-",449.31044/3299511.05107*100)</f>
        <v>0.013617485531812142</v>
      </c>
      <c r="E88" s="58">
        <f>IF(883.69847="","-",883.69847/3276222.75667*100)</f>
        <v>0.026973088694927566</v>
      </c>
      <c r="F88" s="57">
        <f>IF(OR(4347533.23603="",446.83245="",449.31044=""),"-",(449.31044-446.83245)/4347533.23603*100)</f>
        <v>5.699760911460769E-05</v>
      </c>
      <c r="G88" s="57">
        <f>IF(OR(3299511.05107="",883.69847="",449.31044=""),"-",(883.69847-449.31044)/3299511.05107*100)</f>
        <v>0.013165224279492325</v>
      </c>
    </row>
    <row r="89" spans="1:7" ht="15">
      <c r="A89" s="52" t="str">
        <f>PROPER("EMIRATELE ARABE UNITE")</f>
        <v>Emiratele Arabe Unite</v>
      </c>
      <c r="B89" s="57">
        <f>IF(805.18574="","-",805.18574)/1000</f>
        <v>0.80518574</v>
      </c>
      <c r="C89" s="58">
        <f>IF(OR(664.2244="",805.18574=""),"-",805.18574/664.2244*100)</f>
        <v>121.22194547505332</v>
      </c>
      <c r="D89" s="58">
        <f>IF(664.2244="","-",664.2244/3299511.05107*100)</f>
        <v>0.020130994857089454</v>
      </c>
      <c r="E89" s="58">
        <f>IF(805.18574="","-",805.18574/3276222.75667*100)</f>
        <v>0.02457664816474208</v>
      </c>
      <c r="F89" s="57">
        <f>IF(OR(4347533.23603="",1006.4401="",664.2244=""),"-",(664.2244-1006.4401)/4347533.23603*100)</f>
        <v>-0.007871491289908994</v>
      </c>
      <c r="G89" s="57">
        <f>IF(OR(3299511.05107="",805.18574="",664.2244=""),"-",(805.18574-664.2244)/3299511.05107*100)</f>
        <v>0.004272188752157313</v>
      </c>
    </row>
    <row r="90" spans="1:7" ht="15">
      <c r="A90" s="52" t="str">
        <f>PROPER("CAMBODJIA")</f>
        <v>Cambodjia</v>
      </c>
      <c r="B90" s="57">
        <f>IF(758.90722="","-",758.90722)/1000</f>
        <v>0.7589072200000001</v>
      </c>
      <c r="C90" s="58">
        <f>IF(OR(532.78202="",758.90722=""),"-",758.90722/532.78202*100)</f>
        <v>142.44234818584908</v>
      </c>
      <c r="D90" s="58">
        <f>IF(532.78202="","-",532.78202/3299511.05107*100)</f>
        <v>0.01614730218367427</v>
      </c>
      <c r="E90" s="58">
        <f>IF(758.90722="","-",758.90722/3276222.75667*100)</f>
        <v>0.02316409097809223</v>
      </c>
      <c r="F90" s="57">
        <f>IF(OR(4347533.23603="",842.08053="",532.78202=""),"-",(532.78202-842.08053)/4347533.23603*100)</f>
        <v>-0.007114344921775445</v>
      </c>
      <c r="G90" s="57">
        <f>IF(OR(3299511.05107="",758.90722="",532.78202=""),"-",(758.90722-532.78202)/3299511.05107*100)</f>
        <v>0.006853294215416245</v>
      </c>
    </row>
    <row r="91" spans="1:7" ht="15">
      <c r="A91" s="52" t="str">
        <f>PROPER("TUNISIA")</f>
        <v>Tunisia</v>
      </c>
      <c r="B91" s="57">
        <f>IF(741.28721="","-",741.28721)/1000</f>
        <v>0.74128721</v>
      </c>
      <c r="C91" s="58">
        <f>IF(OR(1745.77411="",741.28721=""),"-",741.28721/1745.77411*100)</f>
        <v>42.46180566854665</v>
      </c>
      <c r="D91" s="58">
        <f>IF(1745.77411="","-",1745.77411/3299511.05107*100)</f>
        <v>0.05291008525138482</v>
      </c>
      <c r="E91" s="58">
        <f>IF(741.28721="","-",741.28721/3276222.75667*100)</f>
        <v>0.022626276204535462</v>
      </c>
      <c r="F91" s="57">
        <f>IF(OR(4347533.23603="",1976.42832="",1745.77411=""),"-",(1745.77411-1976.42832)/4347533.23603*100)</f>
        <v>-0.0053054041792817775</v>
      </c>
      <c r="G91" s="57">
        <f>IF(OR(3299511.05107="",741.28721="",1745.77411=""),"-",(741.28721-1745.77411)/3299511.05107*100)</f>
        <v>-0.030443507672879424</v>
      </c>
    </row>
    <row r="92" spans="1:7" ht="15">
      <c r="A92" s="52" t="str">
        <f>PROPER("URUGUAY")</f>
        <v>Uruguay</v>
      </c>
      <c r="B92" s="57">
        <f>IF(680.27048="","-",680.27048)/1000</f>
        <v>0.68027048</v>
      </c>
      <c r="C92" s="58">
        <f>IF(OR(830.75515="",680.27048=""),"-",680.27048/830.75515*100)</f>
        <v>81.88579751807738</v>
      </c>
      <c r="D92" s="58">
        <f>IF(830.75515="","-",830.75515/3299511.05107*100)</f>
        <v>0.025178129036136854</v>
      </c>
      <c r="E92" s="58">
        <f>IF(680.27048="","-",680.27048/3276222.75667*100)</f>
        <v>0.02076386529624856</v>
      </c>
      <c r="F92" s="57">
        <f>IF(OR(4347533.23603="",948.55793="",830.75515=""),"-",(830.75515-948.55793)/4347533.23603*100)</f>
        <v>-0.002709646450168902</v>
      </c>
      <c r="G92" s="57">
        <f>IF(OR(3299511.05107="",680.27048="",830.75515=""),"-",(680.27048-830.75515)/3299511.05107*100)</f>
        <v>-0.004560817274765581</v>
      </c>
    </row>
    <row r="93" spans="1:7" ht="15">
      <c r="A93" s="52" t="str">
        <f>PROPER("COLUMBIA")</f>
        <v>Columbia</v>
      </c>
      <c r="B93" s="57">
        <f>IF(668.98925="","-",668.98925)/1000</f>
        <v>0.66898925</v>
      </c>
      <c r="C93" s="58" t="s">
        <v>34</v>
      </c>
      <c r="D93" s="58">
        <f>IF(334.46596="","-",334.46596/3299511.05107*100)</f>
        <v>0.01013683405883838</v>
      </c>
      <c r="E93" s="58">
        <f>IF(668.98925="","-",668.98925/3276222.75667*100)</f>
        <v>0.02041952881982818</v>
      </c>
      <c r="F93" s="57">
        <f>IF(OR(4347533.23603="",541.54551="",334.46596=""),"-",(334.46596-541.54551)/4347533.23603*100)</f>
        <v>-0.004763150475396874</v>
      </c>
      <c r="G93" s="57">
        <f>IF(OR(3299511.05107="",668.98925="",334.46596=""),"-",(668.98925-334.46596)/3299511.05107*100)</f>
        <v>0.010138571589009144</v>
      </c>
    </row>
    <row r="94" spans="1:7" ht="15">
      <c r="A94" s="52" t="str">
        <f>PROPER("AUSTRALIA")</f>
        <v>Australia</v>
      </c>
      <c r="B94" s="57">
        <f>IF(639.42784="","-",639.42784)/1000</f>
        <v>0.63942784</v>
      </c>
      <c r="C94" s="58">
        <f>IF(OR(710.46165="",639.42784=""),"-",639.42784/710.46165*100)</f>
        <v>90.0017390101211</v>
      </c>
      <c r="D94" s="58">
        <f>IF(710.46165="","-",710.46165/3299511.05107*100)</f>
        <v>0.02153233127585992</v>
      </c>
      <c r="E94" s="58">
        <f>IF(639.42784="","-",639.42784/3276222.75667*100)</f>
        <v>0.01951722723060271</v>
      </c>
      <c r="F94" s="57">
        <f>IF(OR(4347533.23603="",608.47662="",710.46165=""),"-",(710.46165-608.47662)/4347533.23603*100)</f>
        <v>0.0023458136939541545</v>
      </c>
      <c r="G94" s="57">
        <f>IF(OR(3299511.05107="",639.42784="",710.46165=""),"-",(639.42784-710.46165)/3299511.05107*100)</f>
        <v>-0.0021528586781657975</v>
      </c>
    </row>
    <row r="95" spans="1:7" ht="15">
      <c r="A95" s="53" t="str">
        <f>PROPER("SAN MARINO")</f>
        <v>San Marino</v>
      </c>
      <c r="B95" s="59">
        <f>IF(553.07398="","-",553.07398)/1000</f>
        <v>0.55307398</v>
      </c>
      <c r="C95" s="60" t="s">
        <v>141</v>
      </c>
      <c r="D95" s="60">
        <f>IF(58.03945="","-",58.03945/3299511.05107*100)</f>
        <v>0.0017590318414353653</v>
      </c>
      <c r="E95" s="60">
        <f>IF(553.07398="","-",553.07398/3276222.75667*100)</f>
        <v>0.01688145224173195</v>
      </c>
      <c r="F95" s="59">
        <f>IF(OR(4347533.23603="",717.7326="",58.03945=""),"-",(58.03945-717.7326)/4347533.23603*100)</f>
        <v>-0.015173964503199666</v>
      </c>
      <c r="G95" s="59">
        <f>IF(OR(3299511.05107="",553.07398="",58.03945=""),"-",(553.07398-58.03945)/3299511.05107*100)</f>
        <v>0.01500326934317935</v>
      </c>
    </row>
    <row r="96" spans="1:7" ht="15">
      <c r="A96" s="89" t="s">
        <v>35</v>
      </c>
      <c r="B96" s="89"/>
      <c r="C96" s="89"/>
      <c r="D96" s="89"/>
      <c r="E96" s="89"/>
      <c r="F96" s="89"/>
      <c r="G96" s="89"/>
    </row>
    <row r="98" ht="15">
      <c r="B98" s="38"/>
    </row>
  </sheetData>
  <sheetProtection/>
  <mergeCells count="10">
    <mergeCell ref="A96:G96"/>
    <mergeCell ref="A1:G1"/>
    <mergeCell ref="D3:E3"/>
    <mergeCell ref="F3:G3"/>
    <mergeCell ref="D4:E4"/>
    <mergeCell ref="F4:G4"/>
    <mergeCell ref="A3:A5"/>
    <mergeCell ref="B3:C3"/>
    <mergeCell ref="B4:B5"/>
    <mergeCell ref="C4:C5"/>
  </mergeCells>
  <printOptions/>
  <pageMargins left="0.5905511811023623" right="0.3937007874015748" top="0.3937007874015748" bottom="0.1968503937007874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0"/>
  <sheetViews>
    <sheetView zoomScalePageLayoutView="0" workbookViewId="0" topLeftCell="A1">
      <selection activeCell="A1" sqref="A1:D1"/>
    </sheetView>
  </sheetViews>
  <sheetFormatPr defaultColWidth="9.00390625" defaultRowHeight="15.75"/>
  <cols>
    <col min="1" max="1" width="40.00390625" style="0" customWidth="1"/>
    <col min="2" max="2" width="15.00390625" style="0" customWidth="1"/>
    <col min="3" max="3" width="15.125" style="0" customWidth="1"/>
    <col min="4" max="4" width="19.125" style="0" customWidth="1"/>
  </cols>
  <sheetData>
    <row r="1" spans="1:4" ht="15.75">
      <c r="A1" s="90" t="s">
        <v>42</v>
      </c>
      <c r="B1" s="90"/>
      <c r="C1" s="90"/>
      <c r="D1" s="90"/>
    </row>
    <row r="2" ht="15">
      <c r="A2" s="7"/>
    </row>
    <row r="3" spans="1:5" ht="25.5" customHeight="1">
      <c r="A3" s="100"/>
      <c r="B3" s="103" t="s">
        <v>146</v>
      </c>
      <c r="C3" s="94"/>
      <c r="D3" s="91" t="s">
        <v>147</v>
      </c>
      <c r="E3" s="2"/>
    </row>
    <row r="4" spans="1:5" ht="26.25" customHeight="1">
      <c r="A4" s="101"/>
      <c r="B4" s="4">
        <v>2015</v>
      </c>
      <c r="C4" s="3">
        <v>2016</v>
      </c>
      <c r="D4" s="104"/>
      <c r="E4" s="2"/>
    </row>
    <row r="5" spans="1:4" ht="15">
      <c r="A5" s="8" t="s">
        <v>43</v>
      </c>
      <c r="B5" s="81">
        <v>-1663.3952</v>
      </c>
      <c r="C5" s="81">
        <v>-1642.6592</v>
      </c>
      <c r="D5" s="82">
        <f>IF(-1663395.21096="","-",-1642659.20955/-1663395.21096*100)</f>
        <v>98.75339298361737</v>
      </c>
    </row>
    <row r="6" spans="1:4" ht="15">
      <c r="A6" s="9" t="s">
        <v>40</v>
      </c>
      <c r="B6" s="46"/>
      <c r="C6" s="61"/>
      <c r="D6" s="55"/>
    </row>
    <row r="7" spans="1:4" ht="15">
      <c r="A7" s="10" t="s">
        <v>6</v>
      </c>
      <c r="B7" s="79">
        <v>-619.6973</v>
      </c>
      <c r="C7" s="79">
        <v>-578.933</v>
      </c>
      <c r="D7" s="80">
        <f>IF(-619697.26079="","-",-578933.00114/-619697.26079*100)</f>
        <v>93.42190740071482</v>
      </c>
    </row>
    <row r="8" spans="1:4" ht="15">
      <c r="A8" s="25" t="str">
        <f>PROPER("GERMANIA")</f>
        <v>Germania</v>
      </c>
      <c r="B8" s="77">
        <v>-172.4836</v>
      </c>
      <c r="C8" s="77">
        <v>-159.0945</v>
      </c>
      <c r="D8" s="78">
        <f>IF(OR(-172483.59698="",-159094.49654="",-172483.59698=0),"-",-159094.49654/-172483.59698*100)</f>
        <v>92.23746450420296</v>
      </c>
    </row>
    <row r="9" spans="1:4" ht="15">
      <c r="A9" s="25" t="s">
        <v>7</v>
      </c>
      <c r="B9" s="77">
        <v>-104.9213</v>
      </c>
      <c r="C9" s="77">
        <v>-41.0569</v>
      </c>
      <c r="D9" s="78">
        <f>IF(OR(-104921.26125="",-41056.9228="",-104921.26125=0),"-",-41056.9228/-104921.26125*100)</f>
        <v>39.13117542703958</v>
      </c>
    </row>
    <row r="10" spans="1:4" ht="15">
      <c r="A10" s="25" t="str">
        <f>PROPER("ITALIA")</f>
        <v>Italia</v>
      </c>
      <c r="B10" s="77">
        <v>-61.1831</v>
      </c>
      <c r="C10" s="77">
        <v>-73.2269</v>
      </c>
      <c r="D10" s="78">
        <f>IF(OR(-61183.11897="",-73226.87="",-61183.11897=0),"-",-73226.87/-61183.11897*100)</f>
        <v>119.68476147138792</v>
      </c>
    </row>
    <row r="11" spans="1:4" ht="15">
      <c r="A11" s="25" t="str">
        <f>PROPER("AUSTRIA")</f>
        <v>Austria</v>
      </c>
      <c r="B11" s="77">
        <v>-58.6647</v>
      </c>
      <c r="C11" s="77">
        <v>-43.5691</v>
      </c>
      <c r="D11" s="78">
        <f>IF(OR(-58664.71554="",-43569.0638="",-58664.71554=0),"-",-43569.0638/-58664.71554*100)</f>
        <v>74.26791964974728</v>
      </c>
    </row>
    <row r="12" spans="1:4" ht="15">
      <c r="A12" s="25" t="str">
        <f>PROPER("UNGARIA")</f>
        <v>Ungaria</v>
      </c>
      <c r="B12" s="77">
        <v>-52.8171</v>
      </c>
      <c r="C12" s="77">
        <v>-60.7374</v>
      </c>
      <c r="D12" s="78">
        <f>IF(OR(-52817.10649="",-60737.41642="",-52817.10649=0),"-",-60737.41642/-52817.10649*100)</f>
        <v>114.99572857422542</v>
      </c>
    </row>
    <row r="13" spans="1:4" ht="15">
      <c r="A13" s="25" t="str">
        <f>PROPER("POLONIA")</f>
        <v>Polonia</v>
      </c>
      <c r="B13" s="77">
        <v>-44.9556</v>
      </c>
      <c r="C13" s="77">
        <v>-48.1689</v>
      </c>
      <c r="D13" s="78">
        <f>IF(OR(-44955.55728="",-48168.89986="",-44955.55728=0),"-",-48168.89986/-44955.55728*100)</f>
        <v>107.14782059086956</v>
      </c>
    </row>
    <row r="14" spans="1:4" ht="15">
      <c r="A14" s="25" t="s">
        <v>165</v>
      </c>
      <c r="B14" s="77">
        <v>-35.9319</v>
      </c>
      <c r="C14" s="77">
        <v>-43.3882</v>
      </c>
      <c r="D14" s="78">
        <f>IF(OR(-35931.94906="",-43388.22118="",-35931.94906=0),"-",-43388.22118/-35931.94906*100)</f>
        <v>120.7510928715538</v>
      </c>
    </row>
    <row r="15" spans="1:4" ht="15">
      <c r="A15" s="25" t="str">
        <f>PROPER("BULGARIA")</f>
        <v>Bulgaria</v>
      </c>
      <c r="B15" s="77">
        <v>-32.2744</v>
      </c>
      <c r="C15" s="77">
        <v>5.3213</v>
      </c>
      <c r="D15" s="78" t="s">
        <v>41</v>
      </c>
    </row>
    <row r="16" spans="1:4" ht="15">
      <c r="A16" s="25" t="str">
        <f>PROPER("SPANIA")</f>
        <v>Spania</v>
      </c>
      <c r="B16" s="77">
        <v>-27.8953</v>
      </c>
      <c r="C16" s="77">
        <v>-32.3199</v>
      </c>
      <c r="D16" s="78">
        <f>IF(OR(-27895.25863="",-32319.92561="",-27895.25863=0),"-",-32319.92561/-27895.25863*100)</f>
        <v>115.86171699889343</v>
      </c>
    </row>
    <row r="17" spans="1:4" ht="15">
      <c r="A17" s="25" t="str">
        <f>PROPER("BELGIA")</f>
        <v>Belgia</v>
      </c>
      <c r="B17" s="77">
        <v>-20.0353</v>
      </c>
      <c r="C17" s="77">
        <v>-17.5744</v>
      </c>
      <c r="D17" s="78">
        <f>IF(OR(-20035.30016="",-17574.39698="",-20035.30016=0),"-",-17574.39698/-20035.30016*100)</f>
        <v>87.71716340485314</v>
      </c>
    </row>
    <row r="18" spans="1:4" ht="15">
      <c r="A18" s="25" t="str">
        <f>PROPER("REPUBLICA CEHă")</f>
        <v>Republica Cehă</v>
      </c>
      <c r="B18" s="77">
        <v>-18.7311</v>
      </c>
      <c r="C18" s="77">
        <v>-20.1672</v>
      </c>
      <c r="D18" s="78">
        <f>IF(OR(-18731.08497="",-20167.17807="",-18731.08497=0),"-",-20167.17807/-18731.08497*100)</f>
        <v>107.66689757854428</v>
      </c>
    </row>
    <row r="19" spans="1:4" ht="15">
      <c r="A19" s="25" t="str">
        <f>PROPER("OLANDA")</f>
        <v>Olanda</v>
      </c>
      <c r="B19" s="77">
        <v>-14.0965</v>
      </c>
      <c r="C19" s="77">
        <v>-13.573</v>
      </c>
      <c r="D19" s="78">
        <f>IF(OR(-14096.45663="",-13573.03869="",-14096.45663=0),"-",-13573.03869/-14096.45663*100)</f>
        <v>96.28688291151079</v>
      </c>
    </row>
    <row r="20" spans="1:4" ht="15">
      <c r="A20" s="25" t="str">
        <f>PROPER("SLOVENIA")</f>
        <v>Slovenia</v>
      </c>
      <c r="B20" s="77">
        <v>-13.2567</v>
      </c>
      <c r="C20" s="77">
        <v>-12.7778</v>
      </c>
      <c r="D20" s="78">
        <f>IF(OR(-13256.6641="",-12777.77174="",-13256.6641=0),"-",-12777.77174/-13256.6641*100)</f>
        <v>96.38753493045057</v>
      </c>
    </row>
    <row r="21" spans="1:4" ht="15">
      <c r="A21" s="25" t="str">
        <f>PROPER("SUEDIA")</f>
        <v>Suedia</v>
      </c>
      <c r="B21" s="77">
        <v>-10.7636</v>
      </c>
      <c r="C21" s="77">
        <v>-14.1524</v>
      </c>
      <c r="D21" s="78">
        <f>IF(OR(-10763.61339="",-14152.40206="",-10763.61339=0),"-",-14152.40206/-10763.61339*100)</f>
        <v>131.48374572007924</v>
      </c>
    </row>
    <row r="22" spans="1:4" ht="15">
      <c r="A22" s="25" t="str">
        <f>PROPER("FINLANDA")</f>
        <v>Finlanda</v>
      </c>
      <c r="B22" s="77">
        <v>-10.7094</v>
      </c>
      <c r="C22" s="77">
        <v>-9.641</v>
      </c>
      <c r="D22" s="78">
        <f>IF(OR(-10709.44822="",-9640.98156="",-10709.44822=0),"-",-9640.98156/-10709.44822*100)</f>
        <v>90.02313995967945</v>
      </c>
    </row>
    <row r="23" spans="1:4" ht="15">
      <c r="A23" s="25" t="str">
        <f>PROPER("DANEMARCA")</f>
        <v>Danemarca</v>
      </c>
      <c r="B23" s="77">
        <v>-10.1433</v>
      </c>
      <c r="C23" s="77">
        <v>-8.6337</v>
      </c>
      <c r="D23" s="78">
        <f>IF(OR(-10143.29526="",-8633.66925="",-10143.29526=0),"-",-8633.66925/-10143.29526*100)</f>
        <v>85.11700614736911</v>
      </c>
    </row>
    <row r="24" spans="1:4" ht="15">
      <c r="A24" s="25" t="str">
        <f>PROPER("PORTUGALIA")</f>
        <v>Portugalia</v>
      </c>
      <c r="B24" s="77">
        <v>-5.7088</v>
      </c>
      <c r="C24" s="77">
        <v>-10.4193</v>
      </c>
      <c r="D24" s="78" t="s">
        <v>16</v>
      </c>
    </row>
    <row r="25" spans="1:4" ht="15">
      <c r="A25" s="25" t="str">
        <f>PROPER("IRLANDA")</f>
        <v>Irlanda</v>
      </c>
      <c r="B25" s="77">
        <v>-5.1217</v>
      </c>
      <c r="C25" s="77">
        <v>-4.4898</v>
      </c>
      <c r="D25" s="78">
        <f>IF(OR(-5121.71997="",-4489.79966="",-5121.71997=0),"-",-4489.79966/-5121.71997*100)</f>
        <v>87.6619511862926</v>
      </c>
    </row>
    <row r="26" spans="1:4" ht="15">
      <c r="A26" s="25" t="str">
        <f>PROPER("SLOVACIA")</f>
        <v>Slovacia</v>
      </c>
      <c r="B26" s="77">
        <v>-5.0104</v>
      </c>
      <c r="C26" s="77">
        <v>-9.1139</v>
      </c>
      <c r="D26" s="78" t="s">
        <v>16</v>
      </c>
    </row>
    <row r="27" spans="1:4" ht="15">
      <c r="A27" s="25" t="str">
        <f>PROPER("ESTONIA")</f>
        <v>Estonia</v>
      </c>
      <c r="B27" s="77">
        <v>-1.7847</v>
      </c>
      <c r="C27" s="77">
        <v>-0.6379</v>
      </c>
      <c r="D27" s="78">
        <f>IF(OR(-1784.65462="",-637.87588="",-1784.65462=0),"-",-637.87588/-1784.65462*100)</f>
        <v>35.7422591941067</v>
      </c>
    </row>
    <row r="28" spans="1:4" ht="15">
      <c r="A28" s="25" t="str">
        <f>PROPER("LUXEMBURG")</f>
        <v>Luxemburg</v>
      </c>
      <c r="B28" s="77">
        <v>-1.5108</v>
      </c>
      <c r="C28" s="77">
        <v>-1.8957</v>
      </c>
      <c r="D28" s="78">
        <f>IF(OR(-1510.84405="",-1895.69105="",-1510.84405=0),"-",-1895.69105/-1510.84405*100)</f>
        <v>125.47231794042541</v>
      </c>
    </row>
    <row r="29" spans="1:4" ht="15">
      <c r="A29" s="25" t="str">
        <f>PROPER("LITUANIA")</f>
        <v>Lituania</v>
      </c>
      <c r="B29" s="77">
        <v>-1.4785</v>
      </c>
      <c r="C29" s="77">
        <v>-5.8589</v>
      </c>
      <c r="D29" s="78" t="s">
        <v>142</v>
      </c>
    </row>
    <row r="30" spans="1:4" ht="15">
      <c r="A30" s="25" t="s">
        <v>149</v>
      </c>
      <c r="B30" s="77">
        <v>-1.0025</v>
      </c>
      <c r="C30" s="77">
        <v>-1.306</v>
      </c>
      <c r="D30" s="78">
        <f>IF(OR(-1002.49016="",-1306.02394="",-1002.49016=0),"-",-1306.02394/-1002.49016*100)</f>
        <v>130.27798098287568</v>
      </c>
    </row>
    <row r="31" spans="1:4" ht="15">
      <c r="A31" s="25" t="str">
        <f>PROPER("MALTA")</f>
        <v>Malta</v>
      </c>
      <c r="B31" s="77">
        <v>0.137</v>
      </c>
      <c r="C31" s="77">
        <v>-0.2073</v>
      </c>
      <c r="D31" s="78" t="s">
        <v>41</v>
      </c>
    </row>
    <row r="32" spans="1:4" ht="15">
      <c r="A32" s="25" t="str">
        <f>PROPER("LETONIA")</f>
        <v>Letonia</v>
      </c>
      <c r="B32" s="77">
        <v>2.9014</v>
      </c>
      <c r="C32" s="77">
        <v>-2.8536</v>
      </c>
      <c r="D32" s="78" t="s">
        <v>41</v>
      </c>
    </row>
    <row r="33" spans="1:4" ht="15">
      <c r="A33" s="25" t="str">
        <f>PROPER("GRECIA")</f>
        <v>Grecia</v>
      </c>
      <c r="B33" s="77">
        <v>4.7146</v>
      </c>
      <c r="C33" s="77">
        <v>3.3993</v>
      </c>
      <c r="D33" s="78">
        <f>IF(OR(4714.56045="",3399.33675="",4714.56045=0),"-",3399.33675/4714.56045*100)</f>
        <v>72.10294121904832</v>
      </c>
    </row>
    <row r="34" spans="1:4" ht="15">
      <c r="A34" s="25" t="str">
        <f>PROPER("CIPRU")</f>
        <v>Cipru</v>
      </c>
      <c r="B34" s="77">
        <v>6.3021</v>
      </c>
      <c r="C34" s="77">
        <v>2.0782</v>
      </c>
      <c r="D34" s="78">
        <f>IF(OR(6302.05348="",2078.24443="",6302.05348=0),"-",2078.24443/6302.05348*100)</f>
        <v>32.97725791435207</v>
      </c>
    </row>
    <row r="35" spans="1:4" ht="15">
      <c r="A35" s="25" t="s">
        <v>152</v>
      </c>
      <c r="B35" s="77">
        <v>76.7279</v>
      </c>
      <c r="C35" s="77">
        <v>45.1317</v>
      </c>
      <c r="D35" s="78">
        <f>IF(OR(76727.92937="",45131.74659="",76727.92937=0),"-",45131.74659/76727.92937*100)</f>
        <v>58.820493346515555</v>
      </c>
    </row>
    <row r="36" spans="1:4" ht="15">
      <c r="A36" s="10" t="s">
        <v>19</v>
      </c>
      <c r="B36" s="83">
        <v>-408.4097</v>
      </c>
      <c r="C36" s="83">
        <v>-484.6082</v>
      </c>
      <c r="D36" s="84">
        <f>IF(-408409.72296="","-",-484608.24539/-408409.72296*100)</f>
        <v>118.6573722774624</v>
      </c>
    </row>
    <row r="37" spans="1:4" ht="15">
      <c r="A37" s="23" t="s">
        <v>22</v>
      </c>
      <c r="B37" s="85">
        <v>-270.5505</v>
      </c>
      <c r="C37" s="85">
        <v>-274.7987</v>
      </c>
      <c r="D37" s="86">
        <f>IF(OR(-270550.4965="",-274798.71838="",-270550.4965=0),"-",-274798.71838/-270550.4965*100)</f>
        <v>101.57021403950739</v>
      </c>
    </row>
    <row r="38" spans="1:4" ht="15">
      <c r="A38" s="23" t="s">
        <v>20</v>
      </c>
      <c r="B38" s="85">
        <v>-221.7549</v>
      </c>
      <c r="C38" s="85">
        <v>-226.9326</v>
      </c>
      <c r="D38" s="86">
        <f>IF(OR(-221754.89055="",-226932.56148="",-221754.89055=0),"-",-226932.56148/-221754.89055*100)</f>
        <v>102.334862116077</v>
      </c>
    </row>
    <row r="39" spans="1:4" ht="15">
      <c r="A39" s="25" t="str">
        <f>PROPER("UZBEKISTAN")</f>
        <v>Uzbekistan</v>
      </c>
      <c r="B39" s="85">
        <v>-5.1337</v>
      </c>
      <c r="C39" s="85">
        <v>1.8817</v>
      </c>
      <c r="D39" s="86" t="s">
        <v>41</v>
      </c>
    </row>
    <row r="40" spans="1:4" ht="15">
      <c r="A40" s="25" t="str">
        <f>PROPER("TURKMENISTAN")</f>
        <v>Turkmenistan</v>
      </c>
      <c r="B40" s="85">
        <v>-1.2206</v>
      </c>
      <c r="C40" s="85">
        <v>0.8966</v>
      </c>
      <c r="D40" s="86" t="s">
        <v>41</v>
      </c>
    </row>
    <row r="41" spans="1:4" ht="15">
      <c r="A41" s="25" t="str">
        <f>PROPER("ARMENIA")</f>
        <v>Armenia</v>
      </c>
      <c r="B41" s="85">
        <v>0.3914</v>
      </c>
      <c r="C41" s="85">
        <v>0.3851</v>
      </c>
      <c r="D41" s="86">
        <f>IF(OR(391.4098="",385.13686="",391.4098=0),"-",385.13686/391.4098*100)</f>
        <v>98.39734723044748</v>
      </c>
    </row>
    <row r="42" spans="1:4" ht="15">
      <c r="A42" s="25" t="str">
        <f>PROPER("TADJIKISTAN")</f>
        <v>Tadjikistan</v>
      </c>
      <c r="B42" s="85">
        <v>0.6297</v>
      </c>
      <c r="C42" s="85">
        <v>0.4174</v>
      </c>
      <c r="D42" s="86">
        <f>IF(OR(629.71633="",417.42566="",629.71633=0),"-",417.42566/629.71633*100)</f>
        <v>66.28788870696746</v>
      </c>
    </row>
    <row r="43" spans="1:4" ht="15">
      <c r="A43" s="23" t="s">
        <v>26</v>
      </c>
      <c r="B43" s="85">
        <v>1.229</v>
      </c>
      <c r="C43" s="85">
        <v>1.4648</v>
      </c>
      <c r="D43" s="86">
        <f>IF(OR(1228.95638="",1464.78518="",1228.95638=0),"-",1464.78518/1228.95638*100)</f>
        <v>119.18935479223435</v>
      </c>
    </row>
    <row r="44" spans="1:4" ht="15">
      <c r="A44" s="23" t="s">
        <v>24</v>
      </c>
      <c r="B44" s="85">
        <v>2.6904</v>
      </c>
      <c r="C44" s="85">
        <v>2.3983</v>
      </c>
      <c r="D44" s="86">
        <f>IF(OR(2690.4463="",2398.30814="",2690.4463=0),"-",2398.30814/2690.4463*100)</f>
        <v>89.14164687100427</v>
      </c>
    </row>
    <row r="45" spans="1:4" ht="15">
      <c r="A45" s="23" t="s">
        <v>21</v>
      </c>
      <c r="B45" s="85">
        <v>40.5846</v>
      </c>
      <c r="C45" s="85">
        <v>1.3689</v>
      </c>
      <c r="D45" s="86">
        <f>IF(OR(40584.56687="",1368.86091="",40584.56687=0),"-",1368.86091/40584.56687*100)</f>
        <v>3.3728607093053844</v>
      </c>
    </row>
    <row r="46" spans="1:4" ht="15">
      <c r="A46" s="23" t="s">
        <v>23</v>
      </c>
      <c r="B46" s="85">
        <v>44.7249</v>
      </c>
      <c r="C46" s="85">
        <v>8.3103</v>
      </c>
      <c r="D46" s="86">
        <f>IF(OR(44724.94276="",8310.27767="",44724.94276=0),"-",8310.27767/44724.94276*100)</f>
        <v>18.58085702779779</v>
      </c>
    </row>
    <row r="47" spans="1:4" ht="15">
      <c r="A47" s="1" t="s">
        <v>30</v>
      </c>
      <c r="B47" s="83">
        <v>-635.2882</v>
      </c>
      <c r="C47" s="83">
        <v>-579.118</v>
      </c>
      <c r="D47" s="84">
        <f>IF(-635288.22721="","-",-579117.96302/-635288.22721*100)</f>
        <v>91.15830236038163</v>
      </c>
    </row>
    <row r="48" spans="1:4" ht="15">
      <c r="A48" s="25" t="str">
        <f>PROPER("CHINA")</f>
        <v>China</v>
      </c>
      <c r="B48" s="85">
        <v>-294.0399</v>
      </c>
      <c r="C48" s="85">
        <v>-302.5021</v>
      </c>
      <c r="D48" s="86">
        <f>IF(OR(-294039.87591="",-302502.1378="",-294039.87591=0),"-",-302502.1378/-294039.87591*100)</f>
        <v>102.87793003034396</v>
      </c>
    </row>
    <row r="49" spans="1:4" ht="15">
      <c r="A49" s="25" t="str">
        <f>PROPER("TURCIA")</f>
        <v>Turcia</v>
      </c>
      <c r="B49" s="85">
        <v>-187.3326</v>
      </c>
      <c r="C49" s="85">
        <v>-174.2125</v>
      </c>
      <c r="D49" s="86">
        <f>IF(OR(-187332.57824="",-174212.54982="",-187332.57824=0),"-",-174212.54982/-187332.57824*100)</f>
        <v>92.99639788056973</v>
      </c>
    </row>
    <row r="50" spans="1:4" ht="15">
      <c r="A50" s="25" t="str">
        <f>PROPER("JAPONIA")</f>
        <v>Japonia</v>
      </c>
      <c r="B50" s="85">
        <v>-36.9285</v>
      </c>
      <c r="C50" s="85">
        <v>-21.831</v>
      </c>
      <c r="D50" s="86">
        <f>IF(OR(-36928.45281="",-21830.98032="",-36928.45281=0),"-",-21830.98032/-36928.45281*100)</f>
        <v>59.11696445102162</v>
      </c>
    </row>
    <row r="51" spans="1:4" ht="15">
      <c r="A51" s="25" t="str">
        <f>PROPER("ISRAEL")</f>
        <v>Israel</v>
      </c>
      <c r="B51" s="85">
        <v>-25.1088</v>
      </c>
      <c r="C51" s="85">
        <v>-2.7133</v>
      </c>
      <c r="D51" s="86">
        <f>IF(OR(-25108.8104="",-2713.25331="",-25108.8104=0),"-",-2713.25331/-25108.8104*100)</f>
        <v>10.805981114899813</v>
      </c>
    </row>
    <row r="52" spans="1:4" ht="15">
      <c r="A52" s="25" t="str">
        <f>PROPER("INDIA")</f>
        <v>India</v>
      </c>
      <c r="B52" s="85">
        <v>-22.585</v>
      </c>
      <c r="C52" s="85">
        <v>-17.7237</v>
      </c>
      <c r="D52" s="86">
        <f>IF(OR(-22585.04971="",-17723.68877="",-22585.04971=0),"-",-17723.68877/-22585.04971*100)</f>
        <v>78.47531441187164</v>
      </c>
    </row>
    <row r="53" spans="1:4" ht="15">
      <c r="A53" s="25" t="s">
        <v>31</v>
      </c>
      <c r="B53" s="85">
        <v>-21.7424</v>
      </c>
      <c r="C53" s="85">
        <v>-30.9017</v>
      </c>
      <c r="D53" s="86">
        <f>IF(OR(-21742.35096="",-30901.68965="",-21742.35096=0),"-",-30901.68965/-21742.35096*100)</f>
        <v>142.12671714687474</v>
      </c>
    </row>
    <row r="54" spans="1:4" ht="15">
      <c r="A54" s="25" t="s">
        <v>132</v>
      </c>
      <c r="B54" s="85">
        <v>-20.1981</v>
      </c>
      <c r="C54" s="85">
        <v>-18.2994</v>
      </c>
      <c r="D54" s="86">
        <f>IF(OR(-20198.05893="",-18299.39991="",-20198.05893=0),"-",-18299.39991/-20198.05893*100)</f>
        <v>90.5997946308596</v>
      </c>
    </row>
    <row r="55" spans="1:4" ht="15">
      <c r="A55" s="25" t="str">
        <f>PROPER("SERBIA")</f>
        <v>Serbia</v>
      </c>
      <c r="B55" s="85">
        <v>-10.6496</v>
      </c>
      <c r="C55" s="85">
        <v>-12.5237</v>
      </c>
      <c r="D55" s="86">
        <f>IF(OR(-10649.59607="",-12523.70683="",-10649.59607=0),"-",-12523.70683/-10649.59607*100)</f>
        <v>117.59795158127532</v>
      </c>
    </row>
    <row r="56" spans="1:4" ht="15">
      <c r="A56" s="25" t="str">
        <f>PROPER("VIETNAM")</f>
        <v>Vietnam</v>
      </c>
      <c r="B56" s="85">
        <v>-8.7153</v>
      </c>
      <c r="C56" s="85">
        <v>-15.6036</v>
      </c>
      <c r="D56" s="86" t="s">
        <v>16</v>
      </c>
    </row>
    <row r="57" spans="1:4" ht="15">
      <c r="A57" s="25" t="s">
        <v>174</v>
      </c>
      <c r="B57" s="85">
        <v>-8.275</v>
      </c>
      <c r="C57" s="85">
        <v>-10.5667</v>
      </c>
      <c r="D57" s="86">
        <f>IF(OR(-8275.04465="",-10566.70505="",-8275.04465=0),"-",-10566.70505/-8275.04465*100)</f>
        <v>127.69363184040343</v>
      </c>
    </row>
    <row r="58" spans="1:4" ht="15">
      <c r="A58" s="25" t="str">
        <f>PROPER("ECUADOR")</f>
        <v>Ecuador</v>
      </c>
      <c r="B58" s="85">
        <v>-6.238</v>
      </c>
      <c r="C58" s="85">
        <v>-7.931</v>
      </c>
      <c r="D58" s="86">
        <f>IF(OR(-6237.96625="",-7931.00102="",-6237.96625=0),"-",-7931.00102/-6237.96625*100)</f>
        <v>127.14081324181579</v>
      </c>
    </row>
    <row r="59" spans="1:4" ht="15">
      <c r="A59" s="25" t="str">
        <f>PROPER("ARGENTINA")</f>
        <v>Argentina</v>
      </c>
      <c r="B59" s="85">
        <v>-4.9377</v>
      </c>
      <c r="C59" s="85">
        <v>-5.1183</v>
      </c>
      <c r="D59" s="86">
        <f>IF(OR(-4937.73541="",-5118.27597="",-4937.73541=0),"-",-5118.27597/-4937.73541*100)</f>
        <v>103.65634334384069</v>
      </c>
    </row>
    <row r="60" spans="1:4" ht="15">
      <c r="A60" s="25" t="str">
        <f>PROPER("BRAZILIA")</f>
        <v>Brazilia</v>
      </c>
      <c r="B60" s="85">
        <v>-4.6875</v>
      </c>
      <c r="C60" s="85">
        <v>-3.2714</v>
      </c>
      <c r="D60" s="86">
        <f>IF(OR(-4687.47976="",-3271.37338="",-4687.47976=0),"-",-3271.37338/-4687.47976*100)</f>
        <v>69.78960011552134</v>
      </c>
    </row>
    <row r="61" spans="1:4" ht="15">
      <c r="A61" s="25" t="str">
        <f>PROPER("NORVEGIA")</f>
        <v>Norvegia</v>
      </c>
      <c r="B61" s="85">
        <v>-4.4365</v>
      </c>
      <c r="C61" s="85">
        <v>-4.3911</v>
      </c>
      <c r="D61" s="86">
        <f>IF(OR(-4436.45857="",-4391.07622="",-4436.45857=0),"-",-4391.07622/-4436.45857*100)</f>
        <v>98.9770590825105</v>
      </c>
    </row>
    <row r="62" spans="1:4" ht="15">
      <c r="A62" s="25" t="str">
        <f>PROPER("BANGLADESH")</f>
        <v>Bangladesh</v>
      </c>
      <c r="B62" s="85">
        <v>-4.086</v>
      </c>
      <c r="C62" s="85">
        <v>-3.4129</v>
      </c>
      <c r="D62" s="86">
        <f>IF(OR(-4085.99966="",-3412.92972="",-4085.99966=0),"-",-3412.92972/-4085.99966*100)</f>
        <v>83.52741076831123</v>
      </c>
    </row>
    <row r="63" spans="1:4" ht="15">
      <c r="A63" s="25" t="s">
        <v>154</v>
      </c>
      <c r="B63" s="85">
        <v>-3.5982</v>
      </c>
      <c r="C63" s="85">
        <v>-2.5975</v>
      </c>
      <c r="D63" s="86">
        <f>IF(OR(-3598.15447="",-2597.50212="",-3598.15447=0),"-",-2597.50212/-3598.15447*100)</f>
        <v>72.18984458996837</v>
      </c>
    </row>
    <row r="64" spans="1:4" ht="15">
      <c r="A64" s="25" t="str">
        <f>PROPER("MALAYSIA")</f>
        <v>Malaysia</v>
      </c>
      <c r="B64" s="85">
        <v>-3.5039</v>
      </c>
      <c r="C64" s="85">
        <v>3.545</v>
      </c>
      <c r="D64" s="86" t="s">
        <v>41</v>
      </c>
    </row>
    <row r="65" spans="1:4" ht="15">
      <c r="A65" s="25" t="str">
        <f>PROPER("THAILANDA")</f>
        <v>Thailanda</v>
      </c>
      <c r="B65" s="85">
        <v>-3.4706</v>
      </c>
      <c r="C65" s="85">
        <v>-3.7335</v>
      </c>
      <c r="D65" s="86">
        <f>IF(OR(-3470.60845="",-3733.4679="",-3470.60845=0),"-",-3733.4679/-3470.60845*100)</f>
        <v>107.57387224133565</v>
      </c>
    </row>
    <row r="66" spans="1:4" ht="15">
      <c r="A66" s="25" t="str">
        <f>PROPER("EGIPT")</f>
        <v>Egipt</v>
      </c>
      <c r="B66" s="85">
        <v>-2.7774</v>
      </c>
      <c r="C66" s="85">
        <v>-0.2289</v>
      </c>
      <c r="D66" s="86">
        <f>IF(OR(-2777.38302="",-228.8508="",-2777.38302=0),"-",-228.8508/-2777.38302*100)</f>
        <v>8.239799781018318</v>
      </c>
    </row>
    <row r="67" spans="1:4" ht="15">
      <c r="A67" s="28" t="s">
        <v>153</v>
      </c>
      <c r="B67" s="85">
        <v>-2.7403</v>
      </c>
      <c r="C67" s="85">
        <v>-2.7934</v>
      </c>
      <c r="D67" s="86">
        <f>IF(OR(-2740.3297="",-2793.39712="",-2740.3297=0),"-",-2793.39712/-2740.3297*100)</f>
        <v>101.93653413310086</v>
      </c>
    </row>
    <row r="68" spans="1:4" ht="15">
      <c r="A68" s="25" t="str">
        <f>PROPER("ISLANDA")</f>
        <v>Islanda</v>
      </c>
      <c r="B68" s="85">
        <v>-2.6983</v>
      </c>
      <c r="C68" s="85">
        <v>-4.6943</v>
      </c>
      <c r="D68" s="86" t="s">
        <v>155</v>
      </c>
    </row>
    <row r="69" spans="1:4" ht="15">
      <c r="A69" s="25" t="str">
        <f>PROPER("MEXIC")</f>
        <v>Mexic</v>
      </c>
      <c r="B69" s="85">
        <v>-2.69</v>
      </c>
      <c r="C69" s="85">
        <v>-2.7572</v>
      </c>
      <c r="D69" s="86">
        <f>IF(OR(-2689.96272="",-2757.1878="",-2689.96272=0),"-",-2757.1878/-2689.96272*100)</f>
        <v>102.49910824042945</v>
      </c>
    </row>
    <row r="70" spans="1:4" ht="15">
      <c r="A70" s="25" t="str">
        <f>PROPER("PAKISTAN")</f>
        <v>Pakistan</v>
      </c>
      <c r="B70" s="85">
        <v>-2.0889</v>
      </c>
      <c r="C70" s="85">
        <v>-0.8034</v>
      </c>
      <c r="D70" s="86">
        <f>IF(OR(-2088.88939="",-803.44513="",-2088.88939=0),"-",-803.44513/-2088.88939*100)</f>
        <v>38.46278954961804</v>
      </c>
    </row>
    <row r="71" spans="1:4" ht="15">
      <c r="A71" s="25" t="str">
        <f>PROPER("INS. FAROE")</f>
        <v>Ins. Faroe</v>
      </c>
      <c r="B71" s="85">
        <v>-1.8604</v>
      </c>
      <c r="C71" s="85">
        <v>-0.9289</v>
      </c>
      <c r="D71" s="86">
        <f>IF(OR(-1860.42148="",-928.93666="",-1860.42148=0),"-",-928.93666/-1860.42148*100)</f>
        <v>49.93151659375595</v>
      </c>
    </row>
    <row r="72" spans="1:4" ht="15">
      <c r="A72" s="25" t="str">
        <f>PROPER("TUNISIA")</f>
        <v>Tunisia</v>
      </c>
      <c r="B72" s="85">
        <v>-1.7281</v>
      </c>
      <c r="C72" s="85">
        <v>-0.7386</v>
      </c>
      <c r="D72" s="86">
        <f>IF(OR(-1728.11511="",-738.60404="",-1728.11511=0),"-",-738.60404/-1728.11511*100)</f>
        <v>42.74044221510221</v>
      </c>
    </row>
    <row r="73" spans="1:4" ht="15">
      <c r="A73" s="25" t="str">
        <f>PROPER("SINGAPORE")</f>
        <v>Singapore</v>
      </c>
      <c r="B73" s="85">
        <v>-1.4197</v>
      </c>
      <c r="C73" s="85">
        <v>-1.3448</v>
      </c>
      <c r="D73" s="86">
        <f>IF(OR(-1419.72232="",-1344.83196="",-1419.72232=0),"-",-1344.83196/-1419.72232*100)</f>
        <v>94.72499946327531</v>
      </c>
    </row>
    <row r="74" spans="1:4" ht="15">
      <c r="A74" s="25" t="str">
        <f>PROPER("COSTA RICA")</f>
        <v>Costa Rica</v>
      </c>
      <c r="B74" s="85">
        <v>-1.1807</v>
      </c>
      <c r="C74" s="85">
        <v>-0.9922</v>
      </c>
      <c r="D74" s="86">
        <f>IF(OR(-1180.69525="",-992.1913="",-1180.69525=0),"-",-992.1913/-1180.69525*100)</f>
        <v>84.03449577695852</v>
      </c>
    </row>
    <row r="75" spans="1:4" ht="15">
      <c r="A75" s="25" t="str">
        <f>PROPER("CHILE")</f>
        <v>Chile</v>
      </c>
      <c r="B75" s="85">
        <v>-1.1422</v>
      </c>
      <c r="C75" s="85">
        <v>-1.2024</v>
      </c>
      <c r="D75" s="86">
        <f>IF(OR(-1142.20561="",-1202.39424="",-1142.20561=0),"-",-1202.39424/-1142.20561*100)</f>
        <v>105.2695092261016</v>
      </c>
    </row>
    <row r="76" spans="1:4" ht="15">
      <c r="A76" s="25" t="str">
        <f>PROPER("MAROC")</f>
        <v>Maroc</v>
      </c>
      <c r="B76" s="85">
        <v>-1.0467</v>
      </c>
      <c r="C76" s="85">
        <v>-2.5417</v>
      </c>
      <c r="D76" s="86" t="s">
        <v>157</v>
      </c>
    </row>
    <row r="77" spans="1:4" ht="15">
      <c r="A77" s="25" t="str">
        <f>PROPER("COTE D'IVOIRE")</f>
        <v>Cote D'Ivoire</v>
      </c>
      <c r="B77" s="85">
        <v>-0.8864</v>
      </c>
      <c r="C77" s="85">
        <v>-0.6193</v>
      </c>
      <c r="D77" s="86">
        <f>IF(OR(-886.43575="",-619.28978="",-886.43575=0),"-",-619.28978/-886.43575*100)</f>
        <v>69.86290658967668</v>
      </c>
    </row>
    <row r="78" spans="1:4" ht="15">
      <c r="A78" s="25" t="str">
        <f>PROPER("CANADA")</f>
        <v>Canada</v>
      </c>
      <c r="B78" s="85">
        <v>-0.8807</v>
      </c>
      <c r="C78" s="85">
        <v>-1.1974</v>
      </c>
      <c r="D78" s="86">
        <f>IF(OR(-880.68078="",-1197.37839="",-880.68078=0),"-",-1197.37839/-880.68078*100)</f>
        <v>135.96054520458594</v>
      </c>
    </row>
    <row r="79" spans="1:4" ht="15">
      <c r="A79" s="25" t="str">
        <f>PROPER("URUGUAY")</f>
        <v>Uruguay</v>
      </c>
      <c r="B79" s="85">
        <v>-0.8308</v>
      </c>
      <c r="C79" s="85">
        <v>-0.6803</v>
      </c>
      <c r="D79" s="86">
        <f>IF(OR(-830.75515="",-680.27048="",-830.75515=0),"-",-680.27048/-830.75515*100)</f>
        <v>81.88579751807738</v>
      </c>
    </row>
    <row r="80" spans="1:7" ht="15">
      <c r="A80" s="25" t="str">
        <f>PROPER("FILIPINE")</f>
        <v>Filipine</v>
      </c>
      <c r="B80" s="85">
        <v>-0.6976</v>
      </c>
      <c r="C80" s="85">
        <v>-1.2895</v>
      </c>
      <c r="D80" s="86" t="s">
        <v>16</v>
      </c>
      <c r="E80" s="22"/>
      <c r="F80" s="22"/>
      <c r="G80" s="22"/>
    </row>
    <row r="81" spans="1:4" ht="15">
      <c r="A81" s="28" t="s">
        <v>151</v>
      </c>
      <c r="B81" s="85">
        <v>-0.6141</v>
      </c>
      <c r="C81" s="85">
        <v>-0.3059</v>
      </c>
      <c r="D81" s="86">
        <f>IF(OR(-614.14692="",-305.92999="",-614.14692=0),"-",-305.92999/-614.14692*100)</f>
        <v>49.81381165275566</v>
      </c>
    </row>
    <row r="82" spans="1:4" ht="15">
      <c r="A82" s="25" t="str">
        <f>PROPER("AUSTRALIA")</f>
        <v>Australia</v>
      </c>
      <c r="B82" s="85">
        <v>-0.5596</v>
      </c>
      <c r="C82" s="85">
        <v>-0.462</v>
      </c>
      <c r="D82" s="86">
        <f>IF(OR(-559.55526="",-462.01448="",-559.55526=0),"-",-462.01448/-559.55526*100)</f>
        <v>82.5681595773043</v>
      </c>
    </row>
    <row r="83" spans="1:4" ht="15">
      <c r="A83" s="25" t="str">
        <f>PROPER("LIBIA")</f>
        <v>Libia</v>
      </c>
      <c r="B83" s="85">
        <v>-0.5418</v>
      </c>
      <c r="C83" s="85">
        <v>0.8016</v>
      </c>
      <c r="D83" s="86" t="s">
        <v>41</v>
      </c>
    </row>
    <row r="84" spans="1:4" ht="15">
      <c r="A84" s="25" t="str">
        <f>PROPER("CAMBODJIA")</f>
        <v>Cambodjia</v>
      </c>
      <c r="B84" s="85">
        <v>-0.424</v>
      </c>
      <c r="C84" s="85">
        <v>-0.3078</v>
      </c>
      <c r="D84" s="86">
        <f>IF(OR(-424.00042="",-307.80686="",-424.00042=0),"-",-307.80686/-424.00042*100)</f>
        <v>72.59588563615101</v>
      </c>
    </row>
    <row r="85" spans="1:4" ht="15">
      <c r="A85" s="25" t="str">
        <f>PROPER("COLUMBIA")</f>
        <v>Columbia</v>
      </c>
      <c r="B85" s="85">
        <v>-0.2889</v>
      </c>
      <c r="C85" s="85">
        <v>-0.6677</v>
      </c>
      <c r="D85" s="86" t="s">
        <v>32</v>
      </c>
    </row>
    <row r="86" spans="1:4" ht="15">
      <c r="A86" s="25" t="str">
        <f>PROPER("IRAN")</f>
        <v>Iran</v>
      </c>
      <c r="B86" s="85">
        <v>-0.1322</v>
      </c>
      <c r="C86" s="85">
        <v>-0.2318</v>
      </c>
      <c r="D86" s="86" t="s">
        <v>16</v>
      </c>
    </row>
    <row r="87" spans="1:4" ht="15">
      <c r="A87" s="25" t="str">
        <f>PROPER("ȘRI LANKA")</f>
        <v>Șri Lanka</v>
      </c>
      <c r="B87" s="85">
        <v>-0.1169</v>
      </c>
      <c r="C87" s="85">
        <v>-0.933</v>
      </c>
      <c r="D87" s="86" t="s">
        <v>166</v>
      </c>
    </row>
    <row r="88" spans="1:4" ht="15">
      <c r="A88" s="25" t="str">
        <f>PROPER("SAN MARINO")</f>
        <v>San Marino</v>
      </c>
      <c r="B88" s="85">
        <v>-0.0579</v>
      </c>
      <c r="C88" s="85">
        <v>-0.5531</v>
      </c>
      <c r="D88" s="86" t="s">
        <v>167</v>
      </c>
    </row>
    <row r="89" spans="1:4" ht="15">
      <c r="A89" s="25" t="str">
        <f>PROPER("MACEDONIA")</f>
        <v>Macedonia</v>
      </c>
      <c r="B89" s="85">
        <v>-0.0318</v>
      </c>
      <c r="C89" s="85">
        <v>-1.5807</v>
      </c>
      <c r="D89" s="86" t="s">
        <v>168</v>
      </c>
    </row>
    <row r="90" spans="1:4" ht="15">
      <c r="A90" s="25" t="str">
        <f>PROPER("EMIRATELE ARABE UNITE")</f>
        <v>Emiratele Arabe Unite</v>
      </c>
      <c r="B90" s="85">
        <v>0.0717</v>
      </c>
      <c r="C90" s="85">
        <v>-0.042</v>
      </c>
      <c r="D90" s="86" t="s">
        <v>41</v>
      </c>
    </row>
    <row r="91" spans="1:4" ht="15">
      <c r="A91" s="25" t="str">
        <f>PROPER("IORDANIA")</f>
        <v>Iordania</v>
      </c>
      <c r="B91" s="85">
        <v>0.0969</v>
      </c>
      <c r="C91" s="85">
        <v>0.952</v>
      </c>
      <c r="D91" s="86" t="s">
        <v>169</v>
      </c>
    </row>
    <row r="92" spans="1:4" ht="15">
      <c r="A92" s="25" t="str">
        <f>PROPER("ARABIA SAUDITă")</f>
        <v>Arabia Saudită</v>
      </c>
      <c r="B92" s="85">
        <v>0.1268</v>
      </c>
      <c r="C92" s="85">
        <v>0.9906</v>
      </c>
      <c r="D92" s="86" t="s">
        <v>170</v>
      </c>
    </row>
    <row r="93" spans="1:4" ht="15">
      <c r="A93" s="25" t="str">
        <f>PROPER("MYANMAR")</f>
        <v>Myanmar</v>
      </c>
      <c r="B93" s="85">
        <v>0.4359</v>
      </c>
      <c r="C93" s="85">
        <v>3.4311</v>
      </c>
      <c r="D93" s="86" t="s">
        <v>171</v>
      </c>
    </row>
    <row r="94" spans="1:4" ht="15">
      <c r="A94" s="25" t="str">
        <f>PROPER("NIGERIA")</f>
        <v>Nigeria</v>
      </c>
      <c r="B94" s="85">
        <v>0.6156</v>
      </c>
      <c r="C94" s="85">
        <v>0.6418</v>
      </c>
      <c r="D94" s="86">
        <f>IF(OR(615.61177="",641.80735="",615.61177=0),"-",641.80735/615.61177*100)</f>
        <v>104.25521103990589</v>
      </c>
    </row>
    <row r="95" spans="1:4" ht="15">
      <c r="A95" s="25" t="str">
        <f>PROPER("INDONEZIA")</f>
        <v>Indonezia</v>
      </c>
      <c r="B95" s="85">
        <v>3.4475</v>
      </c>
      <c r="C95" s="85">
        <v>-0.4508</v>
      </c>
      <c r="D95" s="86" t="s">
        <v>41</v>
      </c>
    </row>
    <row r="96" spans="1:4" ht="15">
      <c r="A96" s="25" t="str">
        <f>PROPER("ELVEţIA")</f>
        <v>Elveţia</v>
      </c>
      <c r="B96" s="85">
        <v>5.7547</v>
      </c>
      <c r="C96" s="85">
        <v>10.1769</v>
      </c>
      <c r="D96" s="86" t="s">
        <v>16</v>
      </c>
    </row>
    <row r="97" spans="1:4" ht="15">
      <c r="A97" s="25" t="str">
        <f>PROPER("LIBAN")</f>
        <v>Liban</v>
      </c>
      <c r="B97" s="85">
        <v>6.3568</v>
      </c>
      <c r="C97" s="85">
        <v>8.2587</v>
      </c>
      <c r="D97" s="86">
        <f>IF(OR(6356.80903="",8258.67456="",6356.80903=0),"-",8258.67456/6356.80903*100)</f>
        <v>129.91855695246517</v>
      </c>
    </row>
    <row r="98" spans="1:4" ht="15">
      <c r="A98" s="25" t="str">
        <f>PROPER("IRAK")</f>
        <v>Irak</v>
      </c>
      <c r="B98" s="85">
        <v>10.669</v>
      </c>
      <c r="C98" s="85">
        <v>25.0875</v>
      </c>
      <c r="D98" s="86" t="s">
        <v>157</v>
      </c>
    </row>
    <row r="99" spans="1:4" ht="15">
      <c r="A99" s="29" t="str">
        <f>PROPER("GEORGIA")</f>
        <v>Georgia</v>
      </c>
      <c r="B99" s="87">
        <v>14.5375</v>
      </c>
      <c r="C99" s="87">
        <v>12.4569</v>
      </c>
      <c r="D99" s="88">
        <f>IF(OR(14537.48218="",12456.87264="",14537.48218=0),"-",12456.87264/14537.48218*100)</f>
        <v>85.68796498431888</v>
      </c>
    </row>
    <row r="100" spans="1:7" ht="15">
      <c r="A100" s="105" t="s">
        <v>35</v>
      </c>
      <c r="B100" s="105"/>
      <c r="C100" s="105"/>
      <c r="D100" s="105"/>
      <c r="E100" s="22"/>
      <c r="F100" s="22"/>
      <c r="G100" s="22"/>
    </row>
  </sheetData>
  <sheetProtection/>
  <mergeCells count="5">
    <mergeCell ref="A3:A4"/>
    <mergeCell ref="A1:D1"/>
    <mergeCell ref="B3:C3"/>
    <mergeCell ref="D3:D4"/>
    <mergeCell ref="A100:D100"/>
  </mergeCells>
  <printOptions/>
  <pageMargins left="0.5905511811023623" right="0.3937007874015748" top="0.3937007874015748" bottom="0.1968503937007874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73"/>
  <sheetViews>
    <sheetView zoomScalePageLayoutView="0" workbookViewId="0" topLeftCell="A1">
      <selection activeCell="A1" sqref="A1:G1"/>
    </sheetView>
  </sheetViews>
  <sheetFormatPr defaultColWidth="9.00390625" defaultRowHeight="15.75"/>
  <cols>
    <col min="1" max="1" width="29.875" style="0" customWidth="1"/>
    <col min="2" max="2" width="10.125" style="0" customWidth="1"/>
    <col min="3" max="3" width="10.50390625" style="0" customWidth="1"/>
    <col min="4" max="4" width="8.375" style="0" customWidth="1"/>
    <col min="5" max="5" width="8.25390625" style="0" customWidth="1"/>
    <col min="6" max="6" width="9.875" style="0" customWidth="1"/>
    <col min="7" max="7" width="9.625" style="0" customWidth="1"/>
  </cols>
  <sheetData>
    <row r="1" spans="1:7" ht="15.75">
      <c r="A1" s="90" t="s">
        <v>133</v>
      </c>
      <c r="B1" s="90"/>
      <c r="C1" s="90"/>
      <c r="D1" s="90"/>
      <c r="E1" s="90"/>
      <c r="F1" s="90"/>
      <c r="G1" s="90"/>
    </row>
    <row r="2" spans="1:7" ht="15.75">
      <c r="A2" s="90" t="s">
        <v>49</v>
      </c>
      <c r="B2" s="90"/>
      <c r="C2" s="90"/>
      <c r="D2" s="90"/>
      <c r="E2" s="90"/>
      <c r="F2" s="90"/>
      <c r="G2" s="90"/>
    </row>
    <row r="3" ht="15">
      <c r="A3" s="15"/>
    </row>
    <row r="4" spans="1:7" ht="52.5" customHeight="1">
      <c r="A4" s="106"/>
      <c r="B4" s="102" t="s">
        <v>143</v>
      </c>
      <c r="C4" s="107"/>
      <c r="D4" s="102" t="s">
        <v>0</v>
      </c>
      <c r="E4" s="102"/>
      <c r="F4" s="93" t="s">
        <v>122</v>
      </c>
      <c r="G4" s="108"/>
    </row>
    <row r="5" spans="1:7" ht="24.75" customHeight="1">
      <c r="A5" s="106"/>
      <c r="B5" s="102" t="s">
        <v>123</v>
      </c>
      <c r="C5" s="98" t="s">
        <v>144</v>
      </c>
      <c r="D5" s="102" t="s">
        <v>145</v>
      </c>
      <c r="E5" s="102"/>
      <c r="F5" s="102" t="s">
        <v>145</v>
      </c>
      <c r="G5" s="93"/>
    </row>
    <row r="6" spans="1:7" ht="27.75" customHeight="1">
      <c r="A6" s="106"/>
      <c r="B6" s="102"/>
      <c r="C6" s="99"/>
      <c r="D6" s="12">
        <v>2015</v>
      </c>
      <c r="E6" s="12">
        <v>2016</v>
      </c>
      <c r="F6" s="12" t="s">
        <v>3</v>
      </c>
      <c r="G6" s="3" t="s">
        <v>4</v>
      </c>
    </row>
    <row r="7" spans="1:7" ht="15">
      <c r="A7" s="16" t="s">
        <v>124</v>
      </c>
      <c r="B7" s="42">
        <f>IF(1633563.54712="","-",1633563.54712)/1000</f>
        <v>1633.56354712</v>
      </c>
      <c r="C7" s="42">
        <f>IF(1636115.84011="","-",1633563.54712/1636115.84011*100)</f>
        <v>99.84400291669884</v>
      </c>
      <c r="D7" s="42">
        <v>100</v>
      </c>
      <c r="E7" s="42">
        <v>100</v>
      </c>
      <c r="F7" s="42">
        <f>IF(1949953.70412="","-",(1636115.84011-1949953.70412)/1949953.70412*100)</f>
        <v>-16.094631546733705</v>
      </c>
      <c r="G7" s="42">
        <f>IF(1636115.84011="","-",(1633563.54712-1636115.84011)/1636115.84011*100)</f>
        <v>-0.15599708330116713</v>
      </c>
    </row>
    <row r="8" spans="1:7" ht="15">
      <c r="A8" s="17" t="s">
        <v>125</v>
      </c>
      <c r="B8" s="62"/>
      <c r="C8" s="62"/>
      <c r="D8" s="62"/>
      <c r="E8" s="63"/>
      <c r="F8" s="62"/>
      <c r="G8" s="62"/>
    </row>
    <row r="9" spans="1:7" ht="15">
      <c r="A9" s="18" t="s">
        <v>50</v>
      </c>
      <c r="B9" s="64">
        <f>IF(385095.60958="","-",385095.60958)/1000</f>
        <v>385.09560958</v>
      </c>
      <c r="C9" s="64">
        <f>IF(404852.14779="","-",385095.60958/404852.14779*100)</f>
        <v>95.12006091165709</v>
      </c>
      <c r="D9" s="64">
        <f>IF(404852.14779="","-",404852.14779/1636115.84011*100)</f>
        <v>24.74471170469084</v>
      </c>
      <c r="E9" s="64">
        <f>IF(385095.60958="","-",385095.60958/1633563.54712*100)</f>
        <v>23.57395953520939</v>
      </c>
      <c r="F9" s="64">
        <f>IF(1949953.70412="","-",(404852.14779-500967.06771)/1949953.70412*100)</f>
        <v>-4.929087276119508</v>
      </c>
      <c r="G9" s="64">
        <f>IF(1636115.84011="","-",(385095.60958-404852.14779)/1636115.84011*100)</f>
        <v>-1.2075268587749721</v>
      </c>
    </row>
    <row r="10" spans="1:7" ht="15">
      <c r="A10" s="17" t="s">
        <v>51</v>
      </c>
      <c r="B10" s="57">
        <f>IF(7787.54023="","-",7787.54023)/1000</f>
        <v>7.787540229999999</v>
      </c>
      <c r="C10" s="57">
        <f>IF(OR(6051.1049="",7787.54023=""),"-",7787.54023/6051.1049*100)</f>
        <v>128.69616968629975</v>
      </c>
      <c r="D10" s="57">
        <f>IF(6051.1049="","-",6051.1049/1636115.84011*100)</f>
        <v>0.36984575001689185</v>
      </c>
      <c r="E10" s="57">
        <f>IF(7787.54023="","-",7787.54023/1633563.54712*100)</f>
        <v>0.47672098485115955</v>
      </c>
      <c r="F10" s="57">
        <f>IF(OR(1949953.70412="",5377.88215="",6051.1049=""),"-",(6051.1049-5377.88215)/1949953.70412*100)</f>
        <v>0.03452506326573638</v>
      </c>
      <c r="G10" s="57">
        <f>IF(OR(1636115.84011="",7787.54023="",6051.1049=""),"-",(7787.54023-6051.1049)/1636115.84011*100)</f>
        <v>0.1061315640024153</v>
      </c>
    </row>
    <row r="11" spans="1:7" ht="15">
      <c r="A11" s="17" t="s">
        <v>52</v>
      </c>
      <c r="B11" s="57">
        <f>IF(6121.58236="","-",6121.58236)/1000</f>
        <v>6.1215823600000006</v>
      </c>
      <c r="C11" s="57">
        <f>IF(OR(5929.87048="",6121.58236=""),"-",6121.58236/5929.87048*100)</f>
        <v>103.23298595891089</v>
      </c>
      <c r="D11" s="57">
        <f>IF(5929.87048="","-",5929.87048/1636115.84011*100)</f>
        <v>0.36243585781806986</v>
      </c>
      <c r="E11" s="57">
        <f>IF(6121.58236="","-",6121.58236/1633563.54712*100)</f>
        <v>0.37473793846541525</v>
      </c>
      <c r="F11" s="57">
        <f>IF(OR(1949953.70412="",33544.58866="",5929.87048=""),"-",(5929.87048-33544.58866)/1949953.70412*100)</f>
        <v>-1.4161730158851298</v>
      </c>
      <c r="G11" s="57">
        <f>IF(OR(1636115.84011="",6121.58236="",5929.87048=""),"-",(6121.58236-5929.87048)/1636115.84011*100)</f>
        <v>0.011717500393316375</v>
      </c>
    </row>
    <row r="12" spans="1:7" s="37" customFormat="1" ht="15">
      <c r="A12" s="35" t="s">
        <v>53</v>
      </c>
      <c r="B12" s="57">
        <f>IF(16508.5406="","-",16508.5406)/1000</f>
        <v>16.5085406</v>
      </c>
      <c r="C12" s="57">
        <f>IF(OR(11832.22872="",16508.5406=""),"-",16508.5406/11832.22872*100)</f>
        <v>139.52181783044506</v>
      </c>
      <c r="D12" s="57">
        <f>IF(11832.22872="","-",11832.22872/1636115.84011*100)</f>
        <v>0.7231901574404713</v>
      </c>
      <c r="E12" s="57">
        <f>IF(16508.5406="","-",16508.5406/1633563.54712*100)</f>
        <v>1.0105845364329311</v>
      </c>
      <c r="F12" s="57">
        <f>IF(OR(1949953.70412="",12901.15636="",11832.22872=""),"-",(11832.22872-12901.15636)/1949953.70412*100)</f>
        <v>-0.05481810351402168</v>
      </c>
      <c r="G12" s="57">
        <f>IF(OR(1636115.84011="",16508.5406="",11832.22872=""),"-",(16508.5406-11832.22872)/1636115.84011*100)</f>
        <v>0.28581789659133194</v>
      </c>
    </row>
    <row r="13" spans="1:7" s="37" customFormat="1" ht="15">
      <c r="A13" s="35" t="s">
        <v>55</v>
      </c>
      <c r="B13" s="57">
        <f>IF(142768.46913="","-",142768.46913)/1000</f>
        <v>142.76846913</v>
      </c>
      <c r="C13" s="57">
        <f>IF(OR(114552.60205="",142768.46913=""),"-",142768.46913/114552.60205*100)</f>
        <v>124.631362863049</v>
      </c>
      <c r="D13" s="57">
        <f>IF(114552.60205="","-",114552.60205/1636115.84011*100)</f>
        <v>7.0014970359493836</v>
      </c>
      <c r="E13" s="57">
        <f>IF(142768.46913="","-",142768.46913/1633563.54712*100)</f>
        <v>8.739694845768518</v>
      </c>
      <c r="F13" s="57">
        <f>IF(OR(1949953.70412="",173180.74846="",114552.60205=""),"-",(114552.60205-173180.74846)/1949953.70412*100)</f>
        <v>-3.0066429929144634</v>
      </c>
      <c r="G13" s="57">
        <f>IF(OR(1636115.84011="",142768.46913="",114552.60205=""),"-",(142768.46913-114552.60205)/1636115.84011*100)</f>
        <v>1.7245641407703132</v>
      </c>
    </row>
    <row r="14" spans="1:7" s="37" customFormat="1" ht="15">
      <c r="A14" s="35" t="s">
        <v>56</v>
      </c>
      <c r="B14" s="57">
        <f>IF(146154.51513="","-",146154.51513)/1000</f>
        <v>146.15451513000002</v>
      </c>
      <c r="C14" s="57">
        <f>IF(OR(201018.49201="",146154.51513=""),"-",146154.51513/201018.49201*100)</f>
        <v>72.70700007177912</v>
      </c>
      <c r="D14" s="57">
        <f>IF(201018.49201="","-",201018.49201/1636115.84011*100)</f>
        <v>12.28632393146961</v>
      </c>
      <c r="E14" s="57">
        <f>IF(146154.51513="","-",146154.51513/1633563.54712*100)</f>
        <v>8.946974569044032</v>
      </c>
      <c r="F14" s="57">
        <f>IF(OR(1949953.70412="",196170.44092="",201018.49201=""),"-",(201018.49201-196170.44092)/1949953.70412*100)</f>
        <v>0.24862390731414233</v>
      </c>
      <c r="G14" s="57">
        <f>IF(OR(1636115.84011="",146154.51513="",201018.49201=""),"-",(146154.51513-201018.49201)/1636115.84011*100)</f>
        <v>-3.353306381796984</v>
      </c>
    </row>
    <row r="15" spans="1:7" s="37" customFormat="1" ht="15">
      <c r="A15" s="35" t="s">
        <v>57</v>
      </c>
      <c r="B15" s="57">
        <f>IF(42403.88935="","-",42403.88935)/1000</f>
        <v>42.40388935</v>
      </c>
      <c r="C15" s="57">
        <f>IF(OR(45358.29086="",42403.88935=""),"-",42403.88935/45358.29086*100)</f>
        <v>93.48652373362376</v>
      </c>
      <c r="D15" s="57">
        <f>IF(45358.29086="","-",45358.29086/1636115.84011*100)</f>
        <v>2.7723153671655947</v>
      </c>
      <c r="E15" s="57">
        <f>IF(42403.88935="","-",42403.88935/1633563.54712*100)</f>
        <v>2.59579062135408</v>
      </c>
      <c r="F15" s="57">
        <f>IF(OR(1949953.70412="",54914.27676="",45358.29086=""),"-",(45358.29086-54914.27676)/1949953.70412*100)</f>
        <v>-0.4900621937746234</v>
      </c>
      <c r="G15" s="57">
        <f>IF(OR(1636115.84011="",42403.88935="",45358.29086=""),"-",(42403.88935-45358.29086)/1636115.84011*100)</f>
        <v>-0.1805741034694323</v>
      </c>
    </row>
    <row r="16" spans="1:7" s="37" customFormat="1" ht="26.25">
      <c r="A16" s="35" t="s">
        <v>58</v>
      </c>
      <c r="B16" s="57">
        <f>IF(6658.66567="","-",6658.66567)/1000</f>
        <v>6.65866567</v>
      </c>
      <c r="C16" s="57">
        <f>IF(OR(5768.50199="",6658.66567=""),"-",6658.66567/5768.50199*100)</f>
        <v>115.43145311457197</v>
      </c>
      <c r="D16" s="57">
        <f>IF(5768.50199="","-",5768.50199/1636115.84011*100)</f>
        <v>0.35257295654641235</v>
      </c>
      <c r="E16" s="57">
        <f>IF(6658.66567="","-",6658.66567/1633563.54712*100)</f>
        <v>0.4076159560330138</v>
      </c>
      <c r="F16" s="57">
        <f>IF(OR(1949953.70412="",5354.10598="",5768.50199=""),"-",(5768.50199-5354.10598)/1949953.70412*100)</f>
        <v>0.02125158197984056</v>
      </c>
      <c r="G16" s="57">
        <f>IF(OR(1636115.84011="",6658.66567="",5768.50199=""),"-",(6658.66567-5768.50199)/1636115.84011*100)</f>
        <v>0.0544071304841198</v>
      </c>
    </row>
    <row r="17" spans="1:7" s="37" customFormat="1" ht="26.25">
      <c r="A17" s="35" t="s">
        <v>59</v>
      </c>
      <c r="B17" s="57">
        <f>IF(11312.99918="","-",11312.99918)/1000</f>
        <v>11.31299918</v>
      </c>
      <c r="C17" s="57">
        <f>IF(OR(12633.68543="",11312.99918=""),"-",11312.99918/12633.68543*100)</f>
        <v>89.54631047830357</v>
      </c>
      <c r="D17" s="57">
        <f>IF(12633.68543="","-",12633.68543/1636115.84011*100)</f>
        <v>0.7721754853953744</v>
      </c>
      <c r="E17" s="57">
        <f>IF(11312.99918="","-",11312.99918/1633563.54712*100)</f>
        <v>0.692534991977815</v>
      </c>
      <c r="F17" s="57">
        <f>IF(OR(1949953.70412="",17462.26299="",12633.68543=""),"-",(12633.68543-17462.26299)/1949953.70412*100)</f>
        <v>-0.24762524104022776</v>
      </c>
      <c r="G17" s="57">
        <f>IF(OR(1636115.84011="",11312.99918="",12633.68543=""),"-",(11312.99918-12633.68543)/1636115.84011*100)</f>
        <v>-0.08072082780588483</v>
      </c>
    </row>
    <row r="18" spans="1:7" s="37" customFormat="1" ht="15">
      <c r="A18" s="35" t="s">
        <v>60</v>
      </c>
      <c r="B18" s="57">
        <f>IF(5361.83509="","-",5361.83509)/1000</f>
        <v>5.36183509</v>
      </c>
      <c r="C18" s="57" t="s">
        <v>47</v>
      </c>
      <c r="D18" s="57">
        <f>IF(1696.79428="","-",1696.79428/1636115.84011*100)</f>
        <v>0.10370868849273658</v>
      </c>
      <c r="E18" s="57">
        <f>IF(5361.83509="","-",5361.83509/1633563.54712*100)</f>
        <v>0.3282293547412346</v>
      </c>
      <c r="F18" s="57">
        <f>IF(OR(1949953.70412="",1971.23267="",1696.79428=""),"-",(1696.79428-1971.23267)/1949953.70412*100)</f>
        <v>-0.014074097729610054</v>
      </c>
      <c r="G18" s="57">
        <f>IF(OR(1636115.84011="",5361.83509="",1696.79428=""),"-",(5361.83509-1696.79428)/1636115.84011*100)</f>
        <v>0.2240086380285634</v>
      </c>
    </row>
    <row r="19" spans="1:7" s="37" customFormat="1" ht="15">
      <c r="A19" s="36" t="s">
        <v>61</v>
      </c>
      <c r="B19" s="64">
        <f>IF(140005.11026="","-",140005.11026)/1000</f>
        <v>140.00511025999998</v>
      </c>
      <c r="C19" s="64">
        <f>IF(134973.20055="","-",140005.11026/134973.20055*100)</f>
        <v>103.72808060377581</v>
      </c>
      <c r="D19" s="64">
        <f>IF(134973.20055="","-",134973.20055/1636115.84011*100)</f>
        <v>8.249611503114929</v>
      </c>
      <c r="E19" s="64">
        <f>IF(140005.11026="","-",140005.11026/1633563.54712*100)</f>
        <v>8.57053345165735</v>
      </c>
      <c r="F19" s="64">
        <f>IF(1949953.70412="","-",(134973.20055-167069.33047)/1949953.70412*100)</f>
        <v>-1.6459944588522797</v>
      </c>
      <c r="G19" s="64">
        <f>IF(1636115.84011="","-",(140005.11026-134973.20055)/1636115.84011*100)</f>
        <v>0.30755216633448584</v>
      </c>
    </row>
    <row r="20" spans="1:7" s="37" customFormat="1" ht="15">
      <c r="A20" s="35" t="s">
        <v>62</v>
      </c>
      <c r="B20" s="57">
        <f>IF(129569.61392="","-",129569.61392)/1000</f>
        <v>129.56961392</v>
      </c>
      <c r="C20" s="57">
        <f>IF(OR(124512.62887="",129569.61392=""),"-",129569.61392/124512.62887*100)</f>
        <v>104.06142340411095</v>
      </c>
      <c r="D20" s="57">
        <f>IF(124512.62887="","-",124512.62887/1636115.84011*100)</f>
        <v>7.610257526852665</v>
      </c>
      <c r="E20" s="57">
        <f>IF(129569.61392="","-",129569.61392/1633563.54712*100)</f>
        <v>7.931715552078364</v>
      </c>
      <c r="F20" s="57">
        <f>IF(OR(1949953.70412="",153350.27087="",124512.62887=""),"-",(124512.62887-153350.27087)/1949953.70412*100)</f>
        <v>-1.4788885468957442</v>
      </c>
      <c r="G20" s="57">
        <f>IF(OR(1636115.84011="",129569.61392="",124512.62887=""),"-",(129569.61392-124512.62887)/1636115.84011*100)</f>
        <v>0.3090847803087103</v>
      </c>
    </row>
    <row r="21" spans="1:7" s="37" customFormat="1" ht="15">
      <c r="A21" s="35" t="s">
        <v>63</v>
      </c>
      <c r="B21" s="57">
        <f>IF(10435.49634="","-",10435.49634)/1000</f>
        <v>10.43549634</v>
      </c>
      <c r="C21" s="57">
        <f>IF(OR(10460.57168="",10435.49634=""),"-",10435.49634/10460.57168*100)</f>
        <v>99.76028709742563</v>
      </c>
      <c r="D21" s="57">
        <f>IF(10460.57168="","-",10460.57168/1636115.84011*100)</f>
        <v>0.6393539762622621</v>
      </c>
      <c r="E21" s="57">
        <f>IF(10435.49634="","-",10435.49634/1633563.54712*100)</f>
        <v>0.6388178995789883</v>
      </c>
      <c r="F21" s="57">
        <f>IF(OR(1949953.70412="",13719.0596="",10460.57168=""),"-",(10460.57168-13719.0596)/1949953.70412*100)</f>
        <v>-0.16710591195653712</v>
      </c>
      <c r="G21" s="57">
        <f>IF(OR(1636115.84011="",10435.49634="",10460.57168=""),"-",(10435.49634-10460.57168)/1636115.84011*100)</f>
        <v>-0.0015326139742228482</v>
      </c>
    </row>
    <row r="22" spans="1:7" s="37" customFormat="1" ht="26.25">
      <c r="A22" s="36" t="s">
        <v>64</v>
      </c>
      <c r="B22" s="64">
        <f>IF(169955.24385="","-",169955.24385)/1000</f>
        <v>169.95524385</v>
      </c>
      <c r="C22" s="64">
        <f>IF(187618.01553="","-",169955.24385/187618.01553*100)</f>
        <v>90.58578056584564</v>
      </c>
      <c r="D22" s="64">
        <f>IF(187618.01553="","-",187618.01553/1636115.84011*100)</f>
        <v>11.467281895968075</v>
      </c>
      <c r="E22" s="64">
        <f>IF(169955.24385="","-",169955.24385/1633563.54712*100)</f>
        <v>10.403956684123735</v>
      </c>
      <c r="F22" s="64">
        <f>IF(1949953.70412="","-",(187618.01553-180427.17472)/1949953.70412*100)</f>
        <v>0.36876982231971345</v>
      </c>
      <c r="G22" s="64">
        <f>IF(1636115.84011="","-",(169955.24385-187618.01553)/1636115.84011*100)</f>
        <v>-1.0795550808194911</v>
      </c>
    </row>
    <row r="23" spans="1:8" s="37" customFormat="1" ht="15">
      <c r="A23" s="35" t="s">
        <v>65</v>
      </c>
      <c r="B23" s="57">
        <f>IF(3033.607="","-",3033.607)/1000</f>
        <v>3.033607</v>
      </c>
      <c r="C23" s="57">
        <f>IF(OR(3482.14434="",3033.607=""),"-",3033.607/3482.14434*100)</f>
        <v>87.11893315714765</v>
      </c>
      <c r="D23" s="57">
        <f>IF(3482.14434="","-",3482.14434/1636115.84011*100)</f>
        <v>0.2128299387264588</v>
      </c>
      <c r="E23" s="57">
        <f>IF(3033.607="","-",3033.607/1633563.54712*100)</f>
        <v>0.18570486623237278</v>
      </c>
      <c r="F23" s="57">
        <f>IF(OR(1949953.70412="",4743.61539="",3482.14434=""),"-",(3482.14434-4743.61539)/1949953.70412*100)</f>
        <v>-0.06469235896907065</v>
      </c>
      <c r="G23" s="57">
        <f>IF(OR(1636115.84011="",3033.607="",3482.14434=""),"-",(3033.607-3482.14434)/1636115.84011*100)</f>
        <v>-0.027414766668956866</v>
      </c>
      <c r="H23" s="26"/>
    </row>
    <row r="24" spans="1:8" s="37" customFormat="1" ht="15">
      <c r="A24" s="35" t="s">
        <v>66</v>
      </c>
      <c r="B24" s="57">
        <f>IF(145526.82164="","-",145526.82164)/1000</f>
        <v>145.52682164</v>
      </c>
      <c r="C24" s="57">
        <f>IF(OR(149933.26595="",145526.82164=""),"-",145526.82164/149933.26595*100)</f>
        <v>97.06106294551773</v>
      </c>
      <c r="D24" s="57">
        <f>IF(149933.26595="","-",149933.26595/1636115.84011*100)</f>
        <v>9.16397618520212</v>
      </c>
      <c r="E24" s="57">
        <f>IF(145526.82164="","-",145526.82164/1633563.54712*100)</f>
        <v>8.908549771238851</v>
      </c>
      <c r="F24" s="57">
        <f>IF(OR(1949953.70412="",130922.81643="",149933.26595=""),"-",(149933.26595-130922.81643)/1949953.70412*100)</f>
        <v>0.9749179931725237</v>
      </c>
      <c r="G24" s="57">
        <f>IF(OR(1636115.84011="",145526.82164="",149933.26595=""),"-",(145526.82164-149933.26595)/1636115.84011*100)</f>
        <v>-0.2693234917708355</v>
      </c>
      <c r="H24" s="27"/>
    </row>
    <row r="25" spans="1:8" s="37" customFormat="1" ht="15">
      <c r="A25" s="35" t="s">
        <v>68</v>
      </c>
      <c r="B25" s="57">
        <f>IF(1574.4071="","-",1574.4071)/1000</f>
        <v>1.5744071</v>
      </c>
      <c r="C25" s="57">
        <f>IF(OR(1821.79766999999="",1574.4071=""),"-",1574.4071/1821.79766999999*100)</f>
        <v>86.42052440433787</v>
      </c>
      <c r="D25" s="57">
        <f>IF(1821.79766999999="","-",1821.79766999999/1636115.84011*100)</f>
        <v>0.11134894151978297</v>
      </c>
      <c r="E25" s="57">
        <f>IF(1574.4071="","-",1574.4071/1633563.54712*100)</f>
        <v>0.09637868712090852</v>
      </c>
      <c r="F25" s="57">
        <f>IF(OR(1949953.70412="",1304.51816="",1821.79766999999=""),"-",(1821.79766999999-1304.51816)/1949953.70412*100)</f>
        <v>0.02652778416774948</v>
      </c>
      <c r="G25" s="57">
        <f>IF(OR(1636115.84011="",1574.4071="",1821.79766999999=""),"-",(1574.4071-1821.79766999999)/1636115.84011*100)</f>
        <v>-0.01512060233970703</v>
      </c>
      <c r="H25" s="27"/>
    </row>
    <row r="26" spans="1:8" s="37" customFormat="1" ht="15">
      <c r="A26" s="35" t="s">
        <v>69</v>
      </c>
      <c r="B26" s="57">
        <f>IF(2120.09437="","-",2120.09437)/1000</f>
        <v>2.12009437</v>
      </c>
      <c r="C26" s="57">
        <f>IF(OR(1633.3566="",2120.09437=""),"-",2120.09437/1633.3566*100)</f>
        <v>129.7998471368714</v>
      </c>
      <c r="D26" s="57">
        <f>IF(1633.3566="","-",1633.3566/1636115.84011*100)</f>
        <v>0.099831354232851</v>
      </c>
      <c r="E26" s="57">
        <f>IF(2120.09437="","-",2120.09437/1633563.54712*100)</f>
        <v>0.12978340351299844</v>
      </c>
      <c r="F26" s="57">
        <f>IF(OR(1949953.70412="",1453.0631="",1633.3566=""),"-",(1633.3566-1453.0631)/1949953.70412*100)</f>
        <v>0.009246040027466455</v>
      </c>
      <c r="G26" s="57">
        <f>IF(OR(1636115.84011="",2120.09437="",1633.3566=""),"-",(2120.09437-1633.3566)/1636115.84011*100)</f>
        <v>0.02974959095605817</v>
      </c>
      <c r="H26" s="27"/>
    </row>
    <row r="27" spans="1:8" s="37" customFormat="1" ht="39">
      <c r="A27" s="35" t="s">
        <v>70</v>
      </c>
      <c r="B27" s="57">
        <f>IF(754.10765="","-",754.10765)/1000</f>
        <v>0.75410765</v>
      </c>
      <c r="C27" s="57">
        <f>IF(OR(3811.18913="",754.10765=""),"-",754.10765/3811.18913*100)</f>
        <v>19.786676133808136</v>
      </c>
      <c r="D27" s="57">
        <f>IF(3811.18913="","-",3811.18913/1636115.84011*100)</f>
        <v>0.23294127692961916</v>
      </c>
      <c r="E27" s="57">
        <f>IF(754.10765="","-",754.10765/1633563.54712*100)</f>
        <v>0.046163349526836865</v>
      </c>
      <c r="F27" s="57">
        <f>IF(OR(1949953.70412="",2125.39667="",3811.18913=""),"-",(3811.18913-2125.39667)/1949953.70412*100)</f>
        <v>0.08645294790528302</v>
      </c>
      <c r="G27" s="57">
        <f>IF(OR(1636115.84011="",754.10765="",3811.18913=""),"-",(754.10765-3811.18913)/1636115.84011*100)</f>
        <v>-0.18684994088159831</v>
      </c>
      <c r="H27" s="27"/>
    </row>
    <row r="28" spans="1:8" s="37" customFormat="1" ht="28.5" customHeight="1">
      <c r="A28" s="35" t="s">
        <v>71</v>
      </c>
      <c r="B28" s="57">
        <f>IF(6321.11214="","-",6321.11214)/1000</f>
        <v>6.32111214</v>
      </c>
      <c r="C28" s="57">
        <f>IF(OR(6089.45294="",6321.11214=""),"-",6321.11214/6089.45294*100)</f>
        <v>103.80426948500237</v>
      </c>
      <c r="D28" s="57">
        <f>IF(6089.45294="","-",6089.45294/1636115.84011*100)</f>
        <v>0.37218959628131165</v>
      </c>
      <c r="E28" s="57">
        <f>IF(6321.11214="","-",6321.11214/1633563.54712*100)</f>
        <v>0.3869523258611045</v>
      </c>
      <c r="F28" s="57">
        <f>IF(OR(1949953.70412="",10860.85923="",6089.45294=""),"-",(6089.45294-10860.85923)/1949953.70412*100)</f>
        <v>-0.24469331143188866</v>
      </c>
      <c r="G28" s="57">
        <f>IF(OR(1636115.84011="",6321.11214="",6089.45294=""),"-",(6321.11214-6089.45294)/1636115.84011*100)</f>
        <v>0.014159095237683479</v>
      </c>
      <c r="H28" s="27"/>
    </row>
    <row r="29" spans="1:8" s="37" customFormat="1" ht="15">
      <c r="A29" s="35" t="s">
        <v>72</v>
      </c>
      <c r="B29" s="57">
        <f>IF(8935.87401="","-",8935.87401)/1000</f>
        <v>8.93587401</v>
      </c>
      <c r="C29" s="57">
        <f>IF(OR(16034.86437="",8935.87401=""),"-",8935.87401/16034.86437*100)</f>
        <v>55.727780440215845</v>
      </c>
      <c r="D29" s="57">
        <f>IF(16034.86437="","-",16034.86437/1636115.84011*100)</f>
        <v>0.9800567891893239</v>
      </c>
      <c r="E29" s="57">
        <f>IF(8935.87401="","-",8935.87401/1633563.54712*100)</f>
        <v>0.547017226587487</v>
      </c>
      <c r="F29" s="57">
        <f>IF(OR(1949953.70412="",22628.89492="",16034.86437=""),"-",(16034.86437-22628.89492)/1949953.70412*100)</f>
        <v>-0.3381634413200511</v>
      </c>
      <c r="G29" s="57">
        <f>IF(OR(1636115.84011="",8935.87401="",16034.86437=""),"-",(8935.87401-16034.86437)/1636115.84011*100)</f>
        <v>-0.43389289352046845</v>
      </c>
      <c r="H29" s="27"/>
    </row>
    <row r="30" spans="1:8" s="37" customFormat="1" ht="26.25">
      <c r="A30" s="35" t="s">
        <v>73</v>
      </c>
      <c r="B30" s="57">
        <f>IF(1572.48123="","-",1572.48123)/1000</f>
        <v>1.5724812300000002</v>
      </c>
      <c r="C30" s="57">
        <f>IF(OR(2889.57418="",1572.48123=""),"-",1572.48123/2889.57418*100)</f>
        <v>54.41913347938346</v>
      </c>
      <c r="D30" s="57">
        <f>IF(2889.57418="","-",2889.57418/1636115.84011*100)</f>
        <v>0.17661183329205632</v>
      </c>
      <c r="E30" s="57">
        <f>IF(1572.48123="","-",1572.48123/1633563.54712*100)</f>
        <v>0.09626079332954698</v>
      </c>
      <c r="F30" s="57">
        <f>IF(OR(1949953.70412="",1707.23247="",2889.57418=""),"-",(2889.57418-1707.23247)/1949953.70412*100)</f>
        <v>0.06063434775409617</v>
      </c>
      <c r="G30" s="57">
        <f>IF(OR(1636115.84011="",1572.48123="",2889.57418=""),"-",(1572.48123-2889.57418)/1636115.84011*100)</f>
        <v>-0.080501203992466</v>
      </c>
      <c r="H30" s="27"/>
    </row>
    <row r="31" spans="1:8" s="37" customFormat="1" ht="26.25">
      <c r="A31" s="36" t="s">
        <v>74</v>
      </c>
      <c r="B31" s="64">
        <f>IF(4774.13169="","-",4774.13169)/1000</f>
        <v>4.77413169</v>
      </c>
      <c r="C31" s="64">
        <f>IF(8792.65275="","-",4774.13169/8792.65275*100)</f>
        <v>54.296829702503615</v>
      </c>
      <c r="D31" s="64">
        <f>IF(8792.65275="","-",8792.65275/1636115.84011*100)</f>
        <v>0.5374101597481539</v>
      </c>
      <c r="E31" s="64">
        <f>IF(4774.13169="","-",4774.13169/1633563.54712*100)</f>
        <v>0.2922525847504907</v>
      </c>
      <c r="F31" s="64">
        <f>IF(1949953.70412="","-",(8792.65275-14138.73048)/1949953.70412*100)</f>
        <v>-0.27416434137407625</v>
      </c>
      <c r="G31" s="64">
        <f>IF(1636115.84011="","-",(4774.13169-8792.65275)/1636115.84011*100)</f>
        <v>-0.24561348050574613</v>
      </c>
      <c r="H31" s="27"/>
    </row>
    <row r="32" spans="1:8" s="37" customFormat="1" ht="16.5" customHeight="1">
      <c r="A32" s="35" t="s">
        <v>76</v>
      </c>
      <c r="B32" s="57">
        <f>IF(4768.5615="","-",4768.5615)/1000</f>
        <v>4.7685615</v>
      </c>
      <c r="C32" s="57">
        <f>IF(OR(8724.07308="",4768.5615=""),"-",4768.5615/8724.07308*100)</f>
        <v>54.65980690753223</v>
      </c>
      <c r="D32" s="57">
        <f>IF(8724.07308="","-",8724.07308/1636115.84011*100)</f>
        <v>0.5332185451742499</v>
      </c>
      <c r="E32" s="57">
        <f>IF(4768.5615="","-",4768.5615/1633563.54712*100)</f>
        <v>0.29191160077041717</v>
      </c>
      <c r="F32" s="57">
        <f>IF(OR(1949953.70412="",13204.19921="",8724.07308=""),"-",(8724.07308-13204.19921)/1949953.70412*100)</f>
        <v>-0.22975551268392033</v>
      </c>
      <c r="G32" s="57">
        <f>IF(OR(1636115.84011="",4768.5615="",8724.07308=""),"-",(4768.5615-8724.07308)/1636115.84011*100)</f>
        <v>-0.24176231798685244</v>
      </c>
      <c r="H32" s="27"/>
    </row>
    <row r="33" spans="1:7" s="37" customFormat="1" ht="26.25">
      <c r="A33" s="36" t="s">
        <v>79</v>
      </c>
      <c r="B33" s="64">
        <f>IF(35232.11551="","-",35232.11551)/1000</f>
        <v>35.23211551</v>
      </c>
      <c r="C33" s="64">
        <f>IF(54290.95518="","-",35232.11551/54290.95518*100)</f>
        <v>64.89500026880906</v>
      </c>
      <c r="D33" s="64">
        <f>IF(54290.95518="","-",54290.95518/1636115.84011*100)</f>
        <v>3.3182830854048753</v>
      </c>
      <c r="E33" s="64">
        <f>IF(35232.11551="","-",35232.11551/1633563.54712*100)</f>
        <v>2.156764306605324</v>
      </c>
      <c r="F33" s="64">
        <f>IF(1949953.70412="","-",(54290.95518-64202.37459)/1949953.70412*100)</f>
        <v>-0.5082899860165118</v>
      </c>
      <c r="G33" s="64">
        <f>IF(1636115.84011="","-",(35232.11551-54290.95518)/1636115.84011*100)</f>
        <v>-1.1648832682115358</v>
      </c>
    </row>
    <row r="34" spans="1:7" s="37" customFormat="1" ht="26.25">
      <c r="A34" s="35" t="s">
        <v>81</v>
      </c>
      <c r="B34" s="57">
        <f>IF(35069.3254="","-",35069.3254)/1000</f>
        <v>35.069325400000004</v>
      </c>
      <c r="C34" s="57">
        <f>IF(OR(54269.02619="",35069.3254=""),"-",35069.3254/54269.02619*100)</f>
        <v>64.62125426245832</v>
      </c>
      <c r="D34" s="57">
        <f>IF(54269.02619="","-",54269.02619/1636115.84011*100)</f>
        <v>3.316942777496205</v>
      </c>
      <c r="E34" s="57">
        <f>IF(35069.3254="","-",35069.3254/1633563.54712*100)</f>
        <v>2.14679896976324</v>
      </c>
      <c r="F34" s="57">
        <f>IF(OR(1949953.70412="",62376.48415="",54269.02619=""),"-",(54269.02619-62376.48415)/1949953.70412*100)</f>
        <v>-0.4157769460305642</v>
      </c>
      <c r="G34" s="57">
        <f>IF(OR(1636115.84011="",35069.3254="",54269.02619=""),"-",(35069.3254-54269.02619)/1636115.84011*100)</f>
        <v>-1.1734927515101348</v>
      </c>
    </row>
    <row r="35" spans="1:7" s="37" customFormat="1" ht="26.25">
      <c r="A35" s="36" t="s">
        <v>83</v>
      </c>
      <c r="B35" s="64">
        <f>IF(92804.26129="","-",92804.26129)/1000</f>
        <v>92.80426129</v>
      </c>
      <c r="C35" s="64">
        <f>IF(108668.60668="","-",92804.26129/108668.60668*100)</f>
        <v>85.40116978152093</v>
      </c>
      <c r="D35" s="64">
        <f>IF(108668.60668="","-",108668.60668/1636115.84011*100)</f>
        <v>6.641865081673798</v>
      </c>
      <c r="E35" s="64">
        <f>IF(92804.26129="","-",92804.26129/1633563.54712*100)</f>
        <v>5.681092814149499</v>
      </c>
      <c r="F35" s="64">
        <f>IF(1949953.70412="","-",(108668.60668-152635.27242)/1949953.70412*100)</f>
        <v>-2.254754338377579</v>
      </c>
      <c r="G35" s="64">
        <f>IF(1636115.84011="","-",(92804.26129-108668.60668)/1636115.84011*100)</f>
        <v>-0.9696346066140038</v>
      </c>
    </row>
    <row r="36" spans="1:7" s="37" customFormat="1" ht="15">
      <c r="A36" s="35" t="s">
        <v>84</v>
      </c>
      <c r="B36" s="57">
        <f>IF(13391.01706="","-",13391.01706)/1000</f>
        <v>13.39101706</v>
      </c>
      <c r="C36" s="57" t="s">
        <v>158</v>
      </c>
      <c r="D36" s="57">
        <f>IF(3576.48326="","-",3576.48326/1636115.84011*100)</f>
        <v>0.21859596810452886</v>
      </c>
      <c r="E36" s="57">
        <f>IF(13391.01706="","-",13391.01706/1633563.54712*100)</f>
        <v>0.8197426469027537</v>
      </c>
      <c r="F36" s="57">
        <f>IF(OR(1949953.70412="",2036.03446="",3576.48326=""),"-",(3576.48326-2036.03446)/1949953.70412*100)</f>
        <v>0.07899924991784323</v>
      </c>
      <c r="G36" s="57">
        <f>IF(OR(1636115.84011="",13391.01706="",3576.48326=""),"-",(13391.01706-3576.48326)/1636115.84011*100)</f>
        <v>0.5998679041784808</v>
      </c>
    </row>
    <row r="37" spans="1:7" s="37" customFormat="1" ht="15">
      <c r="A37" s="35" t="s">
        <v>85</v>
      </c>
      <c r="B37" s="57">
        <f>IF(765.57661="","-",765.57661)/1000</f>
        <v>0.76557661</v>
      </c>
      <c r="C37" s="57" t="s">
        <v>172</v>
      </c>
      <c r="D37" s="57">
        <f>IF(155.33541="","-",155.33541/1636115.84011*100)</f>
        <v>0.009494157210137176</v>
      </c>
      <c r="E37" s="57">
        <f>IF(765.57661="","-",765.57661/1633563.54712*100)</f>
        <v>0.04686543179478536</v>
      </c>
      <c r="F37" s="57">
        <f>IF(OR(1949953.70412="",184.8103="",155.33541=""),"-",(155.33541-184.8103)/1949953.70412*100)</f>
        <v>-0.0015115687073864053</v>
      </c>
      <c r="G37" s="57">
        <f>IF(OR(1636115.84011="",765.57661="",155.33541=""),"-",(765.57661-155.33541)/1636115.84011*100)</f>
        <v>0.037298165877971814</v>
      </c>
    </row>
    <row r="38" spans="1:7" s="37" customFormat="1" ht="15">
      <c r="A38" s="35" t="s">
        <v>86</v>
      </c>
      <c r="B38" s="57">
        <f>IF(1251.60598="","-",1251.60598)/1000</f>
        <v>1.2516059800000001</v>
      </c>
      <c r="C38" s="57">
        <f>IF(OR(1060.79105="",1251.60598=""),"-",1251.60598/1060.79105*100)</f>
        <v>117.98798453286348</v>
      </c>
      <c r="D38" s="57">
        <f>IF(1060.79105="","-",1060.79105/1636115.84011*100)</f>
        <v>0.06483593789597933</v>
      </c>
      <c r="E38" s="57">
        <f>IF(1251.60598="","-",1251.60598/1633563.54712*100)</f>
        <v>0.0766181384376875</v>
      </c>
      <c r="F38" s="57">
        <f>IF(OR(1949953.70412="",1047.71705="",1060.79105=""),"-",(1060.79105-1047.71705)/1949953.70412*100)</f>
        <v>0.0006704774565866051</v>
      </c>
      <c r="G38" s="57">
        <f>IF(OR(1636115.84011="",1251.60598="",1060.79105=""),"-",(1251.60598-1060.79105)/1636115.84011*100)</f>
        <v>0.011662678480465725</v>
      </c>
    </row>
    <row r="39" spans="1:7" s="37" customFormat="1" ht="15">
      <c r="A39" s="35" t="s">
        <v>87</v>
      </c>
      <c r="B39" s="57">
        <f>IF(38305.85902="","-",38305.85902)/1000</f>
        <v>38.30585902000001</v>
      </c>
      <c r="C39" s="57">
        <f>IF(OR(62819.06196="",38305.85902=""),"-",38305.85902/62819.06196*100)</f>
        <v>60.97808185100128</v>
      </c>
      <c r="D39" s="57">
        <f>IF(62819.06196="","-",62819.06196/1636115.84011*100)</f>
        <v>3.839524098475602</v>
      </c>
      <c r="E39" s="57">
        <f>IF(38305.85902="","-",38305.85902/1633563.54712*100)</f>
        <v>2.3449261638785877</v>
      </c>
      <c r="F39" s="57">
        <f>IF(OR(1949953.70412="",109050.92411="",62819.06196=""),"-",(62819.06196-109050.92411)/1949953.70412*100)</f>
        <v>-2.370921014807586</v>
      </c>
      <c r="G39" s="57">
        <f>IF(OR(1636115.84011="",38305.85902="",62819.06196=""),"-",(38305.85902-62819.06196)/1636115.84011*100)</f>
        <v>-1.4982559510182307</v>
      </c>
    </row>
    <row r="40" spans="1:7" s="37" customFormat="1" ht="39">
      <c r="A40" s="35" t="s">
        <v>88</v>
      </c>
      <c r="B40" s="57">
        <f>IF(31014.86783="","-",31014.86783)/1000</f>
        <v>31.01486783</v>
      </c>
      <c r="C40" s="57">
        <f>IF(OR(33354.11111="",31014.86783=""),"-",31014.86783/33354.11111*100)</f>
        <v>92.98664181969862</v>
      </c>
      <c r="D40" s="57">
        <f>IF(33354.11111="","-",33354.11111/1636115.84011*100)</f>
        <v>2.0386154997287678</v>
      </c>
      <c r="E40" s="57">
        <f>IF(31014.86783="","-",31014.86783/1633563.54712*100)</f>
        <v>1.8986018563330291</v>
      </c>
      <c r="F40" s="57">
        <f>IF(OR(1949953.70412="",33521.04226="",33354.11111=""),"-",(33354.11111-33521.04226)/1949953.70412*100)</f>
        <v>-0.008560775040315062</v>
      </c>
      <c r="G40" s="57">
        <f>IF(OR(1636115.84011="",31014.86783="",33354.11111=""),"-",(31014.86783-33354.11111)/1636115.84011*100)</f>
        <v>-0.14297540691511954</v>
      </c>
    </row>
    <row r="41" spans="1:7" s="37" customFormat="1" ht="15">
      <c r="A41" s="35" t="s">
        <v>90</v>
      </c>
      <c r="B41" s="57">
        <f>IF(2871.52544="","-",2871.52544)/1000</f>
        <v>2.87152544</v>
      </c>
      <c r="C41" s="57">
        <f>IF(OR(4301.78407="",2871.52544=""),"-",2871.52544/4301.78407*100)</f>
        <v>66.75196600465351</v>
      </c>
      <c r="D41" s="57">
        <f>IF(4301.78407="","-",4301.78407/1636115.84011*100)</f>
        <v>0.2629266195302394</v>
      </c>
      <c r="E41" s="57">
        <f>IF(2871.52544="","-",2871.52544/1633563.54712*100)</f>
        <v>0.17578290388901904</v>
      </c>
      <c r="F41" s="57">
        <f>IF(OR(1949953.70412="",2092.99619="",4301.78407=""),"-",(4301.78407-2092.99619)/1949953.70412*100)</f>
        <v>0.11327386262212875</v>
      </c>
      <c r="G41" s="57">
        <f>IF(OR(1636115.84011="",2871.52544="",4301.78407=""),"-",(2871.52544-4301.78407)/1636115.84011*100)</f>
        <v>-0.08741793184422933</v>
      </c>
    </row>
    <row r="42" spans="1:7" s="37" customFormat="1" ht="15">
      <c r="A42" s="35" t="s">
        <v>91</v>
      </c>
      <c r="B42" s="57">
        <f>IF(2518.92="","-",2518.92)/1000</f>
        <v>2.51892</v>
      </c>
      <c r="C42" s="57">
        <f>IF(OR(1569.91658="",2518.92=""),"-",2518.92/1569.91658*100)</f>
        <v>160.4492896049292</v>
      </c>
      <c r="D42" s="57">
        <f>IF(1569.91658="","-",1569.91658/1636115.84011*100)</f>
        <v>0.09595387695130748</v>
      </c>
      <c r="E42" s="57">
        <f>IF(2518.92="","-",2518.92/1633563.54712*100)</f>
        <v>0.15419785807787512</v>
      </c>
      <c r="F42" s="57">
        <f>IF(OR(1949953.70412="",3676.22333="",1569.91658=""),"-",(1569.91658-3676.22333)/1949953.70412*100)</f>
        <v>-0.1080182952830955</v>
      </c>
      <c r="G42" s="57">
        <f>IF(OR(1636115.84011="",2518.92="",1569.91658=""),"-",(2518.92-1569.91658)/1636115.84011*100)</f>
        <v>0.058003436965453264</v>
      </c>
    </row>
    <row r="43" spans="1:7" s="37" customFormat="1" ht="15">
      <c r="A43" s="35" t="s">
        <v>92</v>
      </c>
      <c r="B43" s="57">
        <f>IF(2663.44302="","-",2663.44302)/1000</f>
        <v>2.6634430200000003</v>
      </c>
      <c r="C43" s="57">
        <f>IF(OR(1792.69368="",2663.44302=""),"-",2663.44302/1792.69368*100)</f>
        <v>148.5721208098419</v>
      </c>
      <c r="D43" s="57">
        <f>IF(1792.69368="","-",1792.69368/1636115.84011*100)</f>
        <v>0.10957009498052858</v>
      </c>
      <c r="E43" s="57">
        <f>IF(2663.44302="","-",2663.44302/1633563.54712*100)</f>
        <v>0.16304495926685528</v>
      </c>
      <c r="F43" s="57">
        <f>IF(OR(1949953.70412="",990.229="",1792.69368=""),"-",(1792.69368-990.229)/1949953.70412*100)</f>
        <v>0.041153011905077336</v>
      </c>
      <c r="G43" s="57">
        <f>IF(OR(1636115.84011="",2663.44302="",1792.69368=""),"-",(2663.44302-1792.69368)/1636115.84011*100)</f>
        <v>0.053220518905400825</v>
      </c>
    </row>
    <row r="44" spans="1:7" s="37" customFormat="1" ht="26.25">
      <c r="A44" s="36" t="s">
        <v>93</v>
      </c>
      <c r="B44" s="64">
        <f>IF(147641.08374="","-",147641.08374)/1000</f>
        <v>147.64108374</v>
      </c>
      <c r="C44" s="64">
        <f>IF(113033.87396="","-",147641.08374/113033.87396*100)</f>
        <v>130.61667141678845</v>
      </c>
      <c r="D44" s="64">
        <f>IF(113033.87396="","-",113033.87396/1636115.84011*100)</f>
        <v>6.908671818274216</v>
      </c>
      <c r="E44" s="64">
        <f>IF(147641.08374="","-",147641.08374/1633563.54712*100)</f>
        <v>9.03797614731877</v>
      </c>
      <c r="F44" s="64">
        <f>IF(1949953.70412="","-",(113033.87396-152696.97927)/1949953.70412*100)</f>
        <v>-2.034053691951609</v>
      </c>
      <c r="G44" s="64">
        <f>IF(1636115.84011="","-",(147641.08374-113033.87396)/1636115.84011*100)</f>
        <v>2.1152053498652807</v>
      </c>
    </row>
    <row r="45" spans="1:7" s="37" customFormat="1" ht="15">
      <c r="A45" s="35" t="s">
        <v>94</v>
      </c>
      <c r="B45" s="57">
        <f>IF(1602.23836="","-",1602.23836)/1000</f>
        <v>1.60223836</v>
      </c>
      <c r="C45" s="57">
        <f>IF(OR(1097.22605="",1602.23836=""),"-",1602.23836/1097.22605*100)</f>
        <v>146.0262778121245</v>
      </c>
      <c r="D45" s="57">
        <f>IF(1097.22605="","-",1097.22605/1636115.84011*100)</f>
        <v>0.06706285845421744</v>
      </c>
      <c r="E45" s="57">
        <f>IF(1602.23836="","-",1602.23836/1633563.54712*100)</f>
        <v>0.09808240168096144</v>
      </c>
      <c r="F45" s="57">
        <f>IF(OR(1949953.70412="",1712.68629="",1097.22605=""),"-",(1097.22605-1712.68629)/1949953.70412*100)</f>
        <v>-0.031562812937538584</v>
      </c>
      <c r="G45" s="57">
        <f>IF(OR(1636115.84011="",1602.23836="",1097.22605=""),"-",(1602.23836-1097.22605)/1636115.84011*100)</f>
        <v>0.030866537540889947</v>
      </c>
    </row>
    <row r="46" spans="1:7" s="37" customFormat="1" ht="15">
      <c r="A46" s="35" t="s">
        <v>95</v>
      </c>
      <c r="B46" s="57">
        <f>IF(11310.88563="","-",11310.88563)/1000</f>
        <v>11.310885630000001</v>
      </c>
      <c r="C46" s="57">
        <f>IF(OR(9602.70398="",11310.88563=""),"-",11310.88563/9602.70398*100)</f>
        <v>117.78854845007938</v>
      </c>
      <c r="D46" s="57">
        <f>IF(9602.70398="","-",9602.70398/1636115.84011*100)</f>
        <v>0.5869207879164832</v>
      </c>
      <c r="E46" s="57">
        <f>IF(11310.88563="","-",11310.88563/1633563.54712*100)</f>
        <v>0.6924056091935501</v>
      </c>
      <c r="F46" s="57">
        <f>IF(OR(1949953.70412="",7302.81266="",9602.70398=""),"-",(9602.70398-7302.81266)/1949953.70412*100)</f>
        <v>0.11794594482631192</v>
      </c>
      <c r="G46" s="57">
        <f>IF(OR(1636115.84011="",11310.88563="",9602.70398=""),"-",(11310.88563-9602.70398)/1636115.84011*100)</f>
        <v>0.10440468872211121</v>
      </c>
    </row>
    <row r="47" spans="1:7" s="37" customFormat="1" ht="15">
      <c r="A47" s="35" t="s">
        <v>96</v>
      </c>
      <c r="B47" s="57">
        <f>IF(6588.86151="","-",6588.86151)/1000</f>
        <v>6.58886151</v>
      </c>
      <c r="C47" s="57">
        <f>IF(OR(5061.92861="",6588.86151=""),"-",6588.86151/5061.92861*100)</f>
        <v>130.1650421735205</v>
      </c>
      <c r="D47" s="57">
        <f>IF(5061.92861="","-",5061.92861/1636115.84011*100)</f>
        <v>0.30938693250837757</v>
      </c>
      <c r="E47" s="57">
        <f>IF(6588.86151="","-",6588.86151/1633563.54712*100)</f>
        <v>0.4033428342360035</v>
      </c>
      <c r="F47" s="57">
        <f>IF(OR(1949953.70412="",5740.20684="",5061.92861=""),"-",(5061.92861-5740.20684)/1949953.70412*100)</f>
        <v>-0.03478432480560363</v>
      </c>
      <c r="G47" s="57">
        <f>IF(OR(1636115.84011="",6588.86151="",5061.92861=""),"-",(6588.86151-5061.92861)/1636115.84011*100)</f>
        <v>0.09332669867051348</v>
      </c>
    </row>
    <row r="48" spans="1:7" s="37" customFormat="1" ht="26.25">
      <c r="A48" s="35" t="s">
        <v>97</v>
      </c>
      <c r="B48" s="57">
        <f>IF(5555.7521="","-",5555.7521)/1000</f>
        <v>5.555752099999999</v>
      </c>
      <c r="C48" s="57">
        <f>IF(OR(5321.08717="",5555.7521=""),"-",5555.7521/5321.08717*100)</f>
        <v>104.41009369895362</v>
      </c>
      <c r="D48" s="57">
        <f>IF(5321.08717="","-",5321.08717/1636115.84011*100)</f>
        <v>0.3252267987114073</v>
      </c>
      <c r="E48" s="57">
        <f>IF(5555.7521="","-",5555.7521/1633563.54712*100)</f>
        <v>0.34010015158546386</v>
      </c>
      <c r="F48" s="57">
        <f>IF(OR(1949953.70412="",11635.41838="",5321.08717=""),"-",(5321.08717-11635.41838)/1949953.70412*100)</f>
        <v>-0.3238195448773289</v>
      </c>
      <c r="G48" s="57">
        <f>IF(OR(1636115.84011="",5555.7521="",5321.08717=""),"-",(5555.7521-5321.08717)/1636115.84011*100)</f>
        <v>0.014342806557280373</v>
      </c>
    </row>
    <row r="49" spans="1:7" s="37" customFormat="1" ht="26.25">
      <c r="A49" s="35" t="s">
        <v>98</v>
      </c>
      <c r="B49" s="57">
        <f>IF(63055.3686="","-",63055.3686)/1000</f>
        <v>63.0553686</v>
      </c>
      <c r="C49" s="57">
        <f>IF(OR(41832.13494="",63055.3686=""),"-",63055.3686/41832.13494*100)</f>
        <v>150.7342828436573</v>
      </c>
      <c r="D49" s="57">
        <f>IF(41832.13494="","-",41832.13494/1636115.84011*100)</f>
        <v>2.556795424533481</v>
      </c>
      <c r="E49" s="57">
        <f>IF(63055.3686="","-",63055.3686/1633563.54712*100)</f>
        <v>3.8599887167638918</v>
      </c>
      <c r="F49" s="57">
        <f>IF(OR(1949953.70412="",54957.02271="",41832.13494=""),"-",(41832.13494-54957.02271)/1949953.70412*100)</f>
        <v>-0.6730871477752935</v>
      </c>
      <c r="G49" s="57">
        <f>IF(OR(1636115.84011="",63055.3686="",41832.13494=""),"-",(63055.3686-41832.13494)/1636115.84011*100)</f>
        <v>1.297171822416505</v>
      </c>
    </row>
    <row r="50" spans="1:7" s="37" customFormat="1" ht="15">
      <c r="A50" s="35" t="s">
        <v>99</v>
      </c>
      <c r="B50" s="57">
        <f>IF(30592.59739="","-",30592.59739)/1000</f>
        <v>30.592597389999998</v>
      </c>
      <c r="C50" s="57">
        <f>IF(OR(29033.38696="",30592.59739=""),"-",30592.59739/29033.38696*100)</f>
        <v>105.37040487955525</v>
      </c>
      <c r="D50" s="57">
        <f>IF(29033.38696="","-",29033.38696/1636115.84011*100)</f>
        <v>1.774531255564888</v>
      </c>
      <c r="E50" s="57">
        <f>IF(30592.59739="","-",30592.59739/1633563.54712*100)</f>
        <v>1.872752207524174</v>
      </c>
      <c r="F50" s="57">
        <f>IF(OR(1949953.70412="",46089.02891="",29033.38696=""),"-",(29033.38696-46089.02891)/1949953.70412*100)</f>
        <v>-0.8746690710637711</v>
      </c>
      <c r="G50" s="57">
        <f>IF(OR(1636115.84011="",30592.59739="",29033.38696=""),"-",(30592.59739-29033.38696)/1636115.84011*100)</f>
        <v>0.09529951313808989</v>
      </c>
    </row>
    <row r="51" spans="1:7" s="37" customFormat="1" ht="15">
      <c r="A51" s="35" t="s">
        <v>100</v>
      </c>
      <c r="B51" s="57">
        <f>IF(2961.01768="","-",2961.01768)/1000</f>
        <v>2.96101768</v>
      </c>
      <c r="C51" s="57">
        <f>IF(OR(2021.05252="",2961.01768=""),"-",2961.01768/2021.05252*100)</f>
        <v>146.50869538016755</v>
      </c>
      <c r="D51" s="57">
        <f>IF(2021.05252="","-",2021.05252/1636115.84011*100)</f>
        <v>0.12352747100499435</v>
      </c>
      <c r="E51" s="57">
        <f>IF(2961.01768="","-",2961.01768/1633563.54712*100)</f>
        <v>0.18126124846629468</v>
      </c>
      <c r="F51" s="57">
        <f>IF(OR(1949953.70412="",4254.74001="",2021.05252=""),"-",(2021.05252-4254.74001)/1949953.70412*100)</f>
        <v>-0.11455079601533655</v>
      </c>
      <c r="G51" s="57">
        <f>IF(OR(1636115.84011="",2961.01768="",2021.05252=""),"-",(2961.01768-2021.05252)/1636115.84011*100)</f>
        <v>0.05745101520053762</v>
      </c>
    </row>
    <row r="52" spans="1:7" s="37" customFormat="1" ht="15">
      <c r="A52" s="35" t="s">
        <v>101</v>
      </c>
      <c r="B52" s="57">
        <f>IF(1886.22114="","-",1886.22114)/1000</f>
        <v>1.8862211400000002</v>
      </c>
      <c r="C52" s="57">
        <f>IF(OR(2761.41036="",1886.22114=""),"-",1886.22114/2761.41036*100)</f>
        <v>68.30644106079185</v>
      </c>
      <c r="D52" s="57">
        <f>IF(2761.41036="","-",2761.41036/1636115.84011*100)</f>
        <v>0.16877841362469442</v>
      </c>
      <c r="E52" s="57">
        <f>IF(1886.22114="","-",1886.22114/1633563.54712*100)</f>
        <v>0.11546665223556438</v>
      </c>
      <c r="F52" s="57">
        <f>IF(OR(1949953.70412="",1822.57508="",2761.41036=""),"-",(2761.41036-1822.57508)/1949953.70412*100)</f>
        <v>0.048146542044375844</v>
      </c>
      <c r="G52" s="57">
        <f>IF(OR(1636115.84011="",1886.22114="",2761.41036=""),"-",(1886.22114-2761.41036)/1636115.84011*100)</f>
        <v>-0.053491885998803036</v>
      </c>
    </row>
    <row r="53" spans="1:7" s="37" customFormat="1" ht="15">
      <c r="A53" s="35" t="s">
        <v>102</v>
      </c>
      <c r="B53" s="57">
        <f>IF(24088.14133="","-",24088.14133)/1000</f>
        <v>24.08814133</v>
      </c>
      <c r="C53" s="57">
        <f>IF(OR(16302.94337="",24088.14133=""),"-",24088.14133/16302.94337*100)</f>
        <v>147.75332762503487</v>
      </c>
      <c r="D53" s="57">
        <f>IF(16302.94337="","-",16302.94337/1636115.84011*100)</f>
        <v>0.9964418759556729</v>
      </c>
      <c r="E53" s="57">
        <f>IF(24088.14133="","-",24088.14133/1633563.54712*100)</f>
        <v>1.4745763256328654</v>
      </c>
      <c r="F53" s="57">
        <f>IF(OR(1949953.70412="",19182.48839="",16302.94337=""),"-",(16302.94337-19182.48839)/1949953.70412*100)</f>
        <v>-0.14767248134742336</v>
      </c>
      <c r="G53" s="57">
        <f>IF(OR(1636115.84011="",24088.14133="",16302.94337=""),"-",(24088.14133-16302.94337)/1636115.84011*100)</f>
        <v>0.4758341536181558</v>
      </c>
    </row>
    <row r="54" spans="1:7" s="37" customFormat="1" ht="26.25">
      <c r="A54" s="36" t="s">
        <v>103</v>
      </c>
      <c r="B54" s="64">
        <f>IF(266407.47522="","-",266407.47522)/1000</f>
        <v>266.40747522000004</v>
      </c>
      <c r="C54" s="64">
        <f>IF(265854.34291="","-",266407.47522/265854.34291*100)</f>
        <v>100.20805840669951</v>
      </c>
      <c r="D54" s="64">
        <f>IF(265854.34291="","-",265854.34291/1636115.84011*100)</f>
        <v>16.249114909377443</v>
      </c>
      <c r="E54" s="64">
        <f>IF(266407.47522="","-",266407.47522/1633563.54712*100)</f>
        <v>16.30836312977728</v>
      </c>
      <c r="F54" s="64">
        <f>IF(1949953.70412="","-",(265854.34291-279205.52896)/1949953.70412*100)</f>
        <v>-0.6846924633026256</v>
      </c>
      <c r="G54" s="64">
        <f>IF(1636115.84011="","-",(266407.47522-265854.34291)/1636115.84011*100)</f>
        <v>0.03380764958322431</v>
      </c>
    </row>
    <row r="55" spans="1:7" s="37" customFormat="1" ht="26.25">
      <c r="A55" s="35" t="s">
        <v>104</v>
      </c>
      <c r="B55" s="57">
        <f>IF(2048.0362="","-",2048.0362)/1000</f>
        <v>2.0480362</v>
      </c>
      <c r="C55" s="57">
        <f>IF(OR(5951.32739="",2048.0362=""),"-",2048.0362/5951.32739*100)</f>
        <v>34.413099226255135</v>
      </c>
      <c r="D55" s="57">
        <f>IF(5951.32739="","-",5951.32739/1636115.84011*100)</f>
        <v>0.36374731202406047</v>
      </c>
      <c r="E55" s="57">
        <f>IF(2048.0362="","-",2048.0362/1633563.54712*100)</f>
        <v>0.1253723005518042</v>
      </c>
      <c r="F55" s="57">
        <f>IF(OR(1949953.70412="",6710.54554="",5951.32739=""),"-",(5951.32739-6710.54554)/1949953.70412*100)</f>
        <v>-0.038935188481442916</v>
      </c>
      <c r="G55" s="57">
        <f>IF(OR(1636115.84011="",2048.0362="",5951.32739=""),"-",(2048.0362-5951.32739)/1636115.84011*100)</f>
        <v>-0.23857058860438468</v>
      </c>
    </row>
    <row r="56" spans="1:7" s="37" customFormat="1" ht="26.25">
      <c r="A56" s="35" t="s">
        <v>105</v>
      </c>
      <c r="B56" s="57">
        <f>IF(7815.03062="","-",7815.03062)/1000</f>
        <v>7.815030620000001</v>
      </c>
      <c r="C56" s="57">
        <f>IF(OR(8768.99689="",7815.03062=""),"-",7815.03062/8768.99689*100)</f>
        <v>89.12114712815232</v>
      </c>
      <c r="D56" s="57">
        <f>IF(8768.99689="","-",8768.99689/1636115.84011*100)</f>
        <v>0.5359643049119578</v>
      </c>
      <c r="E56" s="57">
        <f>IF(7815.03062="","-",7815.03062/1633563.54712*100)</f>
        <v>0.4784038327604721</v>
      </c>
      <c r="F56" s="57">
        <f>IF(OR(1949953.70412="",10453.30197="",8768.99689=""),"-",(8768.99689-10453.30197)/1949953.70412*100)</f>
        <v>-0.08637667019690168</v>
      </c>
      <c r="G56" s="57">
        <f>IF(OR(1636115.84011="",7815.03062="",8768.99689=""),"-",(7815.03062-8768.99689)/1636115.84011*100)</f>
        <v>-0.05830676817699305</v>
      </c>
    </row>
    <row r="57" spans="1:7" s="37" customFormat="1" ht="14.25" customHeight="1">
      <c r="A57" s="35" t="s">
        <v>106</v>
      </c>
      <c r="B57" s="57">
        <f>IF(1840.53469="","-",1840.53469)/1000</f>
        <v>1.84053469</v>
      </c>
      <c r="C57" s="57">
        <f>IF(OR(1864.6131="",1840.53469=""),"-",1840.53469/1864.6131*100)</f>
        <v>98.70866454815747</v>
      </c>
      <c r="D57" s="57">
        <f>IF(1864.6131="","-",1864.6131/1636115.84011*100)</f>
        <v>0.11396583629889176</v>
      </c>
      <c r="E57" s="57">
        <f>IF(1840.53469="","-",1840.53469/1633563.54712*100)</f>
        <v>0.11266991683579702</v>
      </c>
      <c r="F57" s="57">
        <f>IF(OR(1949953.70412="",2085.33932="",1864.6131=""),"-",(1864.6131-2085.33932)/1949953.70412*100)</f>
        <v>-0.011319562076455153</v>
      </c>
      <c r="G57" s="57">
        <f>IF(OR(1636115.84011="",1840.53469="",1864.6131=""),"-",(1840.53469-1864.6131)/1636115.84011*100)</f>
        <v>-0.0014716812471164162</v>
      </c>
    </row>
    <row r="58" spans="1:7" s="37" customFormat="1" ht="39">
      <c r="A58" s="35" t="s">
        <v>107</v>
      </c>
      <c r="B58" s="57">
        <f>IF(24631.96847="","-",24631.96847)/1000</f>
        <v>24.63196847</v>
      </c>
      <c r="C58" s="57">
        <f>IF(OR(29085.40438="",24631.96847=""),"-",24631.96847/29085.40438*100)</f>
        <v>84.68841673364419</v>
      </c>
      <c r="D58" s="57">
        <f>IF(29085.40438="","-",29085.40438/1636115.84011*100)</f>
        <v>1.7777105793465406</v>
      </c>
      <c r="E58" s="57">
        <f>IF(24631.96847="","-",24631.96847/1633563.54712*100)</f>
        <v>1.5078671725643347</v>
      </c>
      <c r="F58" s="57">
        <f>IF(OR(1949953.70412="",32332.16011="",29085.40438=""),"-",(29085.40438-32332.16011)/1949953.70412*100)</f>
        <v>-0.1665042469028893</v>
      </c>
      <c r="G58" s="57">
        <f>IF(OR(1636115.84011="",24631.96847="",29085.40438=""),"-",(24631.96847-29085.40438)/1636115.84011*100)</f>
        <v>-0.2721956355914618</v>
      </c>
    </row>
    <row r="59" spans="1:7" s="37" customFormat="1" ht="26.25">
      <c r="A59" s="35" t="s">
        <v>108</v>
      </c>
      <c r="B59" s="57">
        <f>IF(2099.86565="","-",2099.86565)/1000</f>
        <v>2.0998656500000004</v>
      </c>
      <c r="C59" s="57" t="s">
        <v>173</v>
      </c>
      <c r="D59" s="57">
        <f>IF(729.52792="","-",729.52792/1636115.84011*100)</f>
        <v>0.04458901393870449</v>
      </c>
      <c r="E59" s="57">
        <f>IF(2099.86565="","-",2099.86565/1633563.54712*100)</f>
        <v>0.1285450849893228</v>
      </c>
      <c r="F59" s="57">
        <f>IF(OR(1949953.70412="",886.37576="",729.52792=""),"-",(729.52792-886.37576)/1949953.70412*100)</f>
        <v>-0.008043669942963304</v>
      </c>
      <c r="G59" s="57">
        <f>IF(OR(1636115.84011="",2099.86565="",729.52792=""),"-",(2099.86565-729.52792)/1636115.84011*100)</f>
        <v>0.08375554446730796</v>
      </c>
    </row>
    <row r="60" spans="1:7" s="37" customFormat="1" ht="39">
      <c r="A60" s="35" t="s">
        <v>109</v>
      </c>
      <c r="B60" s="57">
        <f>IF(2609.30505="","-",2609.30505)/1000</f>
        <v>2.60930505</v>
      </c>
      <c r="C60" s="57">
        <f>IF(OR(3186.1889="",2609.30505=""),"-",2609.30505/3186.1889*100)</f>
        <v>81.89423577490965</v>
      </c>
      <c r="D60" s="57">
        <f>IF(3186.1889="","-",3186.1889/1636115.84011*100)</f>
        <v>0.19474103372691415</v>
      </c>
      <c r="E60" s="57">
        <f>IF(2609.30505="","-",2609.30505/1633563.54712*100)</f>
        <v>0.15973085678853746</v>
      </c>
      <c r="F60" s="57">
        <f>IF(OR(1949953.70412="",2965.08196="",3186.1889=""),"-",(3186.1889-2965.08196)/1949953.70412*100)</f>
        <v>0.011339086642561296</v>
      </c>
      <c r="G60" s="57">
        <f>IF(OR(1636115.84011="",2609.30505="",3186.1889=""),"-",(2609.30505-3186.1889)/1636115.84011*100)</f>
        <v>-0.03525935241609878</v>
      </c>
    </row>
    <row r="61" spans="1:7" s="37" customFormat="1" ht="39.75" customHeight="1">
      <c r="A61" s="35" t="s">
        <v>110</v>
      </c>
      <c r="B61" s="57">
        <f>IF(203834.52821="","-",203834.52821)/1000</f>
        <v>203.83452821</v>
      </c>
      <c r="C61" s="57">
        <f>IF(OR(201640.91216="",203834.52821=""),"-",203834.52821/201640.91216*100)</f>
        <v>101.08788242748048</v>
      </c>
      <c r="D61" s="57">
        <f>IF(201640.91216="","-",201640.91216/1636115.84011*100)</f>
        <v>12.324366479236776</v>
      </c>
      <c r="E61" s="57">
        <f>IF(203834.52821="","-",203834.52821/1633563.54712*100)</f>
        <v>12.477906266295161</v>
      </c>
      <c r="F61" s="57">
        <f>IF(OR(1949953.70412="",206853.19027="",201640.91216=""),"-",(201640.91216-206853.19027)/1949953.70412*100)</f>
        <v>-0.2673026594932544</v>
      </c>
      <c r="G61" s="57">
        <f>IF(OR(1636115.84011="",203834.52821="",201640.91216=""),"-",(203834.52821-201640.91216)/1636115.84011*100)</f>
        <v>0.1340746172259111</v>
      </c>
    </row>
    <row r="62" spans="1:7" s="37" customFormat="1" ht="26.25">
      <c r="A62" s="35" t="s">
        <v>111</v>
      </c>
      <c r="B62" s="57">
        <f>IF(21166.81498="","-",21166.81498)/1000</f>
        <v>21.166814979999998</v>
      </c>
      <c r="C62" s="57" t="s">
        <v>32</v>
      </c>
      <c r="D62" s="57">
        <f>IF(9381.78376="","-",9381.78376/1636115.84011*100)</f>
        <v>0.5734180630736538</v>
      </c>
      <c r="E62" s="57">
        <f>IF(21166.81498="","-",21166.81498/1633563.54712*100)</f>
        <v>1.295744816130199</v>
      </c>
      <c r="F62" s="57">
        <f>IF(OR(1949953.70412="",16123.75909="",9381.78376=""),"-",(9381.78376-16123.75909)/1949953.70412*100)</f>
        <v>-0.34575053324369076</v>
      </c>
      <c r="G62" s="57">
        <f>IF(OR(1636115.84011="",21166.81498="",9381.78376=""),"-",(21166.81498-9381.78376)/1636115.84011*100)</f>
        <v>0.720305428936356</v>
      </c>
    </row>
    <row r="63" spans="1:7" s="37" customFormat="1" ht="15">
      <c r="A63" s="35" t="s">
        <v>112</v>
      </c>
      <c r="B63" s="57">
        <f>IF(361.39135="","-",361.39135)/1000</f>
        <v>0.36139135</v>
      </c>
      <c r="C63" s="57">
        <f>IF(OR(5245.58841="",361.39135=""),"-",361.39135/5245.58841*100)</f>
        <v>6.889433972956334</v>
      </c>
      <c r="D63" s="57">
        <f>IF(5245.58841="","-",5245.58841/1636115.84011*100)</f>
        <v>0.3206122868199434</v>
      </c>
      <c r="E63" s="57">
        <f>IF(361.39135="","-",361.39135/1633563.54712*100)</f>
        <v>0.022122882861651694</v>
      </c>
      <c r="F63" s="57">
        <f>IF(OR(1949953.70412="",795.77494="",5245.58841=""),"-",(5245.58841-795.77494)/1949953.70412*100)</f>
        <v>0.2282009803924124</v>
      </c>
      <c r="G63" s="57">
        <f>IF(OR(1636115.84011="",361.39135="",5245.58841=""),"-",(361.39135-5245.58841)/1636115.84011*100)</f>
        <v>-0.29852391501029807</v>
      </c>
    </row>
    <row r="64" spans="1:7" s="37" customFormat="1" ht="15">
      <c r="A64" s="36" t="s">
        <v>113</v>
      </c>
      <c r="B64" s="64">
        <f>IF(391387.25689="","-",391387.25689)/1000</f>
        <v>391.38725689</v>
      </c>
      <c r="C64" s="64">
        <f>IF(357751.72577="","-",391387.25689/357751.72577*100)</f>
        <v>109.40192001802514</v>
      </c>
      <c r="D64" s="64">
        <f>IF(357751.72577="","-",357751.72577/1636115.84011*100)</f>
        <v>21.865916642304956</v>
      </c>
      <c r="E64" s="64">
        <f>IF(391387.25689="","-",391387.25689/1633563.54712*100)</f>
        <v>23.959108146115426</v>
      </c>
      <c r="F64" s="64">
        <f>IF(1949953.70412="","-",(357751.72577-437936.12876)/1949953.70412*100)</f>
        <v>-4.112118293915425</v>
      </c>
      <c r="G64" s="64">
        <f>IF(1636115.84011="","-",(391387.25689-357751.72577)/1636115.84011*100)</f>
        <v>2.055815993917558</v>
      </c>
    </row>
    <row r="65" spans="1:7" s="37" customFormat="1" ht="39">
      <c r="A65" s="35" t="s">
        <v>114</v>
      </c>
      <c r="B65" s="57">
        <f>IF(4683.5348="","-",4683.5348)/1000</f>
        <v>4.6835348</v>
      </c>
      <c r="C65" s="57" t="s">
        <v>16</v>
      </c>
      <c r="D65" s="57">
        <f>IF(2565.77272="","-",2565.77272/1636115.84011*100)</f>
        <v>0.15682096934086873</v>
      </c>
      <c r="E65" s="57">
        <f>IF(4683.5348="","-",4683.5348/1633563.54712*100)</f>
        <v>0.286706618071709</v>
      </c>
      <c r="F65" s="57">
        <f>IF(OR(1949953.70412="",2866.79652="",2565.77272=""),"-",(2565.77272-2866.79652)/1949953.70412*100)</f>
        <v>-0.015437484457398943</v>
      </c>
      <c r="G65" s="57">
        <f>IF(OR(1636115.84011="",4683.5348="",2565.77272=""),"-",(4683.5348-2565.77272)/1636115.84011*100)</f>
        <v>0.12943839476901697</v>
      </c>
    </row>
    <row r="66" spans="1:7" s="37" customFormat="1" ht="15">
      <c r="A66" s="35" t="s">
        <v>115</v>
      </c>
      <c r="B66" s="57">
        <f>IF(101256.20419="","-",101256.20419)/1000</f>
        <v>101.25620419</v>
      </c>
      <c r="C66" s="57">
        <f>IF(OR(80440.52746="",101256.20419=""),"-",101256.20419/80440.52746*100)</f>
        <v>125.87710124147414</v>
      </c>
      <c r="D66" s="57">
        <f>IF(80440.52746="","-",80440.52746/1636115.84011*100)</f>
        <v>4.916554530429324</v>
      </c>
      <c r="E66" s="57">
        <f>IF(101256.20419="","-",101256.20419/1633563.54712*100)</f>
        <v>6.198485780887826</v>
      </c>
      <c r="F66" s="57">
        <f>IF(OR(1949953.70412="",90587.87356="",80440.52746=""),"-",(80440.52746-90587.87356)/1949953.70412*100)</f>
        <v>-0.5203890778822072</v>
      </c>
      <c r="G66" s="57">
        <f>IF(OR(1636115.84011="",101256.20419="",80440.52746=""),"-",(101256.20419-80440.52746)/1636115.84011*100)</f>
        <v>1.2722617934314797</v>
      </c>
    </row>
    <row r="67" spans="1:7" s="37" customFormat="1" ht="15">
      <c r="A67" s="35" t="s">
        <v>116</v>
      </c>
      <c r="B67" s="57">
        <f>IF(12055.35508="","-",12055.35508)/1000</f>
        <v>12.05535508</v>
      </c>
      <c r="C67" s="57">
        <f>IF(OR(13011.90447="",12055.35508=""),"-",12055.35508/13011.90447*100)</f>
        <v>92.64865960086472</v>
      </c>
      <c r="D67" s="57">
        <f>IF(13011.90447="","-",13011.90447/1636115.84011*100)</f>
        <v>0.79529237178739</v>
      </c>
      <c r="E67" s="57">
        <f>IF(12055.35508="","-",12055.35508/1633563.54712*100)</f>
        <v>0.737978948003204</v>
      </c>
      <c r="F67" s="57">
        <f>IF(OR(1949953.70412="",17432.84513="",13011.90447=""),"-",(13011.90447-17432.84513)/1949953.70412*100)</f>
        <v>-0.22672028831551883</v>
      </c>
      <c r="G67" s="57">
        <f>IF(OR(1636115.84011="",12055.35508="",13011.90447=""),"-",(12055.35508-13011.90447)/1636115.84011*100)</f>
        <v>-0.058464649418447596</v>
      </c>
    </row>
    <row r="68" spans="1:7" s="37" customFormat="1" ht="15">
      <c r="A68" s="35" t="s">
        <v>117</v>
      </c>
      <c r="B68" s="57">
        <f>IF(203981.30798="","-",203981.30798)/1000</f>
        <v>203.98130798000003</v>
      </c>
      <c r="C68" s="57">
        <f>IF(OR(192511.10187="",203981.30798=""),"-",203981.30798/192511.10187*100)</f>
        <v>105.95820500666278</v>
      </c>
      <c r="D68" s="57">
        <f>IF(192511.10187="","-",192511.10187/1636115.84011*100)</f>
        <v>11.766349127031068</v>
      </c>
      <c r="E68" s="57">
        <f>IF(203981.30798="","-",203981.30798/1633563.54712*100)</f>
        <v>12.486891516379787</v>
      </c>
      <c r="F68" s="57">
        <f>IF(OR(1949953.70412="",238584.99561="",192511.10187=""),"-",(192511.10187-238584.99561)/1949953.70412*100)</f>
        <v>-2.3628198783720777</v>
      </c>
      <c r="G68" s="57">
        <f>IF(OR(1636115.84011="",203981.30798="",192511.10187=""),"-",(203981.30798-192511.10187)/1636115.84011*100)</f>
        <v>0.7010632027881858</v>
      </c>
    </row>
    <row r="69" spans="1:7" s="37" customFormat="1" ht="15">
      <c r="A69" s="35" t="s">
        <v>118</v>
      </c>
      <c r="B69" s="57">
        <f>IF(24232.47997="","-",24232.47997)/1000</f>
        <v>24.23247997</v>
      </c>
      <c r="C69" s="57">
        <f>IF(OR(19744.53712="",24232.47997=""),"-",24232.47997/19744.53712*100)</f>
        <v>122.73004843174566</v>
      </c>
      <c r="D69" s="57">
        <f>IF(19744.53712="","-",19744.53712/1636115.84011*100)</f>
        <v>1.2067933477541866</v>
      </c>
      <c r="E69" s="57">
        <f>IF(24232.47997="","-",24232.47997/1633563.54712*100)</f>
        <v>1.4834121398412856</v>
      </c>
      <c r="F69" s="57">
        <f>IF(OR(1949953.70412="",29313.08805="",19744.53712=""),"-",(19744.53712-29313.08805)/1949953.70412*100)</f>
        <v>-0.4907065695858772</v>
      </c>
      <c r="G69" s="57">
        <f>IF(OR(1636115.84011="",24232.47997="",19744.53712=""),"-",(24232.47997-19744.53712)/1636115.84011*100)</f>
        <v>0.27430471241561133</v>
      </c>
    </row>
    <row r="70" spans="1:7" ht="26.25">
      <c r="A70" s="17" t="s">
        <v>126</v>
      </c>
      <c r="B70" s="57">
        <f>IF(20038.15129="","-",20038.15129)/1000</f>
        <v>20.038151290000002</v>
      </c>
      <c r="C70" s="57">
        <f>IF(OR(20894.73709="",20038.15129=""),"-",20038.15129/20894.73709*100)</f>
        <v>95.9004710310045</v>
      </c>
      <c r="D70" s="57">
        <f>IF(20894.73709="","-",20894.73709/1636115.84011*100)</f>
        <v>1.2770939916207396</v>
      </c>
      <c r="E70" s="57">
        <f>IF(20038.15129="","-",20038.15129/1633563.54712*100)</f>
        <v>1.2266526959007868</v>
      </c>
      <c r="F70" s="57">
        <f>IF(OR(1949953.70412="",25884.98079="",20894.73709=""),"-",(20894.73709-25884.98079)/1949953.70412*100)</f>
        <v>-0.2559160091573592</v>
      </c>
      <c r="G70" s="57">
        <f>IF(OR(1636115.84011="",20038.15129="",20894.73709=""),"-",(20038.15129-20894.73709)/1636115.84011*100)</f>
        <v>-0.05235483814779318</v>
      </c>
    </row>
    <row r="71" spans="1:7" ht="26.25">
      <c r="A71" s="19" t="s">
        <v>120</v>
      </c>
      <c r="B71" s="57">
        <f>IF(1696.16999="","-",1696.16999)/1000</f>
        <v>1.69616999</v>
      </c>
      <c r="C71" s="57">
        <f>IF(OR(1473.11875="",1696.16999=""),"-",1696.16999/1473.11875*100)</f>
        <v>115.1414297048354</v>
      </c>
      <c r="D71" s="57">
        <f>IF(1473.11875="","-",1473.11875/1636115.84011*100)</f>
        <v>0.09003755809252227</v>
      </c>
      <c r="E71" s="57">
        <f>IF(1696.16999="","-",1696.16999/1633563.54712*100)</f>
        <v>0.1038325073420239</v>
      </c>
      <c r="F71" s="57">
        <f>IF(OR(1949953.70412="",1008.00876="",1473.11875=""),"-",(1473.11875-1008.00876)/1949953.70412*100)</f>
        <v>0.02385236064924428</v>
      </c>
      <c r="G71" s="57">
        <f>IF(OR(1636115.84011="",1696.16999="",1473.11875=""),"-",(1696.16999-1473.11875)/1636115.84011*100)</f>
        <v>0.013632973566529602</v>
      </c>
    </row>
    <row r="72" spans="1:7" ht="15">
      <c r="A72" s="20" t="s">
        <v>121</v>
      </c>
      <c r="B72" s="59">
        <f>IF(23444.05359="","-",23444.05359)/1000</f>
        <v>23.44405359</v>
      </c>
      <c r="C72" s="59">
        <f>IF(OR(27110.02629="",23444.05359=""),"-",23444.05359/27110.02629*100)</f>
        <v>86.47742845844358</v>
      </c>
      <c r="D72" s="59">
        <f>IF(27110.02629="","-",27110.02629/1636115.84011*100)</f>
        <v>1.6569747462488553</v>
      </c>
      <c r="E72" s="59">
        <f>IF(23444.05359="","-",23444.05359/1633563.54712*100)</f>
        <v>1.4351479396888025</v>
      </c>
      <c r="F72" s="59">
        <f>IF(OR(1949953.70412="",32257.54034="",27110.02629=""),"-",(27110.02629-32257.54034)/1949953.70412*100)</f>
        <v>-0.2639813467942324</v>
      </c>
      <c r="G72" s="59">
        <f>IF(OR(1636115.84011="",23444.05359="",27110.02629=""),"-",(23444.05359-27110.02629)/1636115.84011*100)</f>
        <v>-0.22406559548702432</v>
      </c>
    </row>
    <row r="73" ht="15">
      <c r="A73" s="14" t="s">
        <v>35</v>
      </c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1968503937007874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80"/>
  <sheetViews>
    <sheetView zoomScalePageLayoutView="0" workbookViewId="0" topLeftCell="A1">
      <selection activeCell="A1" sqref="A1:G1"/>
    </sheetView>
  </sheetViews>
  <sheetFormatPr defaultColWidth="9.00390625" defaultRowHeight="15.75"/>
  <cols>
    <col min="1" max="1" width="28.625" style="0" customWidth="1"/>
    <col min="2" max="2" width="9.875" style="0" customWidth="1"/>
    <col min="3" max="3" width="11.375" style="0" customWidth="1"/>
    <col min="4" max="5" width="9.25390625" style="0" customWidth="1"/>
    <col min="6" max="7" width="10.125" style="0" customWidth="1"/>
  </cols>
  <sheetData>
    <row r="1" spans="1:7" ht="15.75">
      <c r="A1" s="90" t="s">
        <v>134</v>
      </c>
      <c r="B1" s="90"/>
      <c r="C1" s="90"/>
      <c r="D1" s="90"/>
      <c r="E1" s="90"/>
      <c r="F1" s="90"/>
      <c r="G1" s="90"/>
    </row>
    <row r="2" spans="1:7" ht="15.75">
      <c r="A2" s="90" t="s">
        <v>49</v>
      </c>
      <c r="B2" s="90"/>
      <c r="C2" s="90"/>
      <c r="D2" s="90"/>
      <c r="E2" s="90"/>
      <c r="F2" s="90"/>
      <c r="G2" s="90"/>
    </row>
    <row r="3" ht="15">
      <c r="A3" s="13"/>
    </row>
    <row r="4" spans="1:7" ht="62.25" customHeight="1">
      <c r="A4" s="106"/>
      <c r="B4" s="102" t="s">
        <v>143</v>
      </c>
      <c r="C4" s="107"/>
      <c r="D4" s="102" t="s">
        <v>0</v>
      </c>
      <c r="E4" s="102"/>
      <c r="F4" s="93" t="s">
        <v>137</v>
      </c>
      <c r="G4" s="108"/>
    </row>
    <row r="5" spans="1:7" ht="25.5" customHeight="1">
      <c r="A5" s="106"/>
      <c r="B5" s="102" t="s">
        <v>123</v>
      </c>
      <c r="C5" s="98" t="s">
        <v>144</v>
      </c>
      <c r="D5" s="98" t="s">
        <v>145</v>
      </c>
      <c r="E5" s="98"/>
      <c r="F5" s="98" t="s">
        <v>145</v>
      </c>
      <c r="G5" s="91"/>
    </row>
    <row r="6" spans="1:7" ht="28.5" customHeight="1">
      <c r="A6" s="106"/>
      <c r="B6" s="102"/>
      <c r="C6" s="109"/>
      <c r="D6" s="12">
        <v>2015</v>
      </c>
      <c r="E6" s="12">
        <v>2016</v>
      </c>
      <c r="F6" s="12" t="s">
        <v>3</v>
      </c>
      <c r="G6" s="3" t="s">
        <v>4</v>
      </c>
    </row>
    <row r="7" spans="1:7" ht="15">
      <c r="A7" s="16" t="s">
        <v>127</v>
      </c>
      <c r="B7" s="65">
        <f>IF(3276222.75667="","-",3276222.75667)/1000</f>
        <v>3276.22275667</v>
      </c>
      <c r="C7" s="65">
        <f>IF(3299511.05107="","-",3276222.75667/3299511.05107*100)</f>
        <v>99.29418953173538</v>
      </c>
      <c r="D7" s="65">
        <v>100</v>
      </c>
      <c r="E7" s="65">
        <v>100</v>
      </c>
      <c r="F7" s="65">
        <f>IF(4347533.23603="","-",(3299511.05107-4347533.23603)/4347533.23603*100)</f>
        <v>-24.106133939921612</v>
      </c>
      <c r="G7" s="65">
        <f>IF(3299511.05107="","-",(3276222.75667-3299511.05107)/3299511.05107*100)</f>
        <v>-0.7058104682646188</v>
      </c>
    </row>
    <row r="8" spans="1:7" ht="15">
      <c r="A8" s="17" t="s">
        <v>128</v>
      </c>
      <c r="B8" s="55"/>
      <c r="C8" s="55"/>
      <c r="D8" s="55"/>
      <c r="E8" s="55"/>
      <c r="F8" s="55"/>
      <c r="G8" s="55"/>
    </row>
    <row r="9" spans="1:7" ht="15">
      <c r="A9" s="18" t="s">
        <v>50</v>
      </c>
      <c r="B9" s="66">
        <f>IF(351700.07712="","-",351700.07712)/1000</f>
        <v>351.70007711999995</v>
      </c>
      <c r="C9" s="66">
        <f>IF(340585.47813="","-",351700.07712/340585.47813*100)</f>
        <v>103.26338018021941</v>
      </c>
      <c r="D9" s="66">
        <f>IF(340585.47813="","-",340585.47813/3299511.05107*100)</f>
        <v>10.322301482201473</v>
      </c>
      <c r="E9" s="66">
        <f>IF(351700.07712="","-",351700.07712/3276222.75667*100)</f>
        <v>10.734925651925847</v>
      </c>
      <c r="F9" s="66">
        <f>IF(4347533.23603="","-",(340585.47813-446543.41562)/4347533.23603*100)</f>
        <v>-2.437196721393134</v>
      </c>
      <c r="G9" s="66">
        <f>IF(3299511.05107="","-",(351700.07712-340585.47813)/3299511.05107*100)</f>
        <v>0.33685594071265834</v>
      </c>
    </row>
    <row r="10" spans="1:7" ht="15">
      <c r="A10" s="17" t="s">
        <v>51</v>
      </c>
      <c r="B10" s="67">
        <f>IF(6004.15803="","-",6004.15803)/1000</f>
        <v>6.004158029999999</v>
      </c>
      <c r="C10" s="67">
        <f>IF(OR(6979.28889="",6004.15803=""),"-",6004.15803/6979.28889*100)</f>
        <v>86.0282204194588</v>
      </c>
      <c r="D10" s="67">
        <f>IF(6979.28889="","-",6979.28889/3299511.05107*100)</f>
        <v>0.21152494360449808</v>
      </c>
      <c r="E10" s="67">
        <f>IF(6004.15803="","-",6004.15803/3276222.75667*100)</f>
        <v>0.18326464578076224</v>
      </c>
      <c r="F10" s="67">
        <f>IF(OR(4347533.23603="",15529.15922="",6979.28889=""),"-",(6979.28889-15529.15922)/4347533.23603*100)</f>
        <v>-0.19666026378230547</v>
      </c>
      <c r="G10" s="67">
        <f>IF(OR(3299511.05107="",6004.15803="",6979.28889=""),"-",(6004.15803-6979.28889)/3299511.05107*100)</f>
        <v>-0.029553798878284545</v>
      </c>
    </row>
    <row r="11" spans="1:7" s="37" customFormat="1" ht="15">
      <c r="A11" s="35" t="s">
        <v>52</v>
      </c>
      <c r="B11" s="67">
        <f>IF(21330.68146="","-",21330.68146)/1000</f>
        <v>21.33068146</v>
      </c>
      <c r="C11" s="67">
        <f>IF(OR(22801.09531="",21330.68146=""),"-",21330.68146/22801.09531*100)</f>
        <v>93.55112625069765</v>
      </c>
      <c r="D11" s="67">
        <f>IF(22801.09531="","-",22801.09531/3299511.05107*100)</f>
        <v>0.691044671682667</v>
      </c>
      <c r="E11" s="67">
        <f>IF(21330.68146="","-",21330.68146/3276222.75667*100)</f>
        <v>0.651075431808575</v>
      </c>
      <c r="F11" s="67">
        <f>IF(OR(4347533.23603="",48222.18037="",22801.09531=""),"-",(22801.09531-48222.18037)/4347533.23603*100)</f>
        <v>-0.5847243409049485</v>
      </c>
      <c r="G11" s="67">
        <f>IF(OR(3299511.05107="",21330.68146="",22801.09531=""),"-",(21330.68146-22801.09531)/3299511.05107*100)</f>
        <v>-0.044564598428096173</v>
      </c>
    </row>
    <row r="12" spans="1:7" s="37" customFormat="1" ht="15">
      <c r="A12" s="35" t="s">
        <v>53</v>
      </c>
      <c r="B12" s="67">
        <f>IF(33222.3638999999="","-",33222.3638999999)/1000</f>
        <v>33.222363899999905</v>
      </c>
      <c r="C12" s="67">
        <f>IF(OR(27803.57705="",33222.3638999999=""),"-",33222.3638999999/27803.57705*100)</f>
        <v>119.48953129395954</v>
      </c>
      <c r="D12" s="67">
        <f>IF(27803.57705="","-",27803.57705/3299511.05107*100)</f>
        <v>0.8426574913571986</v>
      </c>
      <c r="E12" s="67">
        <f>IF(33222.3638999999="","-",33222.3638999999/3276222.75667*100)</f>
        <v>1.014044720627226</v>
      </c>
      <c r="F12" s="67">
        <f>IF(OR(4347533.23603="",36052.2692="",27803.57705=""),"-",(27803.57705-36052.2692)/4347533.23603*100)</f>
        <v>-0.18973269903124168</v>
      </c>
      <c r="G12" s="67">
        <f>IF(OR(3299511.05107="",33222.3638999999="",27803.57705=""),"-",(33222.3638999999-27803.57705)/3299511.05107*100)</f>
        <v>0.16422999547895561</v>
      </c>
    </row>
    <row r="13" spans="1:7" s="37" customFormat="1" ht="15">
      <c r="A13" s="35" t="s">
        <v>54</v>
      </c>
      <c r="B13" s="67">
        <f>IF(33835.09017="","-",33835.09017)/1000</f>
        <v>33.83509017</v>
      </c>
      <c r="C13" s="67">
        <f>IF(OR(28311.79025="",33835.09017=""),"-",33835.09017/28311.79025*100)</f>
        <v>119.5088331441704</v>
      </c>
      <c r="D13" s="67">
        <f>IF(28311.79025="","-",28311.79025/3299511.05107*100)</f>
        <v>0.8580601735162776</v>
      </c>
      <c r="E13" s="67">
        <f>IF(33835.09017="","-",33835.09017/3276222.75667*100)</f>
        <v>1.0327469370364326</v>
      </c>
      <c r="F13" s="67">
        <f>IF(OR(4347533.23603="",39831.74719="",28311.79025=""),"-",(28311.79025-39831.74719)/4347533.23603*100)</f>
        <v>-0.2649768573251802</v>
      </c>
      <c r="G13" s="67">
        <f>IF(OR(3299511.05107="",33835.09017="",28311.79025=""),"-",(33835.09017-28311.79025)/3299511.05107*100)</f>
        <v>0.16739752752786966</v>
      </c>
    </row>
    <row r="14" spans="1:7" s="37" customFormat="1" ht="15">
      <c r="A14" s="35" t="s">
        <v>55</v>
      </c>
      <c r="B14" s="67">
        <f>IF(48273.44913="","-",48273.44913)/1000</f>
        <v>48.27344913</v>
      </c>
      <c r="C14" s="67">
        <f>IF(OR(48033.18371="",48273.44913=""),"-",48273.44913/48033.18371*100)</f>
        <v>100.50020715147802</v>
      </c>
      <c r="D14" s="67">
        <f>IF(48033.18371="","-",48033.18371/3299511.05107*100)</f>
        <v>1.4557667171450537</v>
      </c>
      <c r="E14" s="67">
        <f>IF(48273.44913="","-",48273.44913/3276222.75667*100)</f>
        <v>1.4734483188519767</v>
      </c>
      <c r="F14" s="67">
        <f>IF(OR(4347533.23603="",62161.0545="",48033.18371=""),"-",(48033.18371-62161.0545)/4347533.23603*100)</f>
        <v>-0.324962916278957</v>
      </c>
      <c r="G14" s="67">
        <f>IF(OR(3299511.05107="",48273.44913="",48033.18371=""),"-",(48273.44913-48033.18371)/3299511.05107*100)</f>
        <v>0.0072818492279966025</v>
      </c>
    </row>
    <row r="15" spans="1:7" s="37" customFormat="1" ht="15">
      <c r="A15" s="35" t="s">
        <v>56</v>
      </c>
      <c r="B15" s="67">
        <f>IF(73772.1715="","-",73772.1715)/1000</f>
        <v>73.7721715</v>
      </c>
      <c r="C15" s="67">
        <f>IF(OR(94289.26903="",73772.1715=""),"-",73772.1715/94289.26903*100)</f>
        <v>78.2402623956369</v>
      </c>
      <c r="D15" s="67">
        <f>IF(94289.26903="","-",94289.26903/3299511.05107*100)</f>
        <v>2.8576739877692754</v>
      </c>
      <c r="E15" s="67">
        <f>IF(73772.1715="","-",73772.1715/3276222.75667*100)</f>
        <v>2.2517446760849404</v>
      </c>
      <c r="F15" s="67">
        <f>IF(OR(4347533.23603="",95862.32687="",94289.26903=""),"-",(94289.26903-95862.32687)/4347533.23603*100)</f>
        <v>-0.03618276743610278</v>
      </c>
      <c r="G15" s="67">
        <f>IF(OR(3299511.05107="",73772.1715="",94289.26903=""),"-",(73772.1715-94289.26903)/3299511.05107*100)</f>
        <v>-0.6218223613267335</v>
      </c>
    </row>
    <row r="16" spans="1:7" s="37" customFormat="1" ht="15">
      <c r="A16" s="35" t="s">
        <v>57</v>
      </c>
      <c r="B16" s="67">
        <f>IF(21321.11393="","-",21321.11393)/1000</f>
        <v>21.32111393</v>
      </c>
      <c r="C16" s="67" t="s">
        <v>33</v>
      </c>
      <c r="D16" s="67">
        <f>IF(7976.74534="","-",7976.74534/3299511.05107*100)</f>
        <v>0.24175537576736464</v>
      </c>
      <c r="E16" s="67">
        <f>IF(21321.11393="","-",21321.11393/3276222.75667*100)</f>
        <v>0.6507834025202575</v>
      </c>
      <c r="F16" s="67">
        <f>IF(OR(4347533.23603="",15582.76778="",7976.74534=""),"-",(7976.74534-15582.76778)/4347533.23603*100)</f>
        <v>-0.17495030002221504</v>
      </c>
      <c r="G16" s="67">
        <f>IF(OR(3299511.05107="",21321.11393="",7976.74534=""),"-",(21321.11393-7976.74534)/3299511.05107*100)</f>
        <v>0.40443472937217617</v>
      </c>
    </row>
    <row r="17" spans="1:7" s="37" customFormat="1" ht="26.25">
      <c r="A17" s="35" t="s">
        <v>58</v>
      </c>
      <c r="B17" s="67">
        <f>IF(36746.62403="","-",36746.62403)/1000</f>
        <v>36.74662403</v>
      </c>
      <c r="C17" s="67">
        <f>IF(OR(33980.97237="",36746.62403=""),"-",36746.62403/33980.97237*100)</f>
        <v>108.13882436878599</v>
      </c>
      <c r="D17" s="67">
        <f>IF(33980.97237="","-",33980.97237/3299511.05107*100)</f>
        <v>1.0298790288633917</v>
      </c>
      <c r="E17" s="67">
        <f>IF(36746.62403="","-",36746.62403/3276222.75667*100)</f>
        <v>1.1216155542289743</v>
      </c>
      <c r="F17" s="67">
        <f>IF(OR(4347533.23603="",42599.42514="",33980.97237=""),"-",(33980.97237-42599.42514)/4347533.23603*100)</f>
        <v>-0.1982377661561027</v>
      </c>
      <c r="G17" s="67">
        <f>IF(OR(3299511.05107="",36746.62403="",33980.97237=""),"-",(36746.62403-33980.97237)/3299511.05107*100)</f>
        <v>0.08382004537015027</v>
      </c>
    </row>
    <row r="18" spans="1:7" s="37" customFormat="1" ht="26.25">
      <c r="A18" s="35" t="s">
        <v>59</v>
      </c>
      <c r="B18" s="67">
        <f>IF(21947.16527="","-",21947.16527)/1000</f>
        <v>21.947165270000003</v>
      </c>
      <c r="C18" s="67">
        <f>IF(OR(19851.1226="",21947.16527=""),"-",21947.16527/19851.1226*100)</f>
        <v>110.55881177218664</v>
      </c>
      <c r="D18" s="67">
        <f>IF(19851.1226="","-",19851.1226/3299511.05107*100)</f>
        <v>0.6016383122451573</v>
      </c>
      <c r="E18" s="67">
        <f>IF(21947.16527="","-",21947.16527/3276222.75667*100)</f>
        <v>0.6698923394423709</v>
      </c>
      <c r="F18" s="67">
        <f>IF(OR(4347533.23603="",25091.9463="",19851.1226=""),"-",(19851.1226-25091.9463)/4347533.23603*100)</f>
        <v>-0.12054706463350053</v>
      </c>
      <c r="G18" s="67">
        <f>IF(OR(3299511.05107="",21947.16527="",19851.1226=""),"-",(21947.16527-19851.1226)/3299511.05107*100)</f>
        <v>0.06352585693932669</v>
      </c>
    </row>
    <row r="19" spans="1:7" s="37" customFormat="1" ht="15">
      <c r="A19" s="35" t="s">
        <v>60</v>
      </c>
      <c r="B19" s="67">
        <f>IF(55247.2597="","-",55247.2597)/1000</f>
        <v>55.2472597</v>
      </c>
      <c r="C19" s="67">
        <f>IF(OR(50558.43358="",55247.2597=""),"-",55247.2597/50558.43358*100)</f>
        <v>109.27407316245419</v>
      </c>
      <c r="D19" s="67">
        <f>IF(50558.43358="","-",50558.43358/3299511.05107*100)</f>
        <v>1.5323007802505884</v>
      </c>
      <c r="E19" s="67">
        <f>IF(55247.2597="","-",55247.2597/3276222.75667*100)</f>
        <v>1.68630962554433</v>
      </c>
      <c r="F19" s="67">
        <f>IF(OR(4347533.23603="",65610.53905="",50558.43358=""),"-",(50558.43358-65610.53905)/4347533.23603*100)</f>
        <v>-0.3462217458225808</v>
      </c>
      <c r="G19" s="67">
        <f>IF(OR(3299511.05107="",55247.2597="",50558.43358=""),"-",(55247.2597-50558.43358)/3299511.05107*100)</f>
        <v>0.1421066954292959</v>
      </c>
    </row>
    <row r="20" spans="1:7" s="37" customFormat="1" ht="15">
      <c r="A20" s="36" t="s">
        <v>61</v>
      </c>
      <c r="B20" s="66">
        <f>IF(87703.94883="","-",87703.94883)/1000</f>
        <v>87.70394882999999</v>
      </c>
      <c r="C20" s="66">
        <f>IF(80067.78915="","-",87703.94883/80067.78915*100)</f>
        <v>109.53711818580918</v>
      </c>
      <c r="D20" s="66">
        <f>IF(80067.78915="","-",80067.78915/3299511.05107*100)</f>
        <v>2.4266561896810366</v>
      </c>
      <c r="E20" s="66">
        <f>IF(87703.94883="","-",87703.94883/3276222.75667*100)</f>
        <v>2.6769836895688846</v>
      </c>
      <c r="F20" s="66">
        <f>IF(4347533.23603="","-",(80067.78915-94135.86354)/4347533.23603*100)</f>
        <v>-0.32358750643724654</v>
      </c>
      <c r="G20" s="66">
        <f>IF(3299511.05107="","-",(87703.94883-80067.78915)/3299511.05107*100)</f>
        <v>0.23143306877313422</v>
      </c>
    </row>
    <row r="21" spans="1:7" s="37" customFormat="1" ht="15">
      <c r="A21" s="35" t="s">
        <v>62</v>
      </c>
      <c r="B21" s="67">
        <f>IF(40839.97122="","-",40839.97122)/1000</f>
        <v>40.83997122</v>
      </c>
      <c r="C21" s="67">
        <f>IF(OR(31296.51896="",40839.97122=""),"-",40839.97122/31296.51896*100)</f>
        <v>130.49365417348</v>
      </c>
      <c r="D21" s="67">
        <f>IF(31296.51896="","-",31296.51896/3299511.05107*100)</f>
        <v>0.9485199011487122</v>
      </c>
      <c r="E21" s="67">
        <f>IF(40839.97122="","-",40839.97122/3276222.75667*100)</f>
        <v>1.2465566065938183</v>
      </c>
      <c r="F21" s="67">
        <f>IF(OR(4347533.23603="",46163.49261="",31296.51896=""),"-",(31296.51896-46163.49261)/4347533.23603*100)</f>
        <v>-0.34196342714048916</v>
      </c>
      <c r="G21" s="67">
        <f>IF(OR(3299511.05107="",40839.97122="",31296.51896=""),"-",(40839.97122-31296.51896)/3299511.05107*100)</f>
        <v>0.28923837842292266</v>
      </c>
    </row>
    <row r="22" spans="1:7" s="37" customFormat="1" ht="15">
      <c r="A22" s="35" t="s">
        <v>63</v>
      </c>
      <c r="B22" s="67">
        <f>IF(46863.97761="","-",46863.97761)/1000</f>
        <v>46.86397761</v>
      </c>
      <c r="C22" s="67">
        <f>IF(OR(48771.27019="",46863.97761=""),"-",46863.97761/48771.27019*100)</f>
        <v>96.08931124293115</v>
      </c>
      <c r="D22" s="67">
        <f>IF(48771.27019="","-",48771.27019/3299511.05107*100)</f>
        <v>1.478136288532325</v>
      </c>
      <c r="E22" s="67">
        <f>IF(46863.97761="","-",46863.97761/3276222.75667*100)</f>
        <v>1.430427082975067</v>
      </c>
      <c r="F22" s="67">
        <f>IF(OR(4347533.23603="",47972.37093="",48771.27019=""),"-",(48771.27019-47972.37093)/4347533.23603*100)</f>
        <v>0.018375920703242964</v>
      </c>
      <c r="G22" s="67">
        <f>IF(OR(3299511.05107="",46863.97761="",48771.27019=""),"-",(46863.97761-48771.27019)/3299511.05107*100)</f>
        <v>-0.057805309649788396</v>
      </c>
    </row>
    <row r="23" spans="1:7" s="37" customFormat="1" ht="26.25">
      <c r="A23" s="36" t="s">
        <v>64</v>
      </c>
      <c r="B23" s="66">
        <f>IF(82188.5076="","-",82188.5076)/1000</f>
        <v>82.1885076</v>
      </c>
      <c r="C23" s="66">
        <f>IF(85991.24884="","-",82188.5076/85991.24884*100)</f>
        <v>95.57775786338958</v>
      </c>
      <c r="D23" s="66">
        <f>IF(85991.24884="","-",85991.24884/3299511.05107*100)</f>
        <v>2.6061815677845312</v>
      </c>
      <c r="E23" s="66">
        <f>IF(82188.5076="","-",82188.5076/3276222.75667*100)</f>
        <v>2.5086361247163054</v>
      </c>
      <c r="F23" s="66">
        <f>IF(4347533.23603="","-",(85991.24884-98571.71791)/4347533.23603*100)</f>
        <v>-0.28937027935151577</v>
      </c>
      <c r="G23" s="66">
        <f>IF(3299511.05107="","-",(82188.5076-85991.24884)/3299511.05107*100)</f>
        <v>-0.11525165944714173</v>
      </c>
    </row>
    <row r="24" spans="1:7" s="37" customFormat="1" ht="15">
      <c r="A24" s="35" t="s">
        <v>66</v>
      </c>
      <c r="B24" s="67">
        <f>IF(23791.91291="","-",23791.91291)/1000</f>
        <v>23.79191291</v>
      </c>
      <c r="C24" s="67">
        <f>IF(OR(20429.3538="",23791.91291=""),"-",23791.91291/20429.3538*100)</f>
        <v>116.45944919706662</v>
      </c>
      <c r="D24" s="67">
        <f>IF(20429.3538="","-",20429.3538/3299511.05107*100)</f>
        <v>0.6191630663996399</v>
      </c>
      <c r="E24" s="67">
        <f>IF(23791.91291="","-",23791.91291/3276222.75667*100)</f>
        <v>0.726199488772932</v>
      </c>
      <c r="F24" s="67">
        <f>IF(OR(4347533.23603="",18802.71993="",20429.3538=""),"-",(20429.3538-18802.71993)/4347533.23603*100)</f>
        <v>0.03741509913068269</v>
      </c>
      <c r="G24" s="67">
        <f>IF(OR(3299511.05107="",23791.91291="",20429.3538=""),"-",(23791.91291-20429.3538)/3299511.05107*100)</f>
        <v>0.10191083036104856</v>
      </c>
    </row>
    <row r="25" spans="1:7" s="37" customFormat="1" ht="26.25">
      <c r="A25" s="35" t="s">
        <v>67</v>
      </c>
      <c r="B25" s="67">
        <f>IF(535.19498="","-",535.19498)/1000</f>
        <v>0.53519498</v>
      </c>
      <c r="C25" s="67">
        <f>IF(OR(2703.12733="",535.19498=""),"-",535.19498/2703.12733*100)</f>
        <v>19.799103581258233</v>
      </c>
      <c r="D25" s="67">
        <f>IF(2703.12733="","-",2703.12733/3299511.05107*100)</f>
        <v>0.08192508793457144</v>
      </c>
      <c r="E25" s="67">
        <f>IF(535.19498="","-",535.19498/3276222.75667*100)</f>
        <v>0.016335732328041693</v>
      </c>
      <c r="F25" s="67">
        <f>IF(OR(4347533.23603="",5142.61338="",2703.12733=""),"-",(2703.12733-5142.61338)/4347533.23603*100)</f>
        <v>-0.056111958610985675</v>
      </c>
      <c r="G25" s="67">
        <f>IF(OR(3299511.05107="",535.19498="",2703.12733=""),"-",(535.19498-2703.12733)/3299511.05107*100)</f>
        <v>-0.06570465491536875</v>
      </c>
    </row>
    <row r="26" spans="1:7" s="37" customFormat="1" ht="15">
      <c r="A26" s="35" t="s">
        <v>68</v>
      </c>
      <c r="B26" s="67">
        <f>IF(22573.69847="","-",22573.69847)/1000</f>
        <v>22.57369847</v>
      </c>
      <c r="C26" s="67">
        <f>IF(OR(22786.45554="",22573.69847=""),"-",22573.69847/22786.45554*100)</f>
        <v>99.06630028691158</v>
      </c>
      <c r="D26" s="67">
        <f>IF(22786.45554="","-",22786.45554/3299511.05107*100)</f>
        <v>0.6906009765480424</v>
      </c>
      <c r="E26" s="67">
        <f>IF(22573.69847="","-",22573.69847/3276222.75667*100)</f>
        <v>0.6890159841556143</v>
      </c>
      <c r="F26" s="67">
        <f>IF(OR(4347533.23603="",25230.25361="",22786.45554=""),"-",(22786.45554-25230.25361)/4347533.23603*100)</f>
        <v>-0.05621114175153685</v>
      </c>
      <c r="G26" s="67">
        <f>IF(OR(3299511.05107="",22573.69847="",22786.45554=""),"-",(22573.69847-22786.45554)/3299511.05107*100)</f>
        <v>-0.006448139336614877</v>
      </c>
    </row>
    <row r="27" spans="1:7" s="37" customFormat="1" ht="15">
      <c r="A27" s="35" t="s">
        <v>69</v>
      </c>
      <c r="B27" s="67">
        <f>IF(500.3338="","-",500.3338)/1000</f>
        <v>0.5003338</v>
      </c>
      <c r="C27" s="67" t="s">
        <v>155</v>
      </c>
      <c r="D27" s="67">
        <f>IF(297.44295="","-",297.44295/3299511.05107*100)</f>
        <v>0.009014758411054332</v>
      </c>
      <c r="E27" s="67">
        <f>IF(500.3338="","-",500.3338/3276222.75667*100)</f>
        <v>0.015271666097226749</v>
      </c>
      <c r="F27" s="67">
        <f>IF(OR(4347533.23603="",487.6021="",297.44295=""),"-",(297.44295-487.6021)/4347533.23603*100)</f>
        <v>-0.004373955060862192</v>
      </c>
      <c r="G27" s="67">
        <f>IF(OR(3299511.05107="",500.3338="",297.44295=""),"-",(500.3338-297.44295)/3299511.05107*100)</f>
        <v>0.006149118668179773</v>
      </c>
    </row>
    <row r="28" spans="1:7" s="37" customFormat="1" ht="39">
      <c r="A28" s="35" t="s">
        <v>70</v>
      </c>
      <c r="B28" s="67">
        <f>IF(6359.91998="","-",6359.91998)/1000</f>
        <v>6.35991998</v>
      </c>
      <c r="C28" s="67">
        <f>IF(OR(9729.12675="",6359.91998=""),"-",6359.91998/9729.12675*100)</f>
        <v>65.36989540196915</v>
      </c>
      <c r="D28" s="67">
        <f>IF(9729.12675="","-",9729.12675/3299511.05107*100)</f>
        <v>0.29486571190131144</v>
      </c>
      <c r="E28" s="67">
        <f>IF(6359.91998="","-",6359.91998/3276222.75667*100)</f>
        <v>0.19412355179610297</v>
      </c>
      <c r="F28" s="67">
        <f>IF(OR(4347533.23603="",11596.1842="",9729.12675=""),"-",(9729.12675-11596.1842)/4347533.23603*100)</f>
        <v>-0.04294521395551021</v>
      </c>
      <c r="G28" s="67">
        <f>IF(OR(3299511.05107="",6359.91998="",9729.12675=""),"-",(6359.91998-9729.12675)/3299511.05107*100)</f>
        <v>-0.10211230445515247</v>
      </c>
    </row>
    <row r="29" spans="1:7" s="37" customFormat="1" ht="39">
      <c r="A29" s="35" t="s">
        <v>71</v>
      </c>
      <c r="B29" s="67">
        <f>IF(9361.83082="","-",9361.83082)/1000</f>
        <v>9.36183082</v>
      </c>
      <c r="C29" s="67">
        <f>IF(OR(9176.16891="",9361.83082=""),"-",9361.83082/9176.16891*100)</f>
        <v>102.02330527937065</v>
      </c>
      <c r="D29" s="67">
        <f>IF(9176.16891="","-",9176.16891/3299511.05107*100)</f>
        <v>0.2781069306321692</v>
      </c>
      <c r="E29" s="67">
        <f>IF(9361.83082="","-",9361.83082/3276222.75667*100)</f>
        <v>0.2857507414885152</v>
      </c>
      <c r="F29" s="67">
        <f>IF(OR(4347533.23603="",13811.01729="",9176.16891=""),"-",(9176.16891-13811.01729)/4347533.23603*100)</f>
        <v>-0.1066086934445696</v>
      </c>
      <c r="G29" s="67">
        <f>IF(OR(3299511.05107="",9361.83082="",9176.16891=""),"-",(9361.83082-9176.16891)/3299511.05107*100)</f>
        <v>0.00562695220977637</v>
      </c>
    </row>
    <row r="30" spans="1:7" s="37" customFormat="1" ht="26.25">
      <c r="A30" s="35" t="s">
        <v>72</v>
      </c>
      <c r="B30" s="67">
        <f>IF(633.68837="","-",633.68837)/1000</f>
        <v>0.63368837</v>
      </c>
      <c r="C30" s="67">
        <f>IF(OR(711.75116="",633.68837=""),"-",633.68837/711.75116*100)</f>
        <v>89.03229184761707</v>
      </c>
      <c r="D30" s="67">
        <f>IF(711.75116="","-",711.75116/3299511.05107*100)</f>
        <v>0.02157141312708093</v>
      </c>
      <c r="E30" s="67">
        <f>IF(633.68837="","-",633.68837/3276222.75667*100)</f>
        <v>0.01934204164566911</v>
      </c>
      <c r="F30" s="67">
        <f>IF(OR(4347533.23603="",802.32454="",711.75116=""),"-",(711.75116-802.32454)/4347533.23603*100)</f>
        <v>-0.0020833280640473735</v>
      </c>
      <c r="G30" s="67">
        <f>IF(OR(3299511.05107="",633.68837="",711.75116=""),"-",(633.68837-711.75116)/3299511.05107*100)</f>
        <v>-0.0023658896361230565</v>
      </c>
    </row>
    <row r="31" spans="1:7" s="37" customFormat="1" ht="26.25">
      <c r="A31" s="35" t="s">
        <v>73</v>
      </c>
      <c r="B31" s="67">
        <f>IF(18313.51717="","-",18313.51717)/1000</f>
        <v>18.31351717</v>
      </c>
      <c r="C31" s="67">
        <f>IF(OR(20150.16097="",18313.51717=""),"-",18313.51717/20150.16097*100)</f>
        <v>90.88521524600009</v>
      </c>
      <c r="D31" s="67">
        <f>IF(20150.16097="","-",20150.16097/3299511.05107*100)</f>
        <v>0.6107014238811382</v>
      </c>
      <c r="E31" s="67">
        <f>IF(18313.51717="","-",18313.51717/3276222.75667*100)</f>
        <v>0.5589826617471555</v>
      </c>
      <c r="F31" s="67">
        <f>IF(OR(4347533.23603="",22515.84399="",20150.16097=""),"-",(20150.16097-22515.84399)/4347533.23603*100)</f>
        <v>-0.05441437457900266</v>
      </c>
      <c r="G31" s="67">
        <f>IF(OR(3299511.05107="",18313.51717="",20150.16097=""),"-",(18313.51717-20150.16097)/3299511.05107*100)</f>
        <v>-0.05566412027637839</v>
      </c>
    </row>
    <row r="32" spans="1:7" s="37" customFormat="1" ht="26.25">
      <c r="A32" s="36" t="s">
        <v>74</v>
      </c>
      <c r="B32" s="66">
        <f>IF(481235.59245="","-",481235.59245)/1000</f>
        <v>481.23559245</v>
      </c>
      <c r="C32" s="66">
        <f>IF(603154.76411="","-",481235.59245/603154.76411*100)</f>
        <v>79.78641985197599</v>
      </c>
      <c r="D32" s="66">
        <f>IF(603154.76411="","-",603154.76411/3299511.05107*100)</f>
        <v>18.280125593590682</v>
      </c>
      <c r="E32" s="66">
        <f>IF(481235.59245="","-",481235.59245/3276222.75667*100)</f>
        <v>14.688732366267269</v>
      </c>
      <c r="F32" s="66">
        <f>IF(4347533.23603="","-",(603154.76411-913511.6311)/4347533.23603*100)</f>
        <v>-7.138688772242853</v>
      </c>
      <c r="G32" s="66">
        <f>IF(3299511.05107="","-",(481235.59245-603154.76411)/3299511.05107*100)</f>
        <v>-3.695067838019902</v>
      </c>
    </row>
    <row r="33" spans="1:7" s="37" customFormat="1" ht="15">
      <c r="A33" s="35" t="s">
        <v>75</v>
      </c>
      <c r="B33" s="67">
        <f>IF(7316.74369="","-",7316.74369)/1000</f>
        <v>7.31674369</v>
      </c>
      <c r="C33" s="67">
        <f>IF(OR(15922.92779="",7316.74369=""),"-",7316.74369/15922.92779*100)</f>
        <v>45.95099460662693</v>
      </c>
      <c r="D33" s="67">
        <f>IF(15922.92779="","-",15922.92779/3299511.05107*100)</f>
        <v>0.48258446610858735</v>
      </c>
      <c r="E33" s="67">
        <f>IF(7316.74369="","-",7316.74369/3276222.75667*100)</f>
        <v>0.22332863890600785</v>
      </c>
      <c r="F33" s="67">
        <f>IF(OR(4347533.23603="",13107.19708="",15922.92779=""),"-",(15922.92779-13107.19708)/4347533.23603*100)</f>
        <v>0.06476616870147764</v>
      </c>
      <c r="G33" s="67">
        <f>IF(OR(3299511.05107="",7316.74369="",15922.92779=""),"-",(7316.74369-15922.92779)/3299511.05107*100)</f>
        <v>-0.260832104114611</v>
      </c>
    </row>
    <row r="34" spans="1:7" s="37" customFormat="1" ht="26.25">
      <c r="A34" s="35" t="s">
        <v>76</v>
      </c>
      <c r="B34" s="67">
        <f>IF(303110.26324="","-",303110.26324)/1000</f>
        <v>303.11026324</v>
      </c>
      <c r="C34" s="67">
        <f>IF(OR(351523.01743="",303110.26324=""),"-",303110.26324/351523.01743*100)</f>
        <v>86.22771432040275</v>
      </c>
      <c r="D34" s="67">
        <f>IF(351523.01743="","-",351523.01743/3299511.05107*100)</f>
        <v>10.653791182666426</v>
      </c>
      <c r="E34" s="67">
        <f>IF(303110.26324="","-",303110.26324/3276222.75667*100)</f>
        <v>9.251820946024</v>
      </c>
      <c r="F34" s="67">
        <f>IF(OR(4347533.23603="",524709.86402="",351523.01743=""),"-",(351523.01743-524709.86402)/4347533.23603*100)</f>
        <v>-3.983565787484296</v>
      </c>
      <c r="G34" s="67">
        <f>IF(OR(3299511.05107="",303110.26324="",351523.01743=""),"-",(303110.26324-351523.01743)/3299511.05107*100)</f>
        <v>-1.467270557384562</v>
      </c>
    </row>
    <row r="35" spans="1:7" s="37" customFormat="1" ht="26.25">
      <c r="A35" s="35" t="s">
        <v>77</v>
      </c>
      <c r="B35" s="67">
        <f>IF(170555.54907="","-",170555.54907)/1000</f>
        <v>170.55554907</v>
      </c>
      <c r="C35" s="67">
        <f>IF(OR(234714.88785="",170555.54907=""),"-",170555.54907/234714.88785*100)</f>
        <v>72.66498969549707</v>
      </c>
      <c r="D35" s="67">
        <f>IF(234714.88785="","-",234714.88785/3299511.05107*100)</f>
        <v>7.113626359089908</v>
      </c>
      <c r="E35" s="67">
        <f>IF(170555.54907="","-",170555.54907/3276222.75667*100)</f>
        <v>5.205859361142926</v>
      </c>
      <c r="F35" s="67">
        <f>IF(OR(4347533.23603="",328831.1833="",234714.88785=""),"-",(234714.88785-328831.1833)/4347533.23603*100)</f>
        <v>-2.164820608385811</v>
      </c>
      <c r="G35" s="67">
        <f>IF(OR(3299511.05107="",170555.54907="",234714.88785=""),"-",(170555.54907-234714.88785)/3299511.05107*100)</f>
        <v>-1.9445104982810628</v>
      </c>
    </row>
    <row r="36" spans="1:7" s="37" customFormat="1" ht="15">
      <c r="A36" s="35" t="s">
        <v>78</v>
      </c>
      <c r="B36" s="67">
        <f>IF(253.03645="","-",253.03645)/1000</f>
        <v>0.25303645</v>
      </c>
      <c r="C36" s="67">
        <f>IF(OR(993.93104="",253.03645=""),"-",253.03645/993.93104*100)</f>
        <v>25.458149490934503</v>
      </c>
      <c r="D36" s="67">
        <f>IF(993.93104="","-",993.93104/3299511.05107*100)</f>
        <v>0.030123585725760113</v>
      </c>
      <c r="E36" s="67">
        <f>IF(253.03645="","-",253.03645/3276222.75667*100)</f>
        <v>0.007723420194333486</v>
      </c>
      <c r="F36" s="67">
        <f>IF(OR(4347533.23603="",46863.3867="",993.93104=""),"-",(993.93104-46863.3867)/4347533.23603*100)</f>
        <v>-1.0550685450742228</v>
      </c>
      <c r="G36" s="67">
        <f>IF(OR(3299511.05107="",253.03645="",993.93104=""),"-",(253.03645-993.93104)/3299511.05107*100)</f>
        <v>-0.0224546782396663</v>
      </c>
    </row>
    <row r="37" spans="1:7" s="37" customFormat="1" ht="26.25">
      <c r="A37" s="36" t="s">
        <v>79</v>
      </c>
      <c r="B37" s="66">
        <f>IF(8252.45346="","-",8252.45346)/1000</f>
        <v>8.25245346</v>
      </c>
      <c r="C37" s="66">
        <f>IF(7435.24149="","-",8252.45346/7435.24149*100)</f>
        <v>110.99106156940708</v>
      </c>
      <c r="D37" s="66">
        <f>IF(7435.24149="","-",7435.24149/3299511.05107*100)</f>
        <v>0.2253437365390494</v>
      </c>
      <c r="E37" s="66">
        <f>IF(8252.45346="","-",8252.45346/3276222.75667*100)</f>
        <v>0.2518892661739494</v>
      </c>
      <c r="F37" s="66">
        <f>IF(4347533.23603="","-",(7435.24149-10389.15867)/4347533.23603*100)</f>
        <v>-0.06794467160180709</v>
      </c>
      <c r="G37" s="66">
        <f>IF(3299511.05107="","-",(8252.45346-7435.24149)/3299511.05107*100)</f>
        <v>0.024767668825809396</v>
      </c>
    </row>
    <row r="38" spans="1:7" s="37" customFormat="1" ht="15">
      <c r="A38" s="35" t="s">
        <v>80</v>
      </c>
      <c r="B38" s="67">
        <f>IF(763.80154="","-",763.80154)/1000</f>
        <v>0.76380154</v>
      </c>
      <c r="C38" s="67">
        <f>IF(OR(604.90288="",763.80154=""),"-",763.80154/604.90288*100)</f>
        <v>126.26845816968174</v>
      </c>
      <c r="D38" s="67">
        <f>IF(604.90288="","-",604.90288/3299511.05107*100)</f>
        <v>0.01833310665238826</v>
      </c>
      <c r="E38" s="67">
        <f>IF(763.80154="","-",763.80154/3276222.75667*100)</f>
        <v>0.023313480087548716</v>
      </c>
      <c r="F38" s="67">
        <f>IF(OR(4347533.23603="",2075.85477="",604.90288=""),"-",(604.90288-2075.85477)/4347533.23603*100)</f>
        <v>-0.03383417239480879</v>
      </c>
      <c r="G38" s="67">
        <f>IF(OR(3299511.05107="",763.80154="",604.90288=""),"-",(763.80154-604.90288)/3299511.05107*100)</f>
        <v>0.004815824452185749</v>
      </c>
    </row>
    <row r="39" spans="1:7" s="37" customFormat="1" ht="26.25">
      <c r="A39" s="35" t="s">
        <v>129</v>
      </c>
      <c r="B39" s="67">
        <f>IF(5984.74815="","-",5984.74815)/1000</f>
        <v>5.984748150000001</v>
      </c>
      <c r="C39" s="67">
        <f>IF(OR(5201.74732="",5984.74815=""),"-",5984.74815/5201.74732*100)</f>
        <v>115.05265023138418</v>
      </c>
      <c r="D39" s="67">
        <f>IF(5201.74732="","-",5201.74732/3299511.05107*100)</f>
        <v>0.15765206539657212</v>
      </c>
      <c r="E39" s="67">
        <f>IF(5984.74815="","-",5984.74815/3276222.75667*100)</f>
        <v>0.18267219888561498</v>
      </c>
      <c r="F39" s="67">
        <f>IF(OR(4347533.23603="",6920.26715="",5201.74732=""),"-",(5201.74732-6920.26715)/4347533.23603*100)</f>
        <v>-0.039528618568291506</v>
      </c>
      <c r="G39" s="67">
        <f>IF(OR(3299511.05107="",5984.74815="",5201.74732=""),"-",(5984.74815-5201.74732)/3299511.05107*100)</f>
        <v>0.02373081398669904</v>
      </c>
    </row>
    <row r="40" spans="1:7" s="37" customFormat="1" ht="26.25">
      <c r="A40" s="35" t="s">
        <v>130</v>
      </c>
      <c r="B40" s="67">
        <f>IF(1503.90377="","-",1503.90377)/1000</f>
        <v>1.50390377</v>
      </c>
      <c r="C40" s="67">
        <f>IF(OR(1628.59129="",1503.90377=""),"-",1503.90377/1628.59129*100)</f>
        <v>92.34384214347602</v>
      </c>
      <c r="D40" s="67">
        <f>IF(1628.59129="","-",1628.59129/3299511.05107*100)</f>
        <v>0.049358564490089026</v>
      </c>
      <c r="E40" s="67">
        <f>IF(1503.90377="","-",1503.90377/3276222.75667*100)</f>
        <v>0.045903587200785745</v>
      </c>
      <c r="F40" s="67">
        <f>IF(OR(4347533.23603="",1393.03675="",1628.59129=""),"-",(1628.59129-1393.03675)/4347533.23603*100)</f>
        <v>0.005418119361293243</v>
      </c>
      <c r="G40" s="67">
        <f>IF(OR(3299511.05107="",1503.90377="",1628.59129=""),"-",(1503.90377-1628.59129)/3299511.05107*100)</f>
        <v>-0.003778969613075404</v>
      </c>
    </row>
    <row r="41" spans="1:7" s="37" customFormat="1" ht="26.25">
      <c r="A41" s="36" t="s">
        <v>83</v>
      </c>
      <c r="B41" s="66">
        <f>IF(520978.39818="","-",520978.39818)/1000</f>
        <v>520.97839818</v>
      </c>
      <c r="C41" s="66">
        <f>IF(514933.47387="","-",520978.39818/514933.47387*100)</f>
        <v>101.1739233545198</v>
      </c>
      <c r="D41" s="66">
        <f>IF(514933.47387="","-",514933.47387/3299511.05107*100)</f>
        <v>15.606356999562465</v>
      </c>
      <c r="E41" s="66">
        <f>IF(520978.39818="","-",520978.39818/3276222.75667*100)</f>
        <v>15.901800239905848</v>
      </c>
      <c r="F41" s="66">
        <f>IF(4347533.23603="","-",(514933.47387-664200.55839)/4347533.23603*100)</f>
        <v>-3.43337420132767</v>
      </c>
      <c r="G41" s="66">
        <f>IF(3299511.05107="","-",(520978.39818-514933.47387)/3299511.05107*100)</f>
        <v>0.183206669607599</v>
      </c>
    </row>
    <row r="42" spans="1:7" s="37" customFormat="1" ht="15">
      <c r="A42" s="35" t="s">
        <v>84</v>
      </c>
      <c r="B42" s="67">
        <f>IF(14374.24076="","-",14374.24076)/1000</f>
        <v>14.374240760000001</v>
      </c>
      <c r="C42" s="67">
        <f>IF(OR(15826.999="",14374.24076=""),"-",14374.24076/15826.999*100)</f>
        <v>90.82101262532461</v>
      </c>
      <c r="D42" s="67">
        <f>IF(15826.999="","-",15826.999/3299511.05107*100)</f>
        <v>0.4796771023048234</v>
      </c>
      <c r="E42" s="67">
        <f>IF(14374.24076="","-",14374.24076/3276222.75667*100)</f>
        <v>0.43874430487779736</v>
      </c>
      <c r="F42" s="67">
        <f>IF(OR(4347533.23603="",12374.73307="",15826.999=""),"-",(15826.999-12374.73307)/4347533.23603*100)</f>
        <v>0.07940746493642624</v>
      </c>
      <c r="G42" s="67">
        <f>IF(OR(3299511.05107="",14374.24076="",15826.999=""),"-",(14374.24076-15826.999)/3299511.05107*100)</f>
        <v>-0.04402950065976847</v>
      </c>
    </row>
    <row r="43" spans="1:7" s="37" customFormat="1" ht="15">
      <c r="A43" s="35" t="s">
        <v>85</v>
      </c>
      <c r="B43" s="67">
        <f>IF(11075.69067="","-",11075.69067)/1000</f>
        <v>11.07569067</v>
      </c>
      <c r="C43" s="67">
        <f>IF(OR(10394.78384="",11075.69067=""),"-",11075.69067/10394.78384*100)</f>
        <v>106.55046646934412</v>
      </c>
      <c r="D43" s="67">
        <f>IF(10394.78384="","-",10394.78384/3299511.05107*100)</f>
        <v>0.3150401280404583</v>
      </c>
      <c r="E43" s="67">
        <f>IF(11075.69067="","-",11075.69067/3276222.75667*100)</f>
        <v>0.3380628086857406</v>
      </c>
      <c r="F43" s="67">
        <f>IF(OR(4347533.23603="",13590.5468="",10394.78384=""),"-",(10394.78384-13590.5468)/4347533.23603*100)</f>
        <v>-0.07350749923002883</v>
      </c>
      <c r="G43" s="67">
        <f>IF(OR(3299511.05107="",11075.69067="",10394.78384=""),"-",(11075.69067-10394.78384)/3299511.05107*100)</f>
        <v>0.020636597952268968</v>
      </c>
    </row>
    <row r="44" spans="1:7" s="37" customFormat="1" ht="15">
      <c r="A44" s="35" t="s">
        <v>86</v>
      </c>
      <c r="B44" s="67">
        <f>IF(25180.39281="","-",25180.39281)/1000</f>
        <v>25.18039281</v>
      </c>
      <c r="C44" s="67">
        <f>IF(OR(24225.5581="",25180.39281=""),"-",25180.39281/24225.5581*100)</f>
        <v>103.94143534715926</v>
      </c>
      <c r="D44" s="67">
        <f>IF(24225.5581="","-",24225.5581/3299511.05107*100)</f>
        <v>0.734216607401387</v>
      </c>
      <c r="E44" s="67">
        <f>IF(25180.39281="","-",25180.39281/3276222.75667*100)</f>
        <v>0.7685799983757428</v>
      </c>
      <c r="F44" s="67">
        <f>IF(OR(4347533.23603="",30639.70079="",24225.5581=""),"-",(24225.5581-30639.70079)/4347533.23603*100)</f>
        <v>-0.14753521920989723</v>
      </c>
      <c r="G44" s="67">
        <f>IF(OR(3299511.05107="",25180.39281="",24225.5581=""),"-",(25180.39281-24225.5581)/3299511.05107*100)</f>
        <v>0.028938672888831785</v>
      </c>
    </row>
    <row r="45" spans="1:7" s="37" customFormat="1" ht="15">
      <c r="A45" s="35" t="s">
        <v>87</v>
      </c>
      <c r="B45" s="67">
        <f>IF(142240.28096="","-",142240.28096)/1000</f>
        <v>142.24028096</v>
      </c>
      <c r="C45" s="67">
        <f>IF(OR(144776.60758="",142240.28096=""),"-",142240.28096/144776.60758*100)</f>
        <v>98.24811020067693</v>
      </c>
      <c r="D45" s="67">
        <f>IF(144776.60758="","-",144776.60758/3299511.05107*100)</f>
        <v>4.387820053915272</v>
      </c>
      <c r="E45" s="67">
        <f>IF(142240.28096="","-",142240.28096/3276222.75667*100)</f>
        <v>4.34159370483633</v>
      </c>
      <c r="F45" s="67">
        <f>IF(OR(4347533.23603="",219631.74332="",144776.60758=""),"-",(144776.60758-219631.74332)/4347533.23603*100)</f>
        <v>-1.7217840940154563</v>
      </c>
      <c r="G45" s="67">
        <f>IF(OR(3299511.05107="",142240.28096="",144776.60758=""),"-",(142240.28096-144776.60758)/3299511.05107*100)</f>
        <v>-0.07686977193719355</v>
      </c>
    </row>
    <row r="46" spans="1:7" s="37" customFormat="1" ht="39">
      <c r="A46" s="35" t="s">
        <v>88</v>
      </c>
      <c r="B46" s="67">
        <f>IF(91506.69054="","-",91506.69054)/1000</f>
        <v>91.50669054</v>
      </c>
      <c r="C46" s="67">
        <f>IF(OR(91472.05828="",91506.69054=""),"-",91506.69054/91472.05828*100)</f>
        <v>100.0378610262535</v>
      </c>
      <c r="D46" s="67">
        <f>IF(91472.05828="","-",91472.05828/3299511.05107*100)</f>
        <v>2.772291314203554</v>
      </c>
      <c r="E46" s="67">
        <f>IF(91506.69054="","-",91506.69054/3276222.75667*100)</f>
        <v>2.793054603924695</v>
      </c>
      <c r="F46" s="67">
        <f>IF(OR(4347533.23603="",107079.42318="",91472.05828=""),"-",(91472.05828-107079.42318)/4347533.23603*100)</f>
        <v>-0.3589935729681056</v>
      </c>
      <c r="G46" s="67">
        <f>IF(OR(3299511.05107="",91506.69054="",91472.05828=""),"-",(91506.69054-91472.05828)/3299511.05107*100)</f>
        <v>0.0010496179422938312</v>
      </c>
    </row>
    <row r="47" spans="1:7" s="37" customFormat="1" ht="15">
      <c r="A47" s="35" t="s">
        <v>89</v>
      </c>
      <c r="B47" s="67">
        <f>IF(44580.87871="","-",44580.87871)/1000</f>
        <v>44.58087871</v>
      </c>
      <c r="C47" s="67">
        <f>IF(OR(40732.64814="",44580.87871=""),"-",44580.87871/40732.64814*100)</f>
        <v>109.44753347922152</v>
      </c>
      <c r="D47" s="67">
        <f>IF(40732.64814="","-",40732.64814/3299511.05107*100)</f>
        <v>1.234505583086039</v>
      </c>
      <c r="E47" s="67">
        <f>IF(44580.87871="","-",44580.87871/3276222.75667*100)</f>
        <v>1.3607401578308016</v>
      </c>
      <c r="F47" s="67">
        <f>IF(OR(4347533.23603="",43153.33047="",40732.64814=""),"-",(40732.64814-43153.33047)/4347533.23603*100)</f>
        <v>-0.05567944391865023</v>
      </c>
      <c r="G47" s="67">
        <f>IF(OR(3299511.05107="",44580.87871="",40732.64814=""),"-",(44580.87871-40732.64814)/3299511.05107*100)</f>
        <v>0.1166303282649123</v>
      </c>
    </row>
    <row r="48" spans="1:7" s="37" customFormat="1" ht="15">
      <c r="A48" s="35" t="s">
        <v>90</v>
      </c>
      <c r="B48" s="67">
        <f>IF(38205.70825="","-",38205.70825)/1000</f>
        <v>38.20570825</v>
      </c>
      <c r="C48" s="67">
        <f>IF(OR(42143.67881="",38205.70825=""),"-",38205.70825/42143.67881*100)</f>
        <v>90.65584526269316</v>
      </c>
      <c r="D48" s="67">
        <f>IF(42143.67881="","-",42143.67881/3299511.05107*100)</f>
        <v>1.2772704245476978</v>
      </c>
      <c r="E48" s="67">
        <f>IF(38205.70825="","-",38205.70825/3276222.75667*100)</f>
        <v>1.1661511163188683</v>
      </c>
      <c r="F48" s="67">
        <f>IF(OR(4347533.23603="",52873.99117="",42143.67881=""),"-",(42143.67881-52873.99117)/4347533.23603*100)</f>
        <v>-0.24681380860008123</v>
      </c>
      <c r="G48" s="67">
        <f>IF(OR(3299511.05107="",38205.70825="",42143.67881=""),"-",(38205.70825-42143.67881)/3299511.05107*100)</f>
        <v>-0.11935012488359291</v>
      </c>
    </row>
    <row r="49" spans="1:7" s="37" customFormat="1" ht="15">
      <c r="A49" s="35" t="s">
        <v>91</v>
      </c>
      <c r="B49" s="67">
        <f>IF(71332.63785="","-",71332.63785)/1000</f>
        <v>71.33263785</v>
      </c>
      <c r="C49" s="67">
        <f>IF(OR(70853.37609="",71332.63785=""),"-",71332.63785/70853.37609*100)</f>
        <v>100.67641344202318</v>
      </c>
      <c r="D49" s="67">
        <f>IF(70853.37609="","-",70853.37609/3299511.05107*100)</f>
        <v>2.147390173675064</v>
      </c>
      <c r="E49" s="67">
        <f>IF(71332.63785="","-",71332.63785/3276222.75667*100)</f>
        <v>2.177282900095094</v>
      </c>
      <c r="F49" s="67">
        <f>IF(OR(4347533.23603="",99532.07621="",70853.37609=""),"-",(70853.37609-99532.07621)/4347533.23603*100)</f>
        <v>-0.6596545342615546</v>
      </c>
      <c r="G49" s="67">
        <f>IF(OR(3299511.05107="",71332.63785="",70853.37609=""),"-",(71332.63785-70853.37609)/3299511.05107*100)</f>
        <v>0.014525235787422926</v>
      </c>
    </row>
    <row r="50" spans="1:7" s="37" customFormat="1" ht="15">
      <c r="A50" s="35" t="s">
        <v>92</v>
      </c>
      <c r="B50" s="67">
        <f>IF(82481.87763="","-",82481.87763)/1000</f>
        <v>82.48187763</v>
      </c>
      <c r="C50" s="67">
        <f>IF(OR(74507.76403="",82481.87763=""),"-",82481.87763/74507.76403*100)</f>
        <v>110.70239283625432</v>
      </c>
      <c r="D50" s="67">
        <f>IF(74507.76403="","-",74507.76403/3299511.05107*100)</f>
        <v>2.2581456123881702</v>
      </c>
      <c r="E50" s="67">
        <f>IF(82481.87763="","-",82481.87763/3276222.75667*100)</f>
        <v>2.517590644960777</v>
      </c>
      <c r="F50" s="67">
        <f>IF(OR(4347533.23603="",85325.01338="",74507.76403=""),"-",(74507.76403-85325.01338)/4347533.23603*100)</f>
        <v>-0.24881349406032127</v>
      </c>
      <c r="G50" s="67">
        <f>IF(OR(3299511.05107="",82481.87763="",74507.76403=""),"-",(82481.87763-74507.76403)/3299511.05107*100)</f>
        <v>0.2416756142524229</v>
      </c>
    </row>
    <row r="51" spans="1:7" s="37" customFormat="1" ht="26.25">
      <c r="A51" s="36" t="s">
        <v>93</v>
      </c>
      <c r="B51" s="66">
        <f>IF(719080.66791="","-",719080.66791)/1000</f>
        <v>719.08066791</v>
      </c>
      <c r="C51" s="66">
        <f>IF(675781.33608="","-",719080.66791/675781.33608*100)</f>
        <v>106.4072991540675</v>
      </c>
      <c r="D51" s="66">
        <f>IF(675781.33608="","-",675781.33608/3299511.05107*100)</f>
        <v>20.481256938383357</v>
      </c>
      <c r="E51" s="66">
        <f>IF(719080.66791="","-",719080.66791/3276222.75667*100)</f>
        <v>21.94846691807012</v>
      </c>
      <c r="F51" s="66">
        <f>IF(4347533.23603="","-",(675781.33608-841258.09862)/4347533.23603*100)</f>
        <v>-3.806221909210909</v>
      </c>
      <c r="G51" s="66">
        <f>IF(3299511.05107="","-",(719080.66791-675781.33608)/3299511.05107*100)</f>
        <v>1.312295402555429</v>
      </c>
    </row>
    <row r="52" spans="1:7" s="37" customFormat="1" ht="15">
      <c r="A52" s="35" t="s">
        <v>94</v>
      </c>
      <c r="B52" s="67">
        <f>IF(32989.4331="","-",32989.4331)/1000</f>
        <v>32.9894331</v>
      </c>
      <c r="C52" s="67">
        <f>IF(OR(26144.1069="",32989.4331=""),"-",32989.4331/26144.1069*100)</f>
        <v>126.18305618999746</v>
      </c>
      <c r="D52" s="67">
        <f>IF(26144.1069="","-",26144.1069/3299511.05107*100)</f>
        <v>0.7923630651736023</v>
      </c>
      <c r="E52" s="67">
        <f>IF(32989.4331="","-",32989.4331/3276222.75667*100)</f>
        <v>1.0069349842844915</v>
      </c>
      <c r="F52" s="67">
        <f>IF(OR(4347533.23603="",28973.17813="",26144.1069=""),"-",(26144.1069-28973.17813)/4347533.23603*100)</f>
        <v>-0.06507302132975526</v>
      </c>
      <c r="G52" s="67">
        <f>IF(OR(3299511.05107="",32989.4331="",26144.1069=""),"-",(32989.4331-26144.1069)/3299511.05107*100)</f>
        <v>0.20746486658319052</v>
      </c>
    </row>
    <row r="53" spans="1:7" s="37" customFormat="1" ht="15">
      <c r="A53" s="35" t="s">
        <v>95</v>
      </c>
      <c r="B53" s="67">
        <f>IF(50552.09869="","-",50552.09869)/1000</f>
        <v>50.55209869</v>
      </c>
      <c r="C53" s="67">
        <f>IF(OR(44146.5574="",50552.09869=""),"-",50552.09869/44146.5574*100)</f>
        <v>114.50971868986551</v>
      </c>
      <c r="D53" s="67">
        <f>IF(44146.5574="","-",44146.5574/3299511.05107*100)</f>
        <v>1.3379727091892506</v>
      </c>
      <c r="E53" s="67">
        <f>IF(50552.09869="","-",50552.09869/3276222.75667*100)</f>
        <v>1.542999436991332</v>
      </c>
      <c r="F53" s="67">
        <f>IF(OR(4347533.23603="",57203.03677="",44146.5574=""),"-",(44146.5574-57203.03677)/4347533.23603*100)</f>
        <v>-0.30031925372749246</v>
      </c>
      <c r="G53" s="67">
        <f>IF(OR(3299511.05107="",50552.09869="",44146.5574=""),"-",(50552.09869-44146.5574)/3299511.05107*100)</f>
        <v>0.19413607625053247</v>
      </c>
    </row>
    <row r="54" spans="1:7" s="37" customFormat="1" ht="15">
      <c r="A54" s="35" t="s">
        <v>96</v>
      </c>
      <c r="B54" s="67">
        <f>IF(47988.83183="","-",47988.83183)/1000</f>
        <v>47.98883183</v>
      </c>
      <c r="C54" s="67">
        <f>IF(OR(47565.59443="",47988.83183=""),"-",47988.83183/47565.59443*100)</f>
        <v>100.8897973526282</v>
      </c>
      <c r="D54" s="67">
        <f>IF(47565.59443="","-",47565.59443/3299511.05107*100)</f>
        <v>1.44159524528869</v>
      </c>
      <c r="E54" s="67">
        <f>IF(47988.83183="","-",47988.83183/3276222.75667*100)</f>
        <v>1.4647609577920317</v>
      </c>
      <c r="F54" s="67">
        <f>IF(OR(4347533.23603="",61698.31853="",47565.59443=""),"-",(47565.59443-61698.31853)/4347533.23603*100)</f>
        <v>-0.325074549928121</v>
      </c>
      <c r="G54" s="67">
        <f>IF(OR(3299511.05107="",47988.83183="",47565.59443=""),"-",(47988.83183-47565.59443)/3299511.05107*100)</f>
        <v>0.012827276328192735</v>
      </c>
    </row>
    <row r="55" spans="1:7" s="37" customFormat="1" ht="26.25">
      <c r="A55" s="35" t="s">
        <v>97</v>
      </c>
      <c r="B55" s="67">
        <f>IF(66569.03235="","-",66569.03235)/1000</f>
        <v>66.56903235</v>
      </c>
      <c r="C55" s="67">
        <f>IF(OR(64920.61156="",66569.03235=""),"-",66569.03235/64920.61156*100)</f>
        <v>102.53913318188094</v>
      </c>
      <c r="D55" s="67">
        <f>IF(64920.61156="","-",64920.61156/3299511.05107*100)</f>
        <v>1.9675827889391933</v>
      </c>
      <c r="E55" s="67">
        <f>IF(66569.03235="","-",66569.03235/3276222.75667*100)</f>
        <v>2.0318835834490607</v>
      </c>
      <c r="F55" s="67">
        <f>IF(OR(4347533.23603="",83463.62801="",64920.61156=""),"-",(64920.61156-83463.62801)/4347533.23603*100)</f>
        <v>-0.4265181067812323</v>
      </c>
      <c r="G55" s="67">
        <f>IF(OR(3299511.05107="",66569.03235="",64920.61156=""),"-",(66569.03235-64920.61156)/3299511.05107*100)</f>
        <v>0.04995954747493358</v>
      </c>
    </row>
    <row r="56" spans="1:7" s="37" customFormat="1" ht="39">
      <c r="A56" s="35" t="s">
        <v>98</v>
      </c>
      <c r="B56" s="67">
        <f>IF(209027.41422="","-",209027.41422)/1000</f>
        <v>209.02741422</v>
      </c>
      <c r="C56" s="67">
        <f>IF(OR(169226.38052="",209027.41422=""),"-",209027.41422/169226.38052*100)</f>
        <v>123.51940257641812</v>
      </c>
      <c r="D56" s="67">
        <f>IF(169226.38052="","-",169226.38052/3299511.05107*100)</f>
        <v>5.128832057256529</v>
      </c>
      <c r="E56" s="67">
        <f>IF(209027.41422="","-",209027.41422/3276222.75667*100)</f>
        <v>6.3801343725619715</v>
      </c>
      <c r="F56" s="67">
        <f>IF(OR(4347533.23603="",215309.56175="",169226.38052=""),"-",(169226.38052-215309.56175)/4347533.23603*100)</f>
        <v>-1.0599845643062034</v>
      </c>
      <c r="G56" s="67">
        <f>IF(OR(3299511.05107="",209027.41422="",169226.38052=""),"-",(209027.41422-169226.38052)/3299511.05107*100)</f>
        <v>1.2062706590145502</v>
      </c>
    </row>
    <row r="57" spans="1:7" s="37" customFormat="1" ht="15">
      <c r="A57" s="35" t="s">
        <v>99</v>
      </c>
      <c r="B57" s="67">
        <f>IF(85631.00203="","-",85631.00203)/1000</f>
        <v>85.63100203</v>
      </c>
      <c r="C57" s="67">
        <f>IF(OR(84447.32637="",85631.00203=""),"-",85631.00203/84447.32637*100)</f>
        <v>101.40167333991583</v>
      </c>
      <c r="D57" s="67">
        <f>IF(84447.32637="","-",84447.32637/3299511.05107*100)</f>
        <v>2.559389105322576</v>
      </c>
      <c r="E57" s="67">
        <f>IF(85631.00203="","-",85631.00203/3276222.75667*100)</f>
        <v>2.6137112275307124</v>
      </c>
      <c r="F57" s="67">
        <f>IF(OR(4347533.23603="",112007.46249="",84447.32637=""),"-",(84447.32637-112007.46249)/4347533.23603*100)</f>
        <v>-0.6339258292862843</v>
      </c>
      <c r="G57" s="67">
        <f>IF(OR(3299511.05107="",85631.00203="",84447.32637=""),"-",(85631.00203-84447.32637)/3299511.05107*100)</f>
        <v>0.03587427475401706</v>
      </c>
    </row>
    <row r="58" spans="1:7" s="37" customFormat="1" ht="15">
      <c r="A58" s="35" t="s">
        <v>100</v>
      </c>
      <c r="B58" s="67">
        <f>IF(79911.87469="","-",79911.87469)/1000</f>
        <v>79.91187468999999</v>
      </c>
      <c r="C58" s="67">
        <f>IF(OR(89340.99694="",79911.87469=""),"-",79911.87469/89340.99694*100)</f>
        <v>89.44591780598503</v>
      </c>
      <c r="D58" s="67">
        <f>IF(89340.99694="","-",89340.99694/3299511.05107*100)</f>
        <v>2.7077041281927987</v>
      </c>
      <c r="E58" s="67">
        <f>IF(79911.87469="","-",79911.87469/3276222.75667*100)</f>
        <v>2.439146560694291</v>
      </c>
      <c r="F58" s="67">
        <f>IF(OR(4347533.23603="",114275.56924="",89340.99694=""),"-",(89340.99694-114275.56924)/4347533.23603*100)</f>
        <v>-0.5735337936776601</v>
      </c>
      <c r="G58" s="67">
        <f>IF(OR(3299511.05107="",79911.87469="",89340.99694=""),"-",(79911.87469-89340.99694)/3299511.05107*100)</f>
        <v>-0.2857733192602045</v>
      </c>
    </row>
    <row r="59" spans="1:7" s="37" customFormat="1" ht="15">
      <c r="A59" s="35" t="s">
        <v>101</v>
      </c>
      <c r="B59" s="67">
        <f>IF(44736.9558="","-",44736.9558)/1000</f>
        <v>44.736955800000004</v>
      </c>
      <c r="C59" s="67">
        <f>IF(OR(56822.17326="",44736.9558=""),"-",44736.9558/56822.17326*100)</f>
        <v>78.73151136845483</v>
      </c>
      <c r="D59" s="67">
        <f>IF(56822.17326="","-",56822.17326/3299511.05107*100)</f>
        <v>1.7221392012484127</v>
      </c>
      <c r="E59" s="67">
        <f>IF(44736.9558="","-",44736.9558/3276222.75667*100)</f>
        <v>1.3655040918362733</v>
      </c>
      <c r="F59" s="67">
        <f>IF(OR(4347533.23603="",54154.11221="",56822.17326=""),"-",(56822.17326-54154.11221)/4347533.23603*100)</f>
        <v>0.06136953773897712</v>
      </c>
      <c r="G59" s="67">
        <f>IF(OR(3299511.05107="",44736.9558="",56822.17326=""),"-",(44736.9558-56822.17326)/3299511.05107*100)</f>
        <v>-0.3662729802369014</v>
      </c>
    </row>
    <row r="60" spans="1:7" s="37" customFormat="1" ht="15">
      <c r="A60" s="35" t="s">
        <v>102</v>
      </c>
      <c r="B60" s="67">
        <f>IF(101674.0252="","-",101674.0252)/1000</f>
        <v>101.6740252</v>
      </c>
      <c r="C60" s="67">
        <f>IF(OR(93167.5887="",101674.0252=""),"-",101674.0252/93167.5887*100)</f>
        <v>109.13025293312116</v>
      </c>
      <c r="D60" s="67">
        <f>IF(93167.5887="","-",93167.5887/3299511.05107*100)</f>
        <v>2.8236786377723035</v>
      </c>
      <c r="E60" s="67">
        <f>IF(101674.0252="","-",101674.0252/3276222.75667*100)</f>
        <v>3.1033917029299602</v>
      </c>
      <c r="F60" s="67">
        <f>IF(OR(4347533.23603="",114173.23149="",93167.5887=""),"-",(93167.5887-114173.23149)/4347533.23603*100)</f>
        <v>-0.48316232791313984</v>
      </c>
      <c r="G60" s="67">
        <f>IF(OR(3299511.05107="",101674.0252="",93167.5887=""),"-",(101674.0252-93167.5887)/3299511.05107*100)</f>
        <v>0.25780900164712145</v>
      </c>
    </row>
    <row r="61" spans="1:7" s="37" customFormat="1" ht="26.25">
      <c r="A61" s="36" t="s">
        <v>103</v>
      </c>
      <c r="B61" s="66">
        <f>IF(699142.36424="","-",699142.36424)/1000</f>
        <v>699.14236424</v>
      </c>
      <c r="C61" s="66">
        <f>IF(682498.0638="","-",699142.36424/682498.0638*100)</f>
        <v>102.43873225768996</v>
      </c>
      <c r="D61" s="66">
        <f>IF(682498.0638="","-",682498.0638/3299511.05107*100)</f>
        <v>20.6848243038517</v>
      </c>
      <c r="E61" s="66">
        <f>IF(699142.36424="","-",699142.36424/3276222.75667*100)</f>
        <v>21.3398909709857</v>
      </c>
      <c r="F61" s="66">
        <f>IF(4347533.23603="","-",(682498.0638-890079.36875)/4347533.23603*100)</f>
        <v>-4.77469161660867</v>
      </c>
      <c r="G61" s="66">
        <f>IF(3299511.05107="","-",(699142.36424-682498.0638)/3299511.05107*100)</f>
        <v>0.5044474827445247</v>
      </c>
    </row>
    <row r="62" spans="1:7" s="37" customFormat="1" ht="26.25">
      <c r="A62" s="35" t="s">
        <v>131</v>
      </c>
      <c r="B62" s="67">
        <f>IF(9731.83401="","-",9731.83401)/1000</f>
        <v>9.73183401</v>
      </c>
      <c r="C62" s="67">
        <f>IF(OR(11473.83357="",9731.83401=""),"-",9731.83401/11473.83357*100)</f>
        <v>84.81763266503438</v>
      </c>
      <c r="D62" s="67">
        <f>IF(11473.83357="","-",11473.83357/3299511.05107*100)</f>
        <v>0.34774345023876024</v>
      </c>
      <c r="E62" s="67">
        <f>IF(9731.83401="","-",9731.83401/3276222.75667*100)</f>
        <v>0.2970443322325121</v>
      </c>
      <c r="F62" s="67">
        <f>IF(OR(4347533.23603="",13029.54796="",11473.83357=""),"-",(11473.83357-13029.54796)/4347533.23603*100)</f>
        <v>-0.03578384121614255</v>
      </c>
      <c r="G62" s="67">
        <f>IF(OR(3299511.05107="",9731.83401="",11473.83357=""),"-",(9731.83401-11473.83357)/3299511.05107*100)</f>
        <v>-0.05279568799853197</v>
      </c>
    </row>
    <row r="63" spans="1:7" s="37" customFormat="1" ht="26.25">
      <c r="A63" s="35" t="s">
        <v>105</v>
      </c>
      <c r="B63" s="67">
        <f>IF(107703.44="","-",107703.44)/1000</f>
        <v>107.70344</v>
      </c>
      <c r="C63" s="67">
        <f>IF(OR(100887.71195="",107703.44=""),"-",107703.44/100887.71195*100)</f>
        <v>106.75575639318483</v>
      </c>
      <c r="D63" s="67">
        <f>IF(100887.71195="","-",100887.71195/3299511.05107*100)</f>
        <v>3.0576564341944867</v>
      </c>
      <c r="E63" s="67">
        <f>IF(107703.44="","-",107703.44/3276222.75667*100)</f>
        <v>3.2874272599666368</v>
      </c>
      <c r="F63" s="67">
        <f>IF(OR(4347533.23603="",160725.40604="",100887.71195=""),"-",(100887.71195-160725.40604)/4347533.23603*100)</f>
        <v>-1.3763596697570386</v>
      </c>
      <c r="G63" s="67">
        <f>IF(OR(3299511.05107="",107703.44="",100887.71195=""),"-",(107703.44-100887.71195)/3299511.05107*100)</f>
        <v>0.2065678200347209</v>
      </c>
    </row>
    <row r="64" spans="1:7" s="37" customFormat="1" ht="26.25">
      <c r="A64" s="35" t="s">
        <v>106</v>
      </c>
      <c r="B64" s="67">
        <f>IF(5683.46651="","-",5683.46651)/1000</f>
        <v>5.683466510000001</v>
      </c>
      <c r="C64" s="67">
        <f>IF(OR(7154.23629="",5683.46651=""),"-",5683.46651/7154.23629*100)</f>
        <v>79.44197367291596</v>
      </c>
      <c r="D64" s="67">
        <f>IF(7154.23629="","-",7154.23629/3299511.05107*100)</f>
        <v>0.21682716557897114</v>
      </c>
      <c r="E64" s="67">
        <f>IF(5683.46651="","-",5683.46651/3276222.75667*100)</f>
        <v>0.1734761929245848</v>
      </c>
      <c r="F64" s="67">
        <f>IF(OR(4347533.23603="",5763.70603="",7154.23629=""),"-",(7154.23629-5763.70603)/4347533.23603*100)</f>
        <v>0.03198435030872307</v>
      </c>
      <c r="G64" s="67">
        <f>IF(OR(3299511.05107="",5683.46651="",7154.23629=""),"-",(5683.46651-7154.23629)/3299511.05107*100)</f>
        <v>-0.04457538578399496</v>
      </c>
    </row>
    <row r="65" spans="1:7" s="37" customFormat="1" ht="39">
      <c r="A65" s="35" t="s">
        <v>107</v>
      </c>
      <c r="B65" s="67">
        <f>IF(95582.24093="","-",95582.24093)/1000</f>
        <v>95.58224093</v>
      </c>
      <c r="C65" s="67">
        <f>IF(OR(111952.07546="",95582.24093=""),"-",95582.24093/111952.07546*100)</f>
        <v>85.377819515415</v>
      </c>
      <c r="D65" s="67">
        <f>IF(111952.07546="","-",111952.07546/3299511.05107*100)</f>
        <v>3.3929898620492573</v>
      </c>
      <c r="E65" s="67">
        <f>IF(95582.24093="","-",95582.24093/3276222.75667*100)</f>
        <v>2.9174524453627555</v>
      </c>
      <c r="F65" s="67">
        <f>IF(OR(4347533.23603="",131661.09592="",111952.07546=""),"-",(111952.07546-131661.09592)/4347533.23603*100)</f>
        <v>-0.4533380054846347</v>
      </c>
      <c r="G65" s="67">
        <f>IF(OR(3299511.05107="",95582.24093="",111952.07546=""),"-",(95582.24093-111952.07546)/3299511.05107*100)</f>
        <v>-0.49612910145251404</v>
      </c>
    </row>
    <row r="66" spans="1:7" s="37" customFormat="1" ht="26.25">
      <c r="A66" s="35" t="s">
        <v>108</v>
      </c>
      <c r="B66" s="67">
        <f>IF(26593.50695="","-",26593.50695)/1000</f>
        <v>26.59350695</v>
      </c>
      <c r="C66" s="67">
        <f>IF(OR(23311.20638="",26593.50695=""),"-",26593.50695/23311.20638*100)</f>
        <v>114.08035481516765</v>
      </c>
      <c r="D66" s="67">
        <f>IF(23311.20638="","-",23311.20638/3299511.05107*100)</f>
        <v>0.706504873576356</v>
      </c>
      <c r="E66" s="67">
        <f>IF(26593.50695="","-",26593.50695/3276222.75667*100)</f>
        <v>0.8117124177792484</v>
      </c>
      <c r="F66" s="67">
        <f>IF(OR(4347533.23603="",33073.02266="",23311.20638=""),"-",(23311.20638-33073.02266)/4347533.23603*100)</f>
        <v>-0.22453689828290116</v>
      </c>
      <c r="G66" s="67">
        <f>IF(OR(3299511.05107="",26593.50695="",23311.20638=""),"-",(26593.50695-23311.20638)/3299511.05107*100)</f>
        <v>0.0994783929860026</v>
      </c>
    </row>
    <row r="67" spans="1:7" s="37" customFormat="1" ht="39">
      <c r="A67" s="35" t="s">
        <v>109</v>
      </c>
      <c r="B67" s="67">
        <f>IF(62382.4437="","-",62382.4437)/1000</f>
        <v>62.3824437</v>
      </c>
      <c r="C67" s="67">
        <f>IF(OR(64268.73955="",62382.4437=""),"-",62382.4437/64268.73955*100)</f>
        <v>97.06498701669342</v>
      </c>
      <c r="D67" s="67">
        <f>IF(64268.73955="","-",64268.73955/3299511.05107*100)</f>
        <v>1.9478261643996693</v>
      </c>
      <c r="E67" s="67">
        <f>IF(62382.4437="","-",62382.4437/3276222.75667*100)</f>
        <v>1.9040965261900085</v>
      </c>
      <c r="F67" s="67">
        <f>IF(OR(4347533.23603="",75054.49288="",64268.73955=""),"-",(64268.73955-75054.49288)/4347533.23603*100)</f>
        <v>-0.24808903680398636</v>
      </c>
      <c r="G67" s="67">
        <f>IF(OR(3299511.05107="",62382.4437="",64268.73955=""),"-",(62382.4437-64268.73955)/3299511.05107*100)</f>
        <v>-0.057168950817372985</v>
      </c>
    </row>
    <row r="68" spans="1:7" s="37" customFormat="1" ht="52.5">
      <c r="A68" s="35" t="s">
        <v>110</v>
      </c>
      <c r="B68" s="67">
        <f>IF(218913.48091="","-",218913.48091)/1000</f>
        <v>218.91348091</v>
      </c>
      <c r="C68" s="67">
        <f>IF(OR(220365.01591="",218913.48091=""),"-",218913.48091/220365.01591*100)</f>
        <v>99.34130424740704</v>
      </c>
      <c r="D68" s="67">
        <f>IF(220365.01591="","-",220365.01591/3299511.05107*100)</f>
        <v>6.678717315965277</v>
      </c>
      <c r="E68" s="67">
        <f>IF(218913.48091="","-",218913.48091/3276222.75667*100)</f>
        <v>6.681886341956394</v>
      </c>
      <c r="F68" s="67">
        <f>IF(OR(4347533.23603="",253745.11296="",220365.01591=""),"-",(220365.01591-253745.11296)/4347533.23603*100)</f>
        <v>-0.7677939474588452</v>
      </c>
      <c r="G68" s="67">
        <f>IF(OR(3299511.05107="",218913.48091="",220365.01591=""),"-",(218913.48091-220365.01591)/3299511.05107*100)</f>
        <v>-0.04399242728795393</v>
      </c>
    </row>
    <row r="69" spans="1:7" s="37" customFormat="1" ht="26.25">
      <c r="A69" s="35" t="s">
        <v>111</v>
      </c>
      <c r="B69" s="67">
        <f>IF(171583.96688="","-",171583.96688)/1000</f>
        <v>171.58396688</v>
      </c>
      <c r="C69" s="67">
        <f>IF(OR(139135.67514="",171583.96688=""),"-",171583.96688/139135.67514*100)</f>
        <v>123.32133128857868</v>
      </c>
      <c r="D69" s="67">
        <f>IF(139135.67514="","-",139135.67514/3299511.05107*100)</f>
        <v>4.216857376333976</v>
      </c>
      <c r="E69" s="67">
        <f>IF(171583.96688="","-",171583.96688/3276222.75667*100)</f>
        <v>5.237249711750382</v>
      </c>
      <c r="F69" s="67">
        <f>IF(OR(4347533.23603="",210666.12343="",139135.67514=""),"-",(139135.67514-210666.12343)/4347533.23603*100)</f>
        <v>-1.6453111317745521</v>
      </c>
      <c r="G69" s="67">
        <f>IF(OR(3299511.05107="",171583.96688="",139135.67514=""),"-",(171583.96688-139135.67514)/3299511.05107*100)</f>
        <v>0.9834272787017129</v>
      </c>
    </row>
    <row r="70" spans="1:7" s="37" customFormat="1" ht="15">
      <c r="A70" s="35" t="s">
        <v>112</v>
      </c>
      <c r="B70" s="67">
        <f>IF(967.98435="","-",967.98435)/1000</f>
        <v>0.9679843499999999</v>
      </c>
      <c r="C70" s="67">
        <f>IF(OR(3949.56955="",967.98435=""),"-",967.98435/3949.56955*100)</f>
        <v>24.508603728727856</v>
      </c>
      <c r="D70" s="67">
        <f>IF(3949.56955="","-",3949.56955/3299511.05107*100)</f>
        <v>0.11970166151494455</v>
      </c>
      <c r="E70" s="67">
        <f>IF(967.98435="","-",967.98435/3276222.75667*100)</f>
        <v>0.029545742823173394</v>
      </c>
      <c r="F70" s="67">
        <f>IF(OR(4347533.23603="",6360.86087="",3949.56955=""),"-",(3949.56955-6360.86087)/4347533.23603*100)</f>
        <v>-0.05546343613929214</v>
      </c>
      <c r="G70" s="67">
        <f>IF(OR(3299511.05107="",967.98435="",3949.56955=""),"-",(967.98435-3949.56955)/3299511.05107*100)</f>
        <v>-0.09036445563754365</v>
      </c>
    </row>
    <row r="71" spans="1:7" s="37" customFormat="1" ht="15">
      <c r="A71" s="36" t="s">
        <v>113</v>
      </c>
      <c r="B71" s="66">
        <f>IF(322454.49267="","-",322454.49267)/1000</f>
        <v>322.45449267</v>
      </c>
      <c r="C71" s="66">
        <f>IF(305795.7974="","-",322454.49267/305795.7974*100)</f>
        <v>105.44765343789517</v>
      </c>
      <c r="D71" s="66">
        <f>IF(305795.7974="","-",305795.7974/3299511.05107*100)</f>
        <v>9.26791250784971</v>
      </c>
      <c r="E71" s="66">
        <f>IF(322454.49267="","-",322454.49267/3276222.75667*100)</f>
        <v>9.842263991772873</v>
      </c>
      <c r="F71" s="66">
        <f>IF(4347533.23603="","-",(305795.7974-388806.51052)/4347533.23603*100)</f>
        <v>-1.9093750090753119</v>
      </c>
      <c r="G71" s="66">
        <f>IF(3299511.05107="","-",(322454.49267-305795.7974)/3299511.05107*100)</f>
        <v>0.5048837543549906</v>
      </c>
    </row>
    <row r="72" spans="1:7" s="37" customFormat="1" ht="39">
      <c r="A72" s="35" t="s">
        <v>114</v>
      </c>
      <c r="B72" s="67">
        <f>IF(27282.88798="","-",27282.88798)/1000</f>
        <v>27.282887979999998</v>
      </c>
      <c r="C72" s="67">
        <f>IF(OR(28402.13946="",27282.88798=""),"-",27282.88798/28402.13946*100)</f>
        <v>96.05927052933357</v>
      </c>
      <c r="D72" s="67">
        <f>IF(28402.13946="","-",28402.13946/3299511.05107*100)</f>
        <v>0.8607984340828153</v>
      </c>
      <c r="E72" s="67">
        <f>IF(27282.88798="","-",27282.88798/3276222.75667*100)</f>
        <v>0.8327543639838068</v>
      </c>
      <c r="F72" s="67">
        <f>IF(OR(4347533.23603="",36706.64701="",28402.13946=""),"-",(28402.13946-36706.64701)/4347533.23603*100)</f>
        <v>-0.1910165397052458</v>
      </c>
      <c r="G72" s="67">
        <f>IF(OR(3299511.05107="",27282.88798="",28402.13946=""),"-",(27282.88798-28402.13946)/3299511.05107*100)</f>
        <v>-0.03392173757493663</v>
      </c>
    </row>
    <row r="73" spans="1:7" s="37" customFormat="1" ht="15">
      <c r="A73" s="35" t="s">
        <v>115</v>
      </c>
      <c r="B73" s="67">
        <f>IF(33927.48335="","-",33927.48335)/1000</f>
        <v>33.92748335</v>
      </c>
      <c r="C73" s="67">
        <f>IF(OR(34050.55648="",33927.48335=""),"-",33927.48335/34050.55648*100)</f>
        <v>99.63855765449154</v>
      </c>
      <c r="D73" s="67">
        <f>IF(34050.55648="","-",34050.55648/3299511.05107*100)</f>
        <v>1.03198795072857</v>
      </c>
      <c r="E73" s="67">
        <f>IF(33927.48335="","-",33927.48335/3276222.75667*100)</f>
        <v>1.0355670499183145</v>
      </c>
      <c r="F73" s="67">
        <f>IF(OR(4347533.23603="",48368.0021="",34050.55648=""),"-",(34050.55648-48368.0021)/4347533.23603*100)</f>
        <v>-0.3293234310745405</v>
      </c>
      <c r="G73" s="67">
        <f>IF(OR(3299511.05107="",33927.48335="",34050.55648=""),"-",(33927.48335-34050.55648)/3299511.05107*100)</f>
        <v>-0.0037300414544780987</v>
      </c>
    </row>
    <row r="74" spans="1:7" s="37" customFormat="1" ht="15">
      <c r="A74" s="35" t="s">
        <v>116</v>
      </c>
      <c r="B74" s="67">
        <f>IF(3821.5374="","-",3821.5374)/1000</f>
        <v>3.8215374</v>
      </c>
      <c r="C74" s="67">
        <f>IF(OR(3166.47371="",3821.5374=""),"-",3821.5374/3166.47371*100)</f>
        <v>120.68748235399056</v>
      </c>
      <c r="D74" s="67">
        <f>IF(3166.47371="","-",3166.47371/3299511.05107*100)</f>
        <v>0.09596796801068883</v>
      </c>
      <c r="E74" s="67">
        <f>IF(3821.5374="","-",3821.5374/3276222.75667*100)</f>
        <v>0.11664461435718326</v>
      </c>
      <c r="F74" s="67">
        <f>IF(OR(4347533.23603="",5503.21123="",3166.47371=""),"-",(3166.47371-5503.21123)/4347533.23603*100)</f>
        <v>-0.05374858323415184</v>
      </c>
      <c r="G74" s="67">
        <f>IF(OR(3299511.05107="",3821.5374="",3166.47371=""),"-",(3821.5374-3166.47371)/3299511.05107*100)</f>
        <v>0.019853356447694547</v>
      </c>
    </row>
    <row r="75" spans="1:7" s="37" customFormat="1" ht="15">
      <c r="A75" s="35" t="s">
        <v>117</v>
      </c>
      <c r="B75" s="67">
        <f>IF(82929.67072="","-",82929.67072)/1000</f>
        <v>82.92967071999999</v>
      </c>
      <c r="C75" s="67">
        <f>IF(OR(64732.16244="",82929.67072=""),"-",82929.67072/64732.16244*100)</f>
        <v>128.1120042866901</v>
      </c>
      <c r="D75" s="67">
        <f>IF(64732.16244="","-",64732.16244/3299511.05107*100)</f>
        <v>1.9618713633042077</v>
      </c>
      <c r="E75" s="67">
        <f>IF(82929.67072="","-",82929.67072/3276222.75667*100)</f>
        <v>2.531258613327346</v>
      </c>
      <c r="F75" s="67">
        <f>IF(OR(4347533.23603="",84015.94794="",64732.16244=""),"-",(64732.16244-84015.94794)/4347533.23603*100)</f>
        <v>-0.44355694259416883</v>
      </c>
      <c r="G75" s="67">
        <f>IF(OR(3299511.05107="",82929.67072="",64732.16244=""),"-",(82929.67072-64732.16244)/3299511.05107*100)</f>
        <v>0.5515213617514243</v>
      </c>
    </row>
    <row r="76" spans="1:7" s="37" customFormat="1" ht="15">
      <c r="A76" s="35" t="s">
        <v>118</v>
      </c>
      <c r="B76" s="67">
        <f>IF(20936.91746="","-",20936.91746)/1000</f>
        <v>20.93691746</v>
      </c>
      <c r="C76" s="67">
        <f>IF(OR(14606.30603="",20936.91746=""),"-",20936.91746/14606.30603*100)</f>
        <v>143.34163214845364</v>
      </c>
      <c r="D76" s="67">
        <f>IF(14606.30603="","-",14606.30603/3299511.05107*100)</f>
        <v>0.4426809246558915</v>
      </c>
      <c r="E76" s="67">
        <f>IF(20936.91746="","-",20936.91746/3276222.75667*100)</f>
        <v>0.6390565909285297</v>
      </c>
      <c r="F76" s="67">
        <f>IF(OR(4347533.23603="",23765.21496="",14606.30603=""),"-",(14606.30603-23765.21496)/4347533.23603*100)</f>
        <v>-0.21066909515713247</v>
      </c>
      <c r="G76" s="67">
        <f>IF(OR(3299511.05107="",20936.91746="",14606.30603=""),"-",(20936.91746-14606.30603)/3299511.05107*100)</f>
        <v>0.19186513795572965</v>
      </c>
    </row>
    <row r="77" spans="1:7" s="34" customFormat="1" ht="26.25">
      <c r="A77" s="33" t="s">
        <v>119</v>
      </c>
      <c r="B77" s="68">
        <f>IF(31629.29658="","-",31629.29658)/1000</f>
        <v>31.62929658</v>
      </c>
      <c r="C77" s="68">
        <f>IF(OR(45959.83626="",31629.29658=""),"-",31629.29658/45959.83626*100)</f>
        <v>68.81942833971272</v>
      </c>
      <c r="D77" s="68">
        <f>IF(45959.83626="","-",45959.83626/3299511.05107*100)</f>
        <v>1.3929286960592435</v>
      </c>
      <c r="E77" s="68">
        <f>IF(31629.29658="","-",31629.29658/3276222.75667*100)</f>
        <v>0.9654195983959427</v>
      </c>
      <c r="F77" s="68">
        <f>IF(OR(4347533.23603="",43247.98156="",45959.83626=""),"-",(45959.83626-43247.98156)/4347533.23603*100)</f>
        <v>0.06237685953785502</v>
      </c>
      <c r="G77" s="68">
        <f>IF(OR(3299511.05107="",31629.29658="",45959.83626=""),"-",(31629.29658-45959.83626)/3299511.05107*100)</f>
        <v>-0.4343231302514577</v>
      </c>
    </row>
    <row r="78" spans="1:7" ht="26.25">
      <c r="A78" s="17" t="s">
        <v>120</v>
      </c>
      <c r="B78" s="67">
        <f>IF(6049.61959="","-",6049.61959)/1000</f>
        <v>6.04961959</v>
      </c>
      <c r="C78" s="67">
        <f>IF(OR(5994.21057="",6049.61959=""),"-",6049.61959/5994.21057*100)</f>
        <v>100.92437560130625</v>
      </c>
      <c r="D78" s="67">
        <f>IF(5994.21057="","-",5994.21057/3299511.05107*100)</f>
        <v>0.18166966187478398</v>
      </c>
      <c r="E78" s="67">
        <f>IF(6049.61959="","-",6049.61959/3276222.75667*100)</f>
        <v>0.1846522669340384</v>
      </c>
      <c r="F78" s="67">
        <f>IF(OR(4347533.23603="",7868.24966="",5994.21057=""),"-",(5994.21057-7868.24966)/4347533.23603*100)</f>
        <v>-0.0431058024920656</v>
      </c>
      <c r="G78" s="67">
        <f>IF(OR(3299511.05107="",6049.61959="",5994.21057=""),"-",(6049.61959-5994.21057)/3299511.05107*100)</f>
        <v>0.0016793100293460582</v>
      </c>
    </row>
    <row r="79" spans="1:7" ht="15">
      <c r="A79" s="20" t="s">
        <v>121</v>
      </c>
      <c r="B79" s="69">
        <f>IF(115877.07959="","-",115877.07959)/1000</f>
        <v>115.87707959</v>
      </c>
      <c r="C79" s="69">
        <f>IF(OR(108884.11245="",115877.07959=""),"-",115877.07959/108884.11245*100)</f>
        <v>106.42239439956055</v>
      </c>
      <c r="D79" s="69">
        <f>IF(108884.11245="","-",108884.11245/3299511.05107*100)</f>
        <v>3.3000075091335095</v>
      </c>
      <c r="E79" s="69">
        <f>IF(115877.07959="","-",115877.07959/3276222.75667*100)</f>
        <v>3.536910893927711</v>
      </c>
      <c r="F79" s="69">
        <f>IF(OR(4347533.23603="",139331.25606="",108884.11245=""),"-",(108884.11245-139331.25606)/4347533.23603*100)</f>
        <v>-0.700331474355862</v>
      </c>
      <c r="G79" s="69">
        <f>IF(OR(3299511.05107="",115877.07959="",108884.11245=""),"-",(115877.07959-108884.11245)/3299511.05107*100)</f>
        <v>0.21193949745166757</v>
      </c>
    </row>
    <row r="80" ht="15">
      <c r="A80" s="21" t="s">
        <v>135</v>
      </c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1968503937007874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80"/>
  <sheetViews>
    <sheetView tabSelected="1" zoomScalePageLayoutView="0" workbookViewId="0" topLeftCell="A1">
      <selection activeCell="A1" sqref="A1:D1"/>
    </sheetView>
  </sheetViews>
  <sheetFormatPr defaultColWidth="9.00390625" defaultRowHeight="15.75"/>
  <cols>
    <col min="1" max="1" width="39.75390625" style="0" customWidth="1"/>
    <col min="2" max="2" width="14.25390625" style="0" customWidth="1"/>
    <col min="3" max="3" width="13.75390625" style="0" customWidth="1"/>
    <col min="4" max="4" width="18.00390625" style="0" customWidth="1"/>
  </cols>
  <sheetData>
    <row r="1" spans="1:4" ht="15.75">
      <c r="A1" s="90" t="s">
        <v>136</v>
      </c>
      <c r="B1" s="90"/>
      <c r="C1" s="90"/>
      <c r="D1" s="90"/>
    </row>
    <row r="2" spans="1:4" ht="15.75">
      <c r="A2" s="90" t="s">
        <v>49</v>
      </c>
      <c r="B2" s="90"/>
      <c r="C2" s="90"/>
      <c r="D2" s="90"/>
    </row>
    <row r="3" ht="15">
      <c r="A3" s="13"/>
    </row>
    <row r="4" spans="1:4" ht="25.5" customHeight="1">
      <c r="A4" s="94"/>
      <c r="B4" s="102" t="s">
        <v>146</v>
      </c>
      <c r="C4" s="102"/>
      <c r="D4" s="91" t="s">
        <v>148</v>
      </c>
    </row>
    <row r="5" spans="1:4" ht="28.5" customHeight="1">
      <c r="A5" s="94"/>
      <c r="B5" s="12">
        <v>2015</v>
      </c>
      <c r="C5" s="12">
        <v>2016</v>
      </c>
      <c r="D5" s="109"/>
    </row>
    <row r="6" spans="1:4" ht="15">
      <c r="A6" s="16" t="s">
        <v>43</v>
      </c>
      <c r="B6" s="81">
        <v>-1663.3952</v>
      </c>
      <c r="C6" s="81">
        <v>-1642.6592</v>
      </c>
      <c r="D6" s="82">
        <f>IF(-1663395.21096="","-",-1642659.20955/-1663395.21096*100)</f>
        <v>98.75339298361737</v>
      </c>
    </row>
    <row r="7" spans="1:4" ht="15">
      <c r="A7" s="17" t="s">
        <v>40</v>
      </c>
      <c r="B7" s="61"/>
      <c r="C7" s="61"/>
      <c r="D7" s="70"/>
    </row>
    <row r="8" spans="1:4" ht="15">
      <c r="A8" s="18" t="s">
        <v>50</v>
      </c>
      <c r="B8" s="74">
        <v>64.2667</v>
      </c>
      <c r="C8" s="74">
        <v>33.3955</v>
      </c>
      <c r="D8" s="71">
        <f>IF(64266.66966="","-",33395.53246/64266.66966*100)</f>
        <v>51.964000370141484</v>
      </c>
    </row>
    <row r="9" spans="1:4" ht="15">
      <c r="A9" s="17" t="s">
        <v>51</v>
      </c>
      <c r="B9" s="75">
        <v>-0.9282</v>
      </c>
      <c r="C9" s="75">
        <v>1.7834</v>
      </c>
      <c r="D9" s="72" t="s">
        <v>41</v>
      </c>
    </row>
    <row r="10" spans="1:4" ht="15">
      <c r="A10" s="17" t="s">
        <v>52</v>
      </c>
      <c r="B10" s="75">
        <v>-16.8712</v>
      </c>
      <c r="C10" s="75">
        <v>-15.2091</v>
      </c>
      <c r="D10" s="72">
        <f>IF(OR(-16871.22483="",-15209.0991="",-16871.22483=0,-15209.0991=0),"-",-15209.0991/-16871.22483*100)</f>
        <v>90.14816205255917</v>
      </c>
    </row>
    <row r="11" spans="1:4" ht="15">
      <c r="A11" s="17" t="s">
        <v>53</v>
      </c>
      <c r="B11" s="75">
        <v>-15.9714</v>
      </c>
      <c r="C11" s="75">
        <v>-16.7138</v>
      </c>
      <c r="D11" s="72">
        <f>IF(OR(-15971.34833="",-16713.8233="",-15971.34833=0,-16713.8233=0),"-",-16713.8233/-15971.34833*100)</f>
        <v>104.64879329320844</v>
      </c>
    </row>
    <row r="12" spans="1:4" ht="15">
      <c r="A12" s="17" t="s">
        <v>54</v>
      </c>
      <c r="B12" s="75">
        <v>-28.3012</v>
      </c>
      <c r="C12" s="75">
        <v>-33.8175</v>
      </c>
      <c r="D12" s="72">
        <f>IF(OR(-28301.21318="",-33817.51733="",-28301.21318=0,-33817.51733=0),"-",-33817.51733/-28301.21318*100)</f>
        <v>119.49140524441646</v>
      </c>
    </row>
    <row r="13" spans="1:4" ht="15">
      <c r="A13" s="17" t="s">
        <v>55</v>
      </c>
      <c r="B13" s="75">
        <v>66.5194</v>
      </c>
      <c r="C13" s="75">
        <v>94.495</v>
      </c>
      <c r="D13" s="72">
        <f>IF(OR(66519.41834="",94495.02="",66519.41834=0,94495.02=0),"-",94495.02/66519.41834*100)</f>
        <v>142.0562932721519</v>
      </c>
    </row>
    <row r="14" spans="1:4" ht="15">
      <c r="A14" s="17" t="s">
        <v>56</v>
      </c>
      <c r="B14" s="75">
        <v>106.7292</v>
      </c>
      <c r="C14" s="75">
        <v>72.3823</v>
      </c>
      <c r="D14" s="72">
        <f>IF(OR(106729.22298="",72382.34363="",106729.22298=0,72382.34363=0),"-",72382.34363/106729.22298*100)</f>
        <v>67.81867384489789</v>
      </c>
    </row>
    <row r="15" spans="1:4" ht="15">
      <c r="A15" s="17" t="s">
        <v>57</v>
      </c>
      <c r="B15" s="75">
        <v>37.3816</v>
      </c>
      <c r="C15" s="75">
        <v>21.0828</v>
      </c>
      <c r="D15" s="72">
        <f>IF(OR(37381.54552="",21082.77542="",37381.54552=0,21082.77542=0),"-",21082.77542/37381.54552*100)</f>
        <v>56.39888647386242</v>
      </c>
    </row>
    <row r="16" spans="1:4" ht="15">
      <c r="A16" s="17" t="s">
        <v>58</v>
      </c>
      <c r="B16" s="75">
        <v>-28.2125</v>
      </c>
      <c r="C16" s="75">
        <v>-30.088</v>
      </c>
      <c r="D16" s="72">
        <f>IF(OR(-28212.47038="",-30087.95836="",-28212.47038=0,-30087.95836=0),"-",-30087.95836/-28212.47038*100)</f>
        <v>106.64772689076369</v>
      </c>
    </row>
    <row r="17" spans="1:4" ht="26.25">
      <c r="A17" s="17" t="s">
        <v>59</v>
      </c>
      <c r="B17" s="75">
        <v>-7.2174</v>
      </c>
      <c r="C17" s="75">
        <v>-10.6342</v>
      </c>
      <c r="D17" s="72">
        <f>IF(OR(-7217.43717="",-10634.16609="",-7217.43717=0,-10634.16609=0),"-",-10634.16609/-7217.43717*100)</f>
        <v>147.33991913642112</v>
      </c>
    </row>
    <row r="18" spans="1:4" ht="15">
      <c r="A18" s="17" t="s">
        <v>60</v>
      </c>
      <c r="B18" s="75">
        <v>-48.8616</v>
      </c>
      <c r="C18" s="75">
        <v>-49.8854</v>
      </c>
      <c r="D18" s="72">
        <f>IF(OR(-48861.6393="",-49885.42461="",-48861.6393=0,-49885.42461=0),"-",-49885.42461/-48861.6393*100)</f>
        <v>102.09527417554327</v>
      </c>
    </row>
    <row r="19" spans="1:4" ht="15">
      <c r="A19" s="18" t="s">
        <v>61</v>
      </c>
      <c r="B19" s="74">
        <v>54.9054</v>
      </c>
      <c r="C19" s="74">
        <v>52.3012</v>
      </c>
      <c r="D19" s="71">
        <f>IF(54905.4114="","-",52301.16143/54905.4114*100)</f>
        <v>95.25684280730114</v>
      </c>
    </row>
    <row r="20" spans="1:4" ht="15">
      <c r="A20" s="17" t="s">
        <v>62</v>
      </c>
      <c r="B20" s="75">
        <v>93.2161</v>
      </c>
      <c r="C20" s="75">
        <v>88.7296</v>
      </c>
      <c r="D20" s="72">
        <f>IF(OR(93216.10991="",88729.6427="",93216.10991=0,88729.6427=0),"-",88729.6427/93216.10991*100)</f>
        <v>95.18702591823272</v>
      </c>
    </row>
    <row r="21" spans="1:4" ht="15">
      <c r="A21" s="17" t="s">
        <v>63</v>
      </c>
      <c r="B21" s="75">
        <v>-38.3107</v>
      </c>
      <c r="C21" s="75">
        <v>-36.4285</v>
      </c>
      <c r="D21" s="72">
        <f>IF(OR(-38310.69851="",-36428.48127="",-38310.69851=0,-36428.48127=0),"-",-36428.48127/-38310.69851*100)</f>
        <v>95.08696705305778</v>
      </c>
    </row>
    <row r="22" spans="1:4" ht="26.25">
      <c r="A22" s="18" t="s">
        <v>64</v>
      </c>
      <c r="B22" s="74">
        <v>101.6268</v>
      </c>
      <c r="C22" s="74">
        <v>87.7667</v>
      </c>
      <c r="D22" s="71">
        <f>IF(101626.76669="","-",87766.73625/101626.76669*100)</f>
        <v>86.36183075441302</v>
      </c>
    </row>
    <row r="23" spans="1:4" ht="15">
      <c r="A23" s="17" t="s">
        <v>65</v>
      </c>
      <c r="B23" s="75">
        <v>3.4745</v>
      </c>
      <c r="C23" s="75">
        <v>2.9152</v>
      </c>
      <c r="D23" s="72">
        <f>IF(OR(3474.48291="",2915.1959="",3474.48291=0,2915.1959=0),"-",2915.1959/3474.48291*100)</f>
        <v>83.90301450640895</v>
      </c>
    </row>
    <row r="24" spans="1:4" ht="15">
      <c r="A24" s="17" t="s">
        <v>66</v>
      </c>
      <c r="B24" s="75">
        <v>129.5039</v>
      </c>
      <c r="C24" s="75">
        <v>121.7349</v>
      </c>
      <c r="D24" s="72">
        <f>IF(OR(129503.91215="",121734.90873="",129503.91215=0,121734.90873=0),"-",121734.90873/129503.91215*100)</f>
        <v>94.0009507890376</v>
      </c>
    </row>
    <row r="25" spans="1:4" ht="15">
      <c r="A25" s="17" t="s">
        <v>67</v>
      </c>
      <c r="B25" s="75">
        <v>-0.7808</v>
      </c>
      <c r="C25" s="75">
        <v>-0.4185</v>
      </c>
      <c r="D25" s="72">
        <f>IF(OR(-780.75698="",-418.45627="",-780.75698=0,-418.45627=0),"-",-418.45627/-780.75698*100)</f>
        <v>53.596225294072944</v>
      </c>
    </row>
    <row r="26" spans="1:4" ht="15">
      <c r="A26" s="17" t="s">
        <v>68</v>
      </c>
      <c r="B26" s="75">
        <v>-20.9647</v>
      </c>
      <c r="C26" s="75">
        <v>-20.9993</v>
      </c>
      <c r="D26" s="72">
        <f>IF(OR(-20964.65787="",-20999.29137="",-20964.65787=0,-20999.29137=0),"-",-20999.29137/-20964.65787*100)</f>
        <v>100.16519945240586</v>
      </c>
    </row>
    <row r="27" spans="1:4" ht="15">
      <c r="A27" s="17" t="s">
        <v>69</v>
      </c>
      <c r="B27" s="75">
        <v>1.3359</v>
      </c>
      <c r="C27" s="75">
        <v>1.6198</v>
      </c>
      <c r="D27" s="72">
        <f>IF(OR(1335.91365="",1619.76057="",1335.91365=0,1619.76057=0),"-",1619.76057/1335.91365*100)</f>
        <v>121.24740023428909</v>
      </c>
    </row>
    <row r="28" spans="1:4" ht="27" customHeight="1">
      <c r="A28" s="17" t="s">
        <v>70</v>
      </c>
      <c r="B28" s="75">
        <v>-5.9179</v>
      </c>
      <c r="C28" s="75">
        <v>-5.6058</v>
      </c>
      <c r="D28" s="72">
        <f>IF(OR(-5917.93762="",-5605.81233="",-5917.93762=0,-5605.81233=0),"-",-5605.81233/-5917.93762*100)</f>
        <v>94.72577593678658</v>
      </c>
    </row>
    <row r="29" spans="1:4" ht="27.75" customHeight="1">
      <c r="A29" s="17" t="s">
        <v>71</v>
      </c>
      <c r="B29" s="75">
        <v>-3.0867</v>
      </c>
      <c r="C29" s="75">
        <v>-3.0407</v>
      </c>
      <c r="D29" s="72">
        <f>IF(OR(-3086.71597="",-3040.71868="",-3086.71597=0,-3040.71868=0),"-",-3040.71868/-3086.71597*100)</f>
        <v>98.50983082191394</v>
      </c>
    </row>
    <row r="30" spans="1:4" ht="15">
      <c r="A30" s="17" t="s">
        <v>72</v>
      </c>
      <c r="B30" s="75">
        <v>15.3231</v>
      </c>
      <c r="C30" s="75">
        <v>8.3022</v>
      </c>
      <c r="D30" s="72">
        <f>IF(OR(15323.11321="",8302.18564="",15323.11321=0,8302.18564=0),"-",8302.18564/15323.11321*100)</f>
        <v>54.18080207475019</v>
      </c>
    </row>
    <row r="31" spans="1:4" ht="15">
      <c r="A31" s="17" t="s">
        <v>73</v>
      </c>
      <c r="B31" s="75">
        <v>-17.2606</v>
      </c>
      <c r="C31" s="75">
        <v>-16.741</v>
      </c>
      <c r="D31" s="72">
        <f>IF(OR(-17260.58679="",-16741.03594="",-17260.58679=0,-16741.03594=0),"-",-16741.03594/-17260.58679*100)</f>
        <v>96.98995835818859</v>
      </c>
    </row>
    <row r="32" spans="1:4" ht="26.25">
      <c r="A32" s="18" t="s">
        <v>74</v>
      </c>
      <c r="B32" s="74">
        <v>-594.3621</v>
      </c>
      <c r="C32" s="74">
        <v>-476.4615</v>
      </c>
      <c r="D32" s="71">
        <f>IF(-594362.11136="","-",-476461.46076/-594362.11136*100)</f>
        <v>80.1634982535775</v>
      </c>
    </row>
    <row r="33" spans="1:4" ht="15">
      <c r="A33" s="17" t="s">
        <v>75</v>
      </c>
      <c r="B33" s="75">
        <v>-15.9204</v>
      </c>
      <c r="C33" s="75">
        <v>-7.3167</v>
      </c>
      <c r="D33" s="72">
        <f>IF(OR(-15920.3846="",-7316.74369="",-15920.3846=0,-7316.74369=0),"-",-7316.74369/-15920.3846*100)</f>
        <v>45.95833501409257</v>
      </c>
    </row>
    <row r="34" spans="1:4" ht="15">
      <c r="A34" s="17" t="s">
        <v>76</v>
      </c>
      <c r="B34" s="75">
        <v>-342.7989</v>
      </c>
      <c r="C34" s="75">
        <v>-298.3417</v>
      </c>
      <c r="D34" s="72">
        <f>IF(OR(-342798.94435="",-298341.70174="",-342798.94435=0,-298341.70174=0),"-",-298341.70174/-342798.94435*100)</f>
        <v>87.03110282492327</v>
      </c>
    </row>
    <row r="35" spans="1:4" ht="15">
      <c r="A35" s="17" t="s">
        <v>77</v>
      </c>
      <c r="B35" s="75">
        <v>-234.6561</v>
      </c>
      <c r="C35" s="75">
        <v>-170.5556</v>
      </c>
      <c r="D35" s="72">
        <f>IF(OR(-234656.10748="",-170555.54907="",-234656.10748=0,-170555.54907=0),"-",-170555.54907/-234656.10748*100)</f>
        <v>72.68319197041852</v>
      </c>
    </row>
    <row r="36" spans="1:4" ht="15">
      <c r="A36" s="17" t="s">
        <v>78</v>
      </c>
      <c r="B36" s="75">
        <v>-0.9867</v>
      </c>
      <c r="C36" s="75">
        <v>-0.2475</v>
      </c>
      <c r="D36" s="72">
        <f>IF(OR(-986.67493="",-247.46626="",-986.67493=0,-247.46626=0),"-",-247.46626/-986.67493*100)</f>
        <v>25.080829812915184</v>
      </c>
    </row>
    <row r="37" spans="1:4" ht="14.25" customHeight="1">
      <c r="A37" s="18" t="s">
        <v>79</v>
      </c>
      <c r="B37" s="74">
        <v>46.8557</v>
      </c>
      <c r="C37" s="74">
        <v>26.9797</v>
      </c>
      <c r="D37" s="71">
        <f>IF(46855.71369="","-",26979.66205/46855.71369*100)</f>
        <v>57.58030328702054</v>
      </c>
    </row>
    <row r="38" spans="1:4" ht="15">
      <c r="A38" s="17" t="s">
        <v>80</v>
      </c>
      <c r="B38" s="75">
        <v>-0.6049</v>
      </c>
      <c r="C38" s="75">
        <v>-0.7382</v>
      </c>
      <c r="D38" s="72">
        <f>IF(OR(-604.90288="",-738.16357="",-604.90288=0,-738.16357=0),"-",-738.16357/-604.90288*100)</f>
        <v>122.03009679834886</v>
      </c>
    </row>
    <row r="39" spans="1:4" ht="27" customHeight="1">
      <c r="A39" s="17" t="s">
        <v>81</v>
      </c>
      <c r="B39" s="75">
        <v>49.0673</v>
      </c>
      <c r="C39" s="75">
        <v>29.0846</v>
      </c>
      <c r="D39" s="72">
        <f>IF(OR(49067.27887="",29084.57725="",49067.27887=0,29084.57725=0),"-",29084.57725/49067.27887*100)</f>
        <v>59.27489341126366</v>
      </c>
    </row>
    <row r="40" spans="1:4" ht="27.75" customHeight="1">
      <c r="A40" s="17" t="s">
        <v>82</v>
      </c>
      <c r="B40" s="75">
        <v>-1.6067</v>
      </c>
      <c r="C40" s="75">
        <v>-1.3668</v>
      </c>
      <c r="D40" s="72">
        <f>IF(OR(-1606.6623="",-1366.75163="",-1606.6623=0,-1366.75163=0),"-",-1366.75163/-1606.6623*100)</f>
        <v>85.06776003893289</v>
      </c>
    </row>
    <row r="41" spans="1:4" ht="26.25">
      <c r="A41" s="18" t="s">
        <v>83</v>
      </c>
      <c r="B41" s="74">
        <v>-406.2649</v>
      </c>
      <c r="C41" s="74">
        <v>-428.1741</v>
      </c>
      <c r="D41" s="71">
        <f>IF(-406264.86719="","-",-428174.13689/-406264.86719*100)</f>
        <v>105.39285364534206</v>
      </c>
    </row>
    <row r="42" spans="1:4" ht="15">
      <c r="A42" s="17" t="s">
        <v>84</v>
      </c>
      <c r="B42" s="75">
        <v>-12.2505</v>
      </c>
      <c r="C42" s="75">
        <v>-0.9832</v>
      </c>
      <c r="D42" s="72">
        <f>IF(OR(-12250.51574="",-983.2237="",-12250.51574=0,-983.2237=0),"-",-983.2237/-12250.51574*100)</f>
        <v>8.025978014865192</v>
      </c>
    </row>
    <row r="43" spans="1:4" ht="15">
      <c r="A43" s="17" t="s">
        <v>85</v>
      </c>
      <c r="B43" s="75">
        <v>-10.2395</v>
      </c>
      <c r="C43" s="75">
        <v>-10.3101</v>
      </c>
      <c r="D43" s="72">
        <f>IF(OR(-10239.44843="",-10310.11406="",-10239.44843=0,-10310.11406=0),"-",-10310.11406/-10239.44843*100)</f>
        <v>100.69013121637451</v>
      </c>
    </row>
    <row r="44" spans="1:4" ht="15">
      <c r="A44" s="17" t="s">
        <v>86</v>
      </c>
      <c r="B44" s="75">
        <v>-23.1648</v>
      </c>
      <c r="C44" s="75">
        <v>-23.9288</v>
      </c>
      <c r="D44" s="72">
        <f>IF(OR(-23164.76705="",-23928.78683="",-23164.76705=0,-23928.78683=0),"-",-23928.78683/-23164.76705*100)</f>
        <v>103.29819755299461</v>
      </c>
    </row>
    <row r="45" spans="1:4" ht="15">
      <c r="A45" s="17" t="s">
        <v>87</v>
      </c>
      <c r="B45" s="75">
        <v>-81.9576</v>
      </c>
      <c r="C45" s="75">
        <v>-103.9344</v>
      </c>
      <c r="D45" s="72">
        <f>IF(OR(-81957.54562="",-103934.42194="",-81957.54562=0,-103934.42194=0),"-",-103934.42194/-81957.54562*100)</f>
        <v>126.8149517579465</v>
      </c>
    </row>
    <row r="46" spans="1:4" ht="27.75" customHeight="1">
      <c r="A46" s="17" t="s">
        <v>88</v>
      </c>
      <c r="B46" s="75">
        <v>-58.118</v>
      </c>
      <c r="C46" s="75">
        <v>-60.4918</v>
      </c>
      <c r="D46" s="72">
        <f>IF(OR(-58117.94717="",-60491.82271="",-58117.94717=0,-60491.82271=0),"-",-60491.82271/-58117.94717*100)</f>
        <v>104.08458256974598</v>
      </c>
    </row>
    <row r="47" spans="1:4" ht="15">
      <c r="A47" s="17" t="s">
        <v>89</v>
      </c>
      <c r="B47" s="75">
        <v>-40.6942</v>
      </c>
      <c r="C47" s="75">
        <v>-44.5594</v>
      </c>
      <c r="D47" s="72">
        <f>IF(OR(-40694.21858="",-44559.43238="",-40694.21858=0,-44559.43238=0),"-",-44559.43238/-40694.21858*100)</f>
        <v>109.4981890176892</v>
      </c>
    </row>
    <row r="48" spans="1:4" ht="15">
      <c r="A48" s="17" t="s">
        <v>90</v>
      </c>
      <c r="B48" s="75">
        <v>-37.8419</v>
      </c>
      <c r="C48" s="75">
        <v>-35.3342</v>
      </c>
      <c r="D48" s="72">
        <f>IF(OR(-37841.89474="",-35334.18281="",-37841.89474=0,-35334.18281=0),"-",-35334.18281/-37841.89474*100)</f>
        <v>93.37318612815315</v>
      </c>
    </row>
    <row r="49" spans="1:4" ht="15">
      <c r="A49" s="17" t="s">
        <v>91</v>
      </c>
      <c r="B49" s="75">
        <v>-69.2835</v>
      </c>
      <c r="C49" s="75">
        <v>-68.8137</v>
      </c>
      <c r="D49" s="72">
        <f>IF(OR(-69283.45951="",-68813.71785="",-69283.45951=0,-68813.71785=0),"-",-68813.71785/-69283.45951*100)</f>
        <v>99.32200028214208</v>
      </c>
    </row>
    <row r="50" spans="1:4" ht="15">
      <c r="A50" s="17" t="s">
        <v>92</v>
      </c>
      <c r="B50" s="75">
        <v>-72.7151</v>
      </c>
      <c r="C50" s="75">
        <v>-79.8184</v>
      </c>
      <c r="D50" s="72">
        <f>IF(OR(-72715.07035="",-79818.43461="",-72715.07035=0,-79818.43461=0),"-",-79818.43461/-72715.07035*100)</f>
        <v>109.76876488712632</v>
      </c>
    </row>
    <row r="51" spans="1:4" ht="26.25">
      <c r="A51" s="18" t="s">
        <v>93</v>
      </c>
      <c r="B51" s="74">
        <v>-562.7475</v>
      </c>
      <c r="C51" s="74">
        <v>-571.4396</v>
      </c>
      <c r="D51" s="71">
        <f>IF(-562747.46212="","-",-571439.58417/-562747.46212*100)</f>
        <v>101.54458662812173</v>
      </c>
    </row>
    <row r="52" spans="1:4" ht="15">
      <c r="A52" s="17" t="s">
        <v>94</v>
      </c>
      <c r="B52" s="75">
        <v>-25.0469</v>
      </c>
      <c r="C52" s="75">
        <v>-31.3872</v>
      </c>
      <c r="D52" s="72">
        <f>IF(OR(-25046.88085="",-31387.19474="",-25046.88085=0,-31387.19474=0),"-",-31387.19474/-25046.88085*100)</f>
        <v>125.31378628728534</v>
      </c>
    </row>
    <row r="53" spans="1:4" ht="15">
      <c r="A53" s="17" t="s">
        <v>95</v>
      </c>
      <c r="B53" s="75">
        <v>-34.5439</v>
      </c>
      <c r="C53" s="75">
        <v>-39.2412</v>
      </c>
      <c r="D53" s="72">
        <f>IF(OR(-34543.85342="",-39241.21306="",-34543.85342=0,-39241.21306=0),"-",-39241.21306/-34543.85342*100)</f>
        <v>113.59825026723959</v>
      </c>
    </row>
    <row r="54" spans="1:4" ht="15">
      <c r="A54" s="17" t="s">
        <v>96</v>
      </c>
      <c r="B54" s="75">
        <v>-42.5037</v>
      </c>
      <c r="C54" s="75">
        <v>-41.4</v>
      </c>
      <c r="D54" s="72">
        <f>IF(OR(-42503.66582="",-41399.97032="",-42503.66582=0,-41399.97032=0),"-",-41399.97032/-42503.66582*100)</f>
        <v>97.40329338962414</v>
      </c>
    </row>
    <row r="55" spans="1:4" ht="26.25">
      <c r="A55" s="17" t="s">
        <v>97</v>
      </c>
      <c r="B55" s="75">
        <v>-59.5995</v>
      </c>
      <c r="C55" s="75">
        <v>-61.0133</v>
      </c>
      <c r="D55" s="72">
        <f>IF(OR(-59599.52439="",-61013.28025="",-59599.52439=0,-61013.28025=0),"-",-61013.28025/-59599.52439*100)</f>
        <v>102.37209251998193</v>
      </c>
    </row>
    <row r="56" spans="1:4" ht="27.75" customHeight="1">
      <c r="A56" s="17" t="s">
        <v>98</v>
      </c>
      <c r="B56" s="75">
        <v>-127.3943</v>
      </c>
      <c r="C56" s="75">
        <v>-145.9721</v>
      </c>
      <c r="D56" s="72">
        <f>IF(OR(-127394.24558="",-145972.04562="",-127394.24558=0,-145972.04562=0),"-",-145972.04562/-127394.24558*100)</f>
        <v>114.58291931116595</v>
      </c>
    </row>
    <row r="57" spans="1:4" ht="15">
      <c r="A57" s="17" t="s">
        <v>99</v>
      </c>
      <c r="B57" s="75">
        <v>-55.4139</v>
      </c>
      <c r="C57" s="75">
        <v>-55.0384</v>
      </c>
      <c r="D57" s="72">
        <f>IF(OR(-55413.93941="",-55038.40464="",-55413.93941=0,-55038.40464=0),"-",-55038.40464/-55413.93941*100)</f>
        <v>99.32230992057526</v>
      </c>
    </row>
    <row r="58" spans="1:4" ht="15">
      <c r="A58" s="17" t="s">
        <v>100</v>
      </c>
      <c r="B58" s="75">
        <v>-87.3199</v>
      </c>
      <c r="C58" s="75">
        <v>-76.9509</v>
      </c>
      <c r="D58" s="72">
        <f>IF(OR(-87319.94442="",-76950.85701="",-87319.94442=0,-76950.85701=0),"-",-76950.85701/-87319.94442*100)</f>
        <v>88.12517864174794</v>
      </c>
    </row>
    <row r="59" spans="1:4" ht="15">
      <c r="A59" s="17" t="s">
        <v>101</v>
      </c>
      <c r="B59" s="75">
        <v>-54.0608</v>
      </c>
      <c r="C59" s="75">
        <v>-42.8507</v>
      </c>
      <c r="D59" s="72">
        <f>IF(OR(-54060.7629="",-42850.73466="",-54060.7629=0,-42850.73466=0),"-",-42850.73466/-54060.7629*100)</f>
        <v>79.2640213739936</v>
      </c>
    </row>
    <row r="60" spans="1:4" ht="15">
      <c r="A60" s="17" t="s">
        <v>102</v>
      </c>
      <c r="B60" s="75">
        <v>-76.8647</v>
      </c>
      <c r="C60" s="75">
        <v>-77.5859</v>
      </c>
      <c r="D60" s="72">
        <f>IF(OR(-76864.64533="",-77585.88387="",-76864.64533=0,-77585.88387=0),"-",-77585.88387/-76864.64533*100)</f>
        <v>100.9383228620955</v>
      </c>
    </row>
    <row r="61" spans="1:4" ht="15">
      <c r="A61" s="18" t="s">
        <v>103</v>
      </c>
      <c r="B61" s="74">
        <v>-416.6437</v>
      </c>
      <c r="C61" s="74">
        <v>-432.7349</v>
      </c>
      <c r="D61" s="71">
        <f>IF(-416643.72089="","-",-432734.88902/-416643.72089*100)</f>
        <v>103.86209303613825</v>
      </c>
    </row>
    <row r="62" spans="1:4" ht="15">
      <c r="A62" s="17" t="s">
        <v>104</v>
      </c>
      <c r="B62" s="75">
        <v>-5.5225</v>
      </c>
      <c r="C62" s="75">
        <v>-7.6838</v>
      </c>
      <c r="D62" s="72">
        <f>IF(OR(-5522.50618="",-7683.79781="",-5522.50618=0,-7683.79781=0),"-",-7683.79781/-5522.50618*100)</f>
        <v>139.13606539413595</v>
      </c>
    </row>
    <row r="63" spans="1:4" ht="26.25">
      <c r="A63" s="17" t="s">
        <v>105</v>
      </c>
      <c r="B63" s="75">
        <v>-92.1187</v>
      </c>
      <c r="C63" s="75">
        <v>-99.8884</v>
      </c>
      <c r="D63" s="72">
        <f>IF(OR(-92118.71506="",-99888.40938="",-92118.71506=0,-99888.40938=0),"-",-99888.40938/-92118.71506*100)</f>
        <v>108.43443627599379</v>
      </c>
    </row>
    <row r="64" spans="1:4" ht="15">
      <c r="A64" s="17" t="s">
        <v>106</v>
      </c>
      <c r="B64" s="75">
        <v>-5.2896</v>
      </c>
      <c r="C64" s="75">
        <v>-3.8429</v>
      </c>
      <c r="D64" s="72">
        <f>IF(OR(-5289.62319="",-3842.93182="",-5289.62319=0,-3842.93182=0),"-",-3842.93182/-5289.62319*100)</f>
        <v>72.65038892118135</v>
      </c>
    </row>
    <row r="65" spans="1:4" ht="27" customHeight="1">
      <c r="A65" s="17" t="s">
        <v>107</v>
      </c>
      <c r="B65" s="75">
        <v>-82.8667</v>
      </c>
      <c r="C65" s="75">
        <v>-70.9503</v>
      </c>
      <c r="D65" s="72">
        <f>IF(OR(-82866.67108="",-70950.27246="",-82866.67108=0,-70950.27246=0),"-",-70950.27246/-82866.67108*100)</f>
        <v>85.61979325983079</v>
      </c>
    </row>
    <row r="66" spans="1:4" ht="27" customHeight="1">
      <c r="A66" s="17" t="s">
        <v>108</v>
      </c>
      <c r="B66" s="75">
        <v>-22.5817</v>
      </c>
      <c r="C66" s="75">
        <v>-24.4936</v>
      </c>
      <c r="D66" s="72">
        <f>IF(OR(-22581.67846="",-24493.6413="",-22581.67846=0,-24493.6413=0),"-",-24493.6413/-22581.67846*100)</f>
        <v>108.46687655829814</v>
      </c>
    </row>
    <row r="67" spans="1:4" ht="27" customHeight="1">
      <c r="A67" s="17" t="s">
        <v>109</v>
      </c>
      <c r="B67" s="75">
        <v>-61.0826</v>
      </c>
      <c r="C67" s="75">
        <v>-59.7731</v>
      </c>
      <c r="D67" s="72">
        <f>IF(OR(-61082.55065="",-59773.13865="",-61082.55065=0,-59773.13865=0),"-",-59773.13865/-61082.55065*100)</f>
        <v>97.85632396475572</v>
      </c>
    </row>
    <row r="68" spans="1:4" ht="42" customHeight="1">
      <c r="A68" s="17" t="s">
        <v>110</v>
      </c>
      <c r="B68" s="75">
        <v>-18.7241</v>
      </c>
      <c r="C68" s="75">
        <v>-15.079</v>
      </c>
      <c r="D68" s="72">
        <f>IF(OR(-18724.10375="",-15078.9527="",-18724.10375=0,-15078.9527=0),"-",-15078.9527/-18724.10375*100)</f>
        <v>80.53230692016434</v>
      </c>
    </row>
    <row r="69" spans="1:4" ht="15">
      <c r="A69" s="17" t="s">
        <v>111</v>
      </c>
      <c r="B69" s="75">
        <v>-129.7539</v>
      </c>
      <c r="C69" s="75">
        <v>-150.4172</v>
      </c>
      <c r="D69" s="72">
        <f>IF(OR(-129753.89138="",-150417.1519="",-129753.89138=0,-150417.1519=0),"-",-150417.1519/-129753.89138*100)</f>
        <v>115.92496402245473</v>
      </c>
    </row>
    <row r="70" spans="1:4" ht="15">
      <c r="A70" s="17" t="s">
        <v>112</v>
      </c>
      <c r="B70" s="75">
        <v>1.296</v>
      </c>
      <c r="C70" s="75">
        <v>-0.6066</v>
      </c>
      <c r="D70" s="72" t="s">
        <v>41</v>
      </c>
    </row>
    <row r="71" spans="1:4" ht="15">
      <c r="A71" s="18" t="s">
        <v>113</v>
      </c>
      <c r="B71" s="74">
        <v>51.9559</v>
      </c>
      <c r="C71" s="74">
        <v>68.9328</v>
      </c>
      <c r="D71" s="71">
        <f>IF(51955.92837="","-",68932.76422/51955.92837*100)</f>
        <v>132.67545472212683</v>
      </c>
    </row>
    <row r="72" spans="1:4" ht="27.75" customHeight="1">
      <c r="A72" s="17" t="s">
        <v>114</v>
      </c>
      <c r="B72" s="75">
        <v>-25.8364</v>
      </c>
      <c r="C72" s="75">
        <v>-22.5994</v>
      </c>
      <c r="D72" s="72">
        <f>IF(OR(-25836.36674="",-22599.35318="",-25836.36674=0,-22599.35318=0),"-",-22599.35318/-25836.36674*100)</f>
        <v>87.47109610041089</v>
      </c>
    </row>
    <row r="73" spans="1:4" ht="15">
      <c r="A73" s="17" t="s">
        <v>115</v>
      </c>
      <c r="B73" s="75">
        <v>46.39</v>
      </c>
      <c r="C73" s="75">
        <v>67.3287</v>
      </c>
      <c r="D73" s="72">
        <f>IF(OR(46389.97098="",67328.72084="",46389.97098=0,67328.72084=0),"-",67328.72084/46389.97098*100)</f>
        <v>145.13637197364764</v>
      </c>
    </row>
    <row r="74" spans="1:4" ht="15">
      <c r="A74" s="17" t="s">
        <v>116</v>
      </c>
      <c r="B74" s="75">
        <v>9.8454</v>
      </c>
      <c r="C74" s="75">
        <v>8.2338</v>
      </c>
      <c r="D74" s="72">
        <f>IF(OR(9845.43076="",8233.81768="",9845.43076=0,8233.81768=0),"-",8233.81768/9845.43076*100)</f>
        <v>83.63085253163672</v>
      </c>
    </row>
    <row r="75" spans="1:4" ht="15">
      <c r="A75" s="17" t="s">
        <v>117</v>
      </c>
      <c r="B75" s="75">
        <v>127.7789</v>
      </c>
      <c r="C75" s="75">
        <v>121.0516</v>
      </c>
      <c r="D75" s="72">
        <f>IF(OR(127778.93943="",121051.63726="",127778.93943=0,121051.63726=0),"-",121051.63726/127778.93943*100)</f>
        <v>94.73520268675782</v>
      </c>
    </row>
    <row r="76" spans="1:4" ht="15">
      <c r="A76" s="17" t="s">
        <v>118</v>
      </c>
      <c r="B76" s="75">
        <v>5.1382</v>
      </c>
      <c r="C76" s="75">
        <v>3.2956</v>
      </c>
      <c r="D76" s="72">
        <f>IF(OR(5138.23109="",3295.56251="",5138.23109=0,3295.56251=0),"-",3295.56251/5138.23109*100)</f>
        <v>64.13807499654517</v>
      </c>
    </row>
    <row r="77" spans="1:4" ht="26.25">
      <c r="A77" s="17" t="s">
        <v>119</v>
      </c>
      <c r="B77" s="75">
        <v>-25.0651</v>
      </c>
      <c r="C77" s="75">
        <v>-11.5912</v>
      </c>
      <c r="D77" s="72">
        <f>IF(OR(-25065.09917="",-11591.14529="",-25065.09917=0,-11591.14529=0),"-",-11591.14529/-25065.09917*100)</f>
        <v>46.244162895127296</v>
      </c>
    </row>
    <row r="78" spans="1:4" ht="26.25">
      <c r="A78" s="17" t="s">
        <v>120</v>
      </c>
      <c r="B78" s="75">
        <v>-4.5211</v>
      </c>
      <c r="C78" s="75">
        <v>-4.3535</v>
      </c>
      <c r="D78" s="72">
        <f>IF(OR(-4521.09182="",-4353.4496="",-4521.09182=0,-4353.4496=0),"-",-4353.4496/-4521.09182*100)</f>
        <v>96.29199700704156</v>
      </c>
    </row>
    <row r="79" spans="1:4" ht="15">
      <c r="A79" s="20" t="s">
        <v>121</v>
      </c>
      <c r="B79" s="76">
        <v>-81.7741</v>
      </c>
      <c r="C79" s="76">
        <v>-92.433</v>
      </c>
      <c r="D79" s="73">
        <f>IF(OR(-81774.08616="",-92433.026="",-81774.08616=0,-92433.026=0),"-",-92433.026/-81774.08616*100)</f>
        <v>113.03461810523274</v>
      </c>
    </row>
    <row r="80" ht="15">
      <c r="A80" s="11" t="s">
        <v>35</v>
      </c>
    </row>
  </sheetData>
  <sheetProtection/>
  <mergeCells count="5">
    <mergeCell ref="A1:D1"/>
    <mergeCell ref="A2:D2"/>
    <mergeCell ref="A4:A5"/>
    <mergeCell ref="B4:C4"/>
    <mergeCell ref="D4:D5"/>
  </mergeCells>
  <printOptions/>
  <pageMargins left="0.5905511811023623" right="0.3937007874015748" top="0.3937007874015748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TatianaGrosu</dc:creator>
  <cp:keywords/>
  <dc:description/>
  <cp:lastModifiedBy>Doina Vudvud</cp:lastModifiedBy>
  <cp:lastPrinted>2016-12-07T12:29:14Z</cp:lastPrinted>
  <dcterms:created xsi:type="dcterms:W3CDTF">2016-09-01T07:59:47Z</dcterms:created>
  <dcterms:modified xsi:type="dcterms:W3CDTF">2016-12-09T08:00:58Z</dcterms:modified>
  <cp:category/>
  <cp:version/>
  <cp:contentType/>
  <cp:contentStatus/>
</cp:coreProperties>
</file>