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336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<sst xmlns="http://schemas.openxmlformats.org/spreadsheetml/2006/main" count="702" uniqueCount="270">
  <si>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</si>
  <si>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</si>
  <si>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</si>
  <si>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</si>
  <si>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</si>
  <si>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</si>
  <si>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</si>
  <si>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</si>
  <si>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</si>
  <si>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</si>
  <si>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</si>
  <si>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</si>
  <si>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</si>
  <si>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</si>
  <si>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</si>
  <si>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</si>
  <si>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</si>
  <si>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</si>
  <si>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</si>
  <si>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</si>
  <si>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</si>
  <si>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</si>
  <si>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</si>
  <si>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</si>
  <si>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</si>
  <si>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</si>
  <si>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</si>
  <si>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</si>
  <si>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</si>
  <si>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</si>
  <si>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</si>
  <si>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</si>
  <si>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</si>
  <si>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</si>
  <si>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</si>
  <si>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</si>
  <si>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</si>
  <si>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</si>
  <si>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</si>
  <si>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</si>
  <si>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</si>
  <si>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</si>
  <si>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</si>
  <si>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</si>
  <si>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</si>
  <si>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</si>
  <si>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</si>
  <si>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</si>
  <si>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</si>
  <si>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</si>
  <si>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</si>
  <si>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</si>
  <si>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</si>
  <si>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</si>
  <si>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</si>
  <si>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</si>
  <si>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</si>
  <si>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</si>
  <si>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</si>
  <si>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</si>
  <si>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</si>
  <si>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</si>
  <si>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</si>
  <si>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</si>
  <si>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</si>
  <si>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</si>
  <si>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</si>
  <si>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</si>
  <si>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</si>
  <si>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</si>
  <si>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</si>
  <si>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</si>
  <si>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</si>
  <si>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</si>
  <si>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</si>
  <si>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</si>
  <si>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</si>
  <si>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</si>
  <si>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</si>
  <si>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</si>
  <si>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</si>
  <si>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</si>
  <si>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</si>
  <si>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</si>
  <si>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</si>
  <si>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</si>
  <si>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</si>
  <si>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</si>
  <si>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</si>
  <si>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</si>
  <si>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</si>
  <si>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</si>
  <si>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</si>
  <si>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</si>
  <si>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</si>
  <si>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</si>
  <si>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</si>
  <si>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</si>
  <si>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</si>
  <si>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</si>
  <si>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</si>
  <si>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</si>
  <si>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</si>
  <si>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</si>
  <si>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</si>
  <si>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</si>
  <si>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</si>
  <si>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</si>
  <si>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</si>
  <si>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</si>
  <si>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</si>
  <si>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</si>
  <si>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</si>
  <si>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</si>
  <si>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</si>
  <si>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</si>
  <si>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</si>
  <si>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</si>
  <si>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</si>
  <si>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</si>
  <si>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</si>
  <si>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</si>
  <si>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</si>
  <si>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</si>
  <si>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</si>
  <si>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</si>
  <si>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</si>
  <si>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</si>
  <si>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</si>
  <si>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</si>
  <si>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</si>
  <si>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</si>
  <si>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</si>
  <si>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</si>
  <si>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</si>
  <si>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</si>
  <si>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</si>
  <si>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</si>
  <si>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</si>
  <si>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</si>
  <si>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</si>
  <si>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</si>
  <si>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</si>
  <si>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</si>
  <si>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</si>
  <si>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</si>
  <si>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</si>
  <si>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</si>
  <si>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</si>
  <si>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</si>
  <si>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</si>
  <si>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</si>
  <si>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</si>
  <si>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</si>
  <si>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</si>
  <si>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</si>
  <si>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</si>
  <si>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</si>
  <si>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</si>
  <si>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</si>
  <si>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</si>
  <si>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</si>
  <si>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</si>
  <si>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</si>
  <si>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</si>
  <si>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</si>
  <si>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</si>
  <si>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</si>
  <si>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</si>
  <si>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</si>
  <si>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</si>
  <si>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</si>
  <si>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</si>
  <si>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</si>
  <si>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</si>
  <si>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</si>
  <si>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</si>
  <si>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</si>
  <si>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</si>
  <si>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</si>
  <si>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</si>
  <si>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</si>
  <si>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</si>
  <si>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</si>
  <si>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</si>
  <si>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</si>
  <si>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</si>
  <si>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</si>
  <si>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</si>
  <si>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</si>
  <si>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</si>
  <si>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</si>
  <si>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</si>
  <si>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</si>
  <si>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</si>
  <si>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</si>
  <si>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</si>
  <si>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</si>
  <si>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</si>
  <si>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</si>
  <si>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</si>
  <si>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</si>
  <si>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</si>
  <si>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</si>
  <si>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</si>
  <si>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</si>
  <si>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</si>
  <si>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</si>
  <si>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</si>
  <si>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</si>
  <si>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</si>
  <si>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</si>
  <si>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</si>
  <si>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</si>
  <si>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</si>
  <si>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</si>
  <si>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</si>
  <si>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</si>
  <si>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</si>
  <si>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</si>
  <si>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</si>
  <si>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</si>
  <si>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</si>
  <si>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</si>
  <si>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</si>
  <si>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</si>
  <si>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</si>
  <si>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</si>
  <si>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Arabia Saudita</t>
  </si>
  <si>
    <t>Gibraltar</t>
  </si>
  <si>
    <t>de 3,7 ori</t>
  </si>
  <si>
    <t>de 4,0 ori</t>
  </si>
  <si>
    <t>Jamaica</t>
  </si>
  <si>
    <t>Rep.Dominicană</t>
  </si>
  <si>
    <t>de 3,4 ori</t>
  </si>
  <si>
    <t>de 4,1 ori</t>
  </si>
  <si>
    <t>Ponderea, %</t>
  </si>
  <si>
    <t>Libia</t>
  </si>
  <si>
    <t>Zambia</t>
  </si>
  <si>
    <t>de 10,9 ori</t>
  </si>
  <si>
    <t>de 548,1 ori</t>
  </si>
  <si>
    <t>Rep.Dominicana</t>
  </si>
  <si>
    <t>de 2,7 ori</t>
  </si>
  <si>
    <t>Ianuarie-iulie 2017</t>
  </si>
  <si>
    <t>în % faţă de ianuarie-iulie 2016¹</t>
  </si>
  <si>
    <t>ianuarie-iulie</t>
  </si>
  <si>
    <t>Ianuarie-iulie</t>
  </si>
  <si>
    <t>Ianuarie-iulie 2017 în % faţă de              ianuarie-iulie 2016</t>
  </si>
  <si>
    <t>Swaziland</t>
  </si>
  <si>
    <t>Senegal</t>
  </si>
  <si>
    <t>de 11,0 ori</t>
  </si>
  <si>
    <t>de 2,9 ori</t>
  </si>
  <si>
    <t>de 3,3 ori</t>
  </si>
  <si>
    <t>de 3,2 ori</t>
  </si>
  <si>
    <t>de 9,0 ori</t>
  </si>
  <si>
    <t>de 548,9 ori</t>
  </si>
  <si>
    <t>ins.Bahamas</t>
  </si>
  <si>
    <t>de 3,8 ori</t>
  </si>
  <si>
    <t>de 14,5 ori</t>
  </si>
  <si>
    <t>de 75,6 ori</t>
  </si>
  <si>
    <t>de 26,6 ori</t>
  </si>
  <si>
    <t>de 8,4 ori</t>
  </si>
  <si>
    <t>de 5,1 ori</t>
  </si>
  <si>
    <t>de 3,5 ori</t>
  </si>
  <si>
    <t>de 21,5 ori</t>
  </si>
  <si>
    <t>de 13,1 ori</t>
  </si>
  <si>
    <t>de 45,1 ori</t>
  </si>
  <si>
    <t>de 156,2 ori</t>
  </si>
  <si>
    <t>de 158,7 ori</t>
  </si>
  <si>
    <t>de 8,7 ori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</si>
</sst>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9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 inden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5" fillId="0" borderId="14" xfId="0" applyNumberFormat="1" applyFont="1" applyFill="1" applyBorder="1" applyAlignment="1" applyProtection="1">
      <alignment horizontal="right" vertical="top"/>
      <protection/>
    </xf>
    <xf numFmtId="2" fontId="14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2" fontId="14" fillId="0" borderId="0" xfId="0" applyNumberFormat="1" applyFont="1" applyFill="1" applyBorder="1" applyAlignment="1" applyProtection="1">
      <alignment horizontal="right" vertical="top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0" fontId="22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3.00390625" style="16" customWidth="1"/>
    <col min="2" max="2" width="11.875" style="16" customWidth="1"/>
    <col min="3" max="3" width="10.00390625" style="16" customWidth="1"/>
    <col min="4" max="4" width="7.375" style="16" customWidth="1"/>
    <col min="5" max="5" width="7.625" style="16" customWidth="1"/>
    <col min="6" max="6" width="9.75390625" style="16" customWidth="1"/>
    <col min="7" max="7" width="10.00390625" style="16" customWidth="1"/>
  </cols>
  <sheetData>
    <row r="1" spans="1:7" ht="15.75">
      <c r="A1" s="52" t="s">
        <v>28</v>
      </c>
      <c r="B1" s="52"/>
      <c r="C1" s="52"/>
      <c r="D1" s="52"/>
      <c r="E1" s="52"/>
      <c r="F1" s="52"/>
      <c r="G1" s="52"/>
    </row>
    <row r="3" spans="1:7" ht="55.5" customHeight="1">
      <c r="A3" s="53"/>
      <c r="B3" s="56" t="s">
        <v>243</v>
      </c>
      <c r="C3" s="57"/>
      <c r="D3" s="56" t="s">
        <v>236</v>
      </c>
      <c r="E3" s="57"/>
      <c r="F3" s="58" t="s">
        <v>1</v>
      </c>
      <c r="G3" s="59"/>
    </row>
    <row r="4" spans="1:7" ht="21.75" customHeight="1">
      <c r="A4" s="54"/>
      <c r="B4" s="60" t="s">
        <v>194</v>
      </c>
      <c r="C4" s="62" t="s">
        <v>244</v>
      </c>
      <c r="D4" s="64" t="s">
        <v>245</v>
      </c>
      <c r="E4" s="64"/>
      <c r="F4" s="64" t="s">
        <v>245</v>
      </c>
      <c r="G4" s="56"/>
    </row>
    <row r="5" spans="1:7" ht="23.25" customHeight="1">
      <c r="A5" s="55"/>
      <c r="B5" s="61"/>
      <c r="C5" s="63"/>
      <c r="D5" s="45">
        <v>2016</v>
      </c>
      <c r="E5" s="45">
        <v>2017</v>
      </c>
      <c r="F5" s="45" t="s">
        <v>2</v>
      </c>
      <c r="G5" s="44" t="s">
        <v>186</v>
      </c>
    </row>
    <row r="6" spans="1:7" ht="15.75" customHeight="1">
      <c r="A6" s="33" t="s">
        <v>31</v>
      </c>
      <c r="B6" s="34">
        <f>IF(1219862.28767="","-",1219862.28767)</f>
        <v>1219862.28767</v>
      </c>
      <c r="C6" s="34">
        <f>IF(1071013.38714="","-",1219862.28767/1071013.38714*100)</f>
        <v>113.89794957908803</v>
      </c>
      <c r="D6" s="34">
        <v>100</v>
      </c>
      <c r="E6" s="34">
        <v>100</v>
      </c>
      <c r="F6" s="34">
        <f>IF(1157424.09208="","-",(1071013.38714-1157424.09208)/1157424.09208*100)</f>
        <v>-7.465777283477132</v>
      </c>
      <c r="G6" s="34">
        <f>IF(1071013.38714="","-",(1219862.28767-1071013.38714)/1071013.38714*100)</f>
        <v>13.89794957908802</v>
      </c>
    </row>
    <row r="7" spans="1:7" ht="13.5" customHeight="1">
      <c r="A7" s="14" t="s">
        <v>3</v>
      </c>
      <c r="B7" s="35"/>
      <c r="C7" s="36"/>
      <c r="D7" s="37"/>
      <c r="E7" s="37"/>
      <c r="F7" s="37"/>
      <c r="G7" s="37"/>
    </row>
    <row r="8" spans="1:7" ht="15">
      <c r="A8" s="15" t="s">
        <v>4</v>
      </c>
      <c r="B8" s="26">
        <f>IF(778285.8983="","-",778285.8983)</f>
        <v>778285.8983</v>
      </c>
      <c r="C8" s="26">
        <f>IF(681375.0491="","-",778285.8983/681375.0491*100)</f>
        <v>114.22283503453869</v>
      </c>
      <c r="D8" s="26">
        <f>IF(681375.0491="","-",681375.0491/1071013.38714*100)</f>
        <v>63.61965753943769</v>
      </c>
      <c r="E8" s="26">
        <f>IF(778285.8983="","-",778285.8983/1219862.28767*100)</f>
        <v>63.8011278950648</v>
      </c>
      <c r="F8" s="26">
        <f>IF(1157424.09208="","-",(681375.0491-721696.8994)/1157424.09208*100)</f>
        <v>-3.4837576456126715</v>
      </c>
      <c r="G8" s="26">
        <f>IF(1071013.38714="","-",(778285.8983-681375.0491)/1071013.38714*100)</f>
        <v>9.048518941372684</v>
      </c>
    </row>
    <row r="9" spans="1:7" s="29" customFormat="1" ht="15">
      <c r="A9" s="50" t="s">
        <v>5</v>
      </c>
      <c r="B9" s="27">
        <f>IF(300002.74935="","-",300002.74935)</f>
        <v>300002.74935</v>
      </c>
      <c r="C9" s="27">
        <f>IF(OR(258985.35528="",300002.74935=""),"-",300002.74935/258985.35528*100)</f>
        <v>115.83772720494345</v>
      </c>
      <c r="D9" s="27">
        <f>IF(258985.35528="","-",258985.35528/1071013.38714*100)</f>
        <v>24.18133688987644</v>
      </c>
      <c r="E9" s="27">
        <f>IF(300002.74935="","-",300002.74935/1219862.28767*100)</f>
        <v>24.593165341886316</v>
      </c>
      <c r="F9" s="27">
        <f>IF(OR(1157424.09208="",262139.26774="",258985.35528=""),"-",(258985.35528-262139.26774)/1157424.09208*100)</f>
        <v>-0.27249410838961746</v>
      </c>
      <c r="G9" s="27">
        <f>IF(OR(1071013.38714="",300002.74935="",258985.35528=""),"-",(300002.74935-258985.35528)/1071013.38714*100)</f>
        <v>3.8297741711269873</v>
      </c>
    </row>
    <row r="10" spans="1:7" s="29" customFormat="1" ht="15">
      <c r="A10" s="50" t="s">
        <v>6</v>
      </c>
      <c r="B10" s="27">
        <f>IF(110760.78131="","-",110760.78131)</f>
        <v>110760.78131</v>
      </c>
      <c r="C10" s="27">
        <f>IF(OR(108094.60252="",110760.78131=""),"-",110760.78131/108094.60252*100)</f>
        <v>102.46652351536858</v>
      </c>
      <c r="D10" s="27">
        <f>IF(108094.60252="","-",108094.60252/1071013.38714*100)</f>
        <v>10.092740559354947</v>
      </c>
      <c r="E10" s="27">
        <f>IF(110760.78131="","-",110760.78131/1219862.28767*100)</f>
        <v>9.079777482223736</v>
      </c>
      <c r="F10" s="27">
        <f>IF(OR(1157424.09208="",124468.61783="",108094.60252=""),"-",(108094.60252-124468.61783)/1157424.09208*100)</f>
        <v>-1.4146945291742075</v>
      </c>
      <c r="G10" s="27">
        <f>IF(OR(1071013.38714="",110760.78131="",108094.60252=""),"-",(110760.78131-108094.60252)/1071013.38714*100)</f>
        <v>0.24893981924163283</v>
      </c>
    </row>
    <row r="11" spans="1:7" s="29" customFormat="1" ht="15">
      <c r="A11" s="50" t="s">
        <v>7</v>
      </c>
      <c r="B11" s="27">
        <f>IF(81907.88465="","-",81907.88465)</f>
        <v>81907.88465</v>
      </c>
      <c r="C11" s="27">
        <f>IF(OR(67523.52912="",81907.88465=""),"-",81907.88465/67523.52912*100)</f>
        <v>121.30273064436061</v>
      </c>
      <c r="D11" s="27">
        <f>IF(67523.52912="","-",67523.52912/1071013.38714*100)</f>
        <v>6.3046391325054</v>
      </c>
      <c r="E11" s="27">
        <f>IF(81907.88465="","-",81907.88465/1219862.28767*100)</f>
        <v>6.714518964796288</v>
      </c>
      <c r="F11" s="27">
        <f>IF(OR(1157424.09208="",68467.70228="",67523.52912=""),"-",(67523.52912-68467.70228)/1157424.09208*100)</f>
        <v>-0.08157538506937617</v>
      </c>
      <c r="G11" s="27">
        <f>IF(OR(1071013.38714="",81907.88465="",67523.52912=""),"-",(81907.88465-67523.52912)/1071013.38714*100)</f>
        <v>1.3430602924965789</v>
      </c>
    </row>
    <row r="12" spans="1:7" s="29" customFormat="1" ht="26.25">
      <c r="A12" s="50" t="s">
        <v>209</v>
      </c>
      <c r="B12" s="27">
        <f>IF(74223.51998="","-",74223.51998)</f>
        <v>74223.51998</v>
      </c>
      <c r="C12" s="27">
        <f>IF(OR(67087.45609="",74223.51998=""),"-",74223.51998/67087.45609*100)</f>
        <v>110.63695704965579</v>
      </c>
      <c r="D12" s="27">
        <f>IF(67087.45609="","-",67087.45609/1071013.38714*100)</f>
        <v>6.263923205399721</v>
      </c>
      <c r="E12" s="27">
        <f>IF(74223.51998="","-",74223.51998/1219862.28767*100)</f>
        <v>6.0845819015989715</v>
      </c>
      <c r="F12" s="27">
        <f>IF(OR(1157424.09208="",91466.34317="",67087.45609=""),"-",(67087.45609-91466.34317)/1157424.09208*100)</f>
        <v>-2.1063054801450374</v>
      </c>
      <c r="G12" s="27">
        <f>IF(OR(1071013.38714="",74223.51998="",67087.45609=""),"-",(74223.51998-67087.45609)/1071013.38714*100)</f>
        <v>0.6662908209817907</v>
      </c>
    </row>
    <row r="13" spans="1:7" s="29" customFormat="1" ht="15">
      <c r="A13" s="50" t="s">
        <v>9</v>
      </c>
      <c r="B13" s="27">
        <f>IF(44852.39623="","-",44852.39623)</f>
        <v>44852.39623</v>
      </c>
      <c r="C13" s="27">
        <f>IF(OR(33140.91717="",44852.39623=""),"-",44852.39623/33140.91717*100)</f>
        <v>135.33842772040578</v>
      </c>
      <c r="D13" s="27">
        <f>IF(33140.91717="","-",33140.91717/1071013.38714*100)</f>
        <v>3.0943513468583665</v>
      </c>
      <c r="E13" s="27">
        <f>IF(44852.39623="","-",44852.39623/1219862.28767*100)</f>
        <v>3.6768409584716646</v>
      </c>
      <c r="F13" s="27">
        <f>IF(OR(1157424.09208="",15296.52473="",33140.91717=""),"-",(33140.91717-15296.52473)/1157424.09208*100)</f>
        <v>1.5417332818718115</v>
      </c>
      <c r="G13" s="27">
        <f>IF(OR(1071013.38714="",44852.39623="",33140.91717=""),"-",(44852.39623-33140.91717)/1071013.38714*100)</f>
        <v>1.0934951141249465</v>
      </c>
    </row>
    <row r="14" spans="1:7" s="29" customFormat="1" ht="15">
      <c r="A14" s="50" t="s">
        <v>8</v>
      </c>
      <c r="B14" s="27">
        <f>IF(39462.55587="","-",39462.55587)</f>
        <v>39462.55587</v>
      </c>
      <c r="C14" s="27">
        <f>IF(OR(38693.59676="",39462.55587=""),"-",39462.55587/38693.59676*100)</f>
        <v>101.9873032604581</v>
      </c>
      <c r="D14" s="27">
        <f>IF(38693.59676="","-",38693.59676/1071013.38714*100)</f>
        <v>3.6128023444530553</v>
      </c>
      <c r="E14" s="27">
        <f>IF(39462.55587="","-",39462.55587/1219862.28767*100)</f>
        <v>3.2350008905821257</v>
      </c>
      <c r="F14" s="27">
        <f>IF(OR(1157424.09208="",31404.26905="",38693.59676=""),"-",(38693.59676-31404.26905)/1157424.09208*100)</f>
        <v>0.62978883538707</v>
      </c>
      <c r="G14" s="27">
        <f>IF(OR(1071013.38714="",39462.55587="",38693.59676=""),"-",(39462.55587-38693.59676)/1071013.38714*100)</f>
        <v>0.07179733878522285</v>
      </c>
    </row>
    <row r="15" spans="1:7" s="31" customFormat="1" ht="15">
      <c r="A15" s="50" t="s">
        <v>200</v>
      </c>
      <c r="B15" s="27">
        <f>IF(20295.59399="","-",20295.59399)</f>
        <v>20295.59399</v>
      </c>
      <c r="C15" s="27">
        <f>IF(OR(26337.62204="",20295.59399=""),"-",20295.59399/26337.62204*100)</f>
        <v>77.05932585400562</v>
      </c>
      <c r="D15" s="27">
        <f>IF(26337.62204="","-",26337.62204/1071013.38714*100)</f>
        <v>2.459130983444674</v>
      </c>
      <c r="E15" s="27">
        <f>IF(20295.59399="","-",20295.59399/1219862.28767*100)</f>
        <v>1.6637610814877828</v>
      </c>
      <c r="F15" s="27">
        <f>IF(OR(1157424.09208="",24823.89769="",26337.62204=""),"-",(26337.62204-24823.89769)/1157424.09208*100)</f>
        <v>0.13078389851724026</v>
      </c>
      <c r="G15" s="27">
        <f>IF(OR(1071013.38714="",20295.59399="",26337.62204=""),"-",(20295.59399-26337.62204)/1071013.38714*100)</f>
        <v>-0.5641412257352296</v>
      </c>
    </row>
    <row r="16" spans="1:7" s="29" customFormat="1" ht="15">
      <c r="A16" s="50" t="s">
        <v>11</v>
      </c>
      <c r="B16" s="27">
        <f>IF(17924.8812="","-",17924.8812)</f>
        <v>17924.8812</v>
      </c>
      <c r="C16" s="27">
        <f>IF(OR(12409.86535="",17924.8812=""),"-",17924.8812/12409.86535*100)</f>
        <v>144.44057767314936</v>
      </c>
      <c r="D16" s="27">
        <f>IF(12409.86535="","-",12409.86535/1071013.38714*100)</f>
        <v>1.1587031029685735</v>
      </c>
      <c r="E16" s="27">
        <f>IF(17924.8812="","-",17924.8812/1219862.28767*100)</f>
        <v>1.469418423799087</v>
      </c>
      <c r="F16" s="27">
        <f>IF(OR(1157424.09208="",8758.80181="",12409.86535=""),"-",(12409.86535-8758.80181)/1157424.09208*100)</f>
        <v>0.31544734250681566</v>
      </c>
      <c r="G16" s="27">
        <f>IF(OR(1071013.38714="",17924.8812="",12409.86535=""),"-",(17924.8812-12409.86535)/1071013.38714*100)</f>
        <v>0.5149343524759408</v>
      </c>
    </row>
    <row r="17" spans="1:7" s="29" customFormat="1" ht="15">
      <c r="A17" s="50" t="s">
        <v>10</v>
      </c>
      <c r="B17" s="27">
        <f>IF(17138.3246="","-",17138.3246)</f>
        <v>17138.3246</v>
      </c>
      <c r="C17" s="27">
        <f>IF(OR(16616.92674="",17138.3246=""),"-",17138.3246/16616.92674*100)</f>
        <v>103.13775145162613</v>
      </c>
      <c r="D17" s="27">
        <f>IF(16616.92674="","-",16616.92674/1071013.38714*100)</f>
        <v>1.5515143825021</v>
      </c>
      <c r="E17" s="27">
        <f>IF(17138.3246="","-",17138.3246/1219862.28767*100)</f>
        <v>1.4049392930029083</v>
      </c>
      <c r="F17" s="27">
        <f>IF(OR(1157424.09208="",16484.43043="",16616.92674=""),"-",(16616.92674-16484.43043)/1157424.09208*100)</f>
        <v>0.01144751616167677</v>
      </c>
      <c r="G17" s="27">
        <f>IF(OR(1071013.38714="",17138.3246="",16616.92674=""),"-",(17138.3246-16616.92674)/1071013.38714*100)</f>
        <v>0.048682665059147874</v>
      </c>
    </row>
    <row r="18" spans="1:7" s="29" customFormat="1" ht="15">
      <c r="A18" s="50" t="s">
        <v>12</v>
      </c>
      <c r="B18" s="27">
        <f>IF(13064.41924="","-",13064.41924)</f>
        <v>13064.41924</v>
      </c>
      <c r="C18" s="27">
        <f>IF(OR(11234.85924="",13064.41924=""),"-",13064.41924/11234.85924*100)</f>
        <v>116.28467220564838</v>
      </c>
      <c r="D18" s="27">
        <f>IF(11234.85924="","-",11234.85924/1071013.38714*100)</f>
        <v>1.0489933529216855</v>
      </c>
      <c r="E18" s="27">
        <f>IF(13064.41924="","-",13064.41924/1219862.28767*100)</f>
        <v>1.0709749266004212</v>
      </c>
      <c r="F18" s="27">
        <f>IF(OR(1157424.09208="",13482.23913="",11234.85924=""),"-",(11234.85924-13482.23913)/1157424.09208*100)</f>
        <v>-0.19417082341540404</v>
      </c>
      <c r="G18" s="27">
        <f>IF(OR(1071013.38714="",13064.41924="",11234.85924=""),"-",(13064.41924-11234.85924)/1071013.38714*100)</f>
        <v>0.17082512898233682</v>
      </c>
    </row>
    <row r="19" spans="1:7" s="29" customFormat="1" ht="15">
      <c r="A19" s="50" t="s">
        <v>13</v>
      </c>
      <c r="B19" s="27">
        <f>IF(13008.34368="","-",13008.34368)</f>
        <v>13008.34368</v>
      </c>
      <c r="C19" s="27">
        <f>IF(OR(10892.87848="",13008.34368=""),"-",13008.34368/10892.87848*100)</f>
        <v>119.42062608964312</v>
      </c>
      <c r="D19" s="27">
        <f>IF(10892.87848="","-",10892.87848/1071013.38714*100)</f>
        <v>1.0170627753858423</v>
      </c>
      <c r="E19" s="27">
        <f>IF(13008.34368="","-",13008.34368/1219862.28767*100)</f>
        <v>1.066378050332764</v>
      </c>
      <c r="F19" s="27">
        <f>IF(OR(1157424.09208="",17478.66766="",10892.87848=""),"-",(10892.87848-17478.66766)/1157424.09208*100)</f>
        <v>-0.5690039826425866</v>
      </c>
      <c r="G19" s="27">
        <f>IF(OR(1071013.38714="",13008.34368="",10892.87848=""),"-",(13008.34368-10892.87848)/1071013.38714*100)</f>
        <v>0.19751995870463127</v>
      </c>
    </row>
    <row r="20" spans="1:7" s="29" customFormat="1" ht="15">
      <c r="A20" s="50" t="s">
        <v>123</v>
      </c>
      <c r="B20" s="27">
        <f>IF(11578.77861="","-",11578.77861)</f>
        <v>11578.77861</v>
      </c>
      <c r="C20" s="27" t="s">
        <v>212</v>
      </c>
      <c r="D20" s="27">
        <f>IF(3803.8615="","-",3803.8615/1071013.38714*100)</f>
        <v>0.35516470155034296</v>
      </c>
      <c r="E20" s="27">
        <f>IF(11578.77861="","-",11578.77861/1219862.28767*100)</f>
        <v>0.9491873572152202</v>
      </c>
      <c r="F20" s="27">
        <f>IF(OR(1157424.09208="",7658.42614="",3803.8615=""),"-",(3803.8615-7658.42614)/1157424.09208*100)</f>
        <v>-0.33302958408900785</v>
      </c>
      <c r="G20" s="27">
        <f>IF(OR(1071013.38714="",11578.77861="",3803.8615=""),"-",(11578.77861-3803.8615)/1071013.38714*100)</f>
        <v>0.7259402359817266</v>
      </c>
    </row>
    <row r="21" spans="1:7" s="29" customFormat="1" ht="15">
      <c r="A21" s="50" t="s">
        <v>124</v>
      </c>
      <c r="B21" s="27">
        <f>IF(7146.6219="","-",7146.6219)</f>
        <v>7146.6219</v>
      </c>
      <c r="C21" s="27">
        <f>IF(OR(5389.72373="",7146.6219=""),"-",7146.6219/5389.72373*100)</f>
        <v>132.59718416030947</v>
      </c>
      <c r="D21" s="27">
        <f>IF(5389.72373="","-",5389.72373/1071013.38714*100)</f>
        <v>0.503235888058556</v>
      </c>
      <c r="E21" s="27">
        <f>IF(7146.6219="","-",7146.6219/1219862.28767*100)</f>
        <v>0.5858548110090703</v>
      </c>
      <c r="F21" s="27">
        <f>IF(OR(1157424.09208="",5645.74146="",5389.72373=""),"-",(5389.72373-5645.74146)/1157424.09208*100)</f>
        <v>-0.02211961300545529</v>
      </c>
      <c r="G21" s="27">
        <f>IF(OR(1071013.38714="",7146.6219="",5389.72373=""),"-",(7146.6219-5389.72373)/1071013.38714*100)</f>
        <v>0.16404072919121632</v>
      </c>
    </row>
    <row r="22" spans="1:7" s="16" customFormat="1" ht="15">
      <c r="A22" s="50" t="s">
        <v>127</v>
      </c>
      <c r="B22" s="27">
        <f>IF(5074.92414="","-",5074.92414)</f>
        <v>5074.92414</v>
      </c>
      <c r="C22" s="27">
        <f>IF(OR(4143.98763="",5074.92414=""),"-",5074.92414/4143.98763*100)</f>
        <v>122.46475117977127</v>
      </c>
      <c r="D22" s="27">
        <f>IF(4143.98763="","-",4143.98763/1071013.38714*100)</f>
        <v>0.38692211318347497</v>
      </c>
      <c r="E22" s="27">
        <f>IF(5074.92414="","-",5074.92414/1219862.28767*100)</f>
        <v>0.41602434892002177</v>
      </c>
      <c r="F22" s="27">
        <f>IF(OR(1157424.09208="",5031.81405="",4143.98763=""),"-",(4143.98763-5031.81405)/1157424.09208*100)</f>
        <v>-0.07670709691246297</v>
      </c>
      <c r="G22" s="27">
        <f>IF(OR(1071013.38714="",5074.92414="",4143.98763=""),"-",(5074.92414-4143.98763)/1071013.38714*100)</f>
        <v>0.08692108998618062</v>
      </c>
    </row>
    <row r="23" spans="1:7" s="16" customFormat="1" ht="15">
      <c r="A23" s="50" t="s">
        <v>126</v>
      </c>
      <c r="B23" s="27">
        <f>IF(4891.48898="","-",4891.48898)</f>
        <v>4891.48898</v>
      </c>
      <c r="C23" s="27">
        <f>IF(OR(4616.17035="",4891.48898=""),"-",4891.48898/4616.17035*100)</f>
        <v>105.9642216193343</v>
      </c>
      <c r="D23" s="27">
        <f>IF(4616.17035="","-",4616.17035/1071013.38714*100)</f>
        <v>0.4310095845138663</v>
      </c>
      <c r="E23" s="27">
        <f>IF(4891.48898="","-",4891.48898/1219862.28767*100)</f>
        <v>0.4009869826653136</v>
      </c>
      <c r="F23" s="27">
        <f>IF(OR(1157424.09208="",5533.18293="",4616.17035=""),"-",(4616.17035-5533.18293)/1157424.09208*100)</f>
        <v>-0.07922874478550397</v>
      </c>
      <c r="G23" s="27">
        <f>IF(OR(1071013.38714="",4891.48898="",4616.17035=""),"-",(4891.48898-4616.17035)/1071013.38714*100)</f>
        <v>0.025706366820978946</v>
      </c>
    </row>
    <row r="24" spans="1:7" s="29" customFormat="1" ht="15">
      <c r="A24" s="50" t="s">
        <v>130</v>
      </c>
      <c r="B24" s="27">
        <f>IF(4831.00119="","-",4831.00119)</f>
        <v>4831.00119</v>
      </c>
      <c r="C24" s="27" t="s">
        <v>242</v>
      </c>
      <c r="D24" s="27">
        <f>IF(1760.19277="","-",1760.19277/1071013.38714*100)</f>
        <v>0.16434834439374868</v>
      </c>
      <c r="E24" s="27">
        <f>IF(4831.00119="","-",4831.00119/1219862.28767*100)</f>
        <v>0.3960284073727258</v>
      </c>
      <c r="F24" s="27">
        <f>IF(OR(1157424.09208="",5777.46624="",1760.19277=""),"-",(1760.19277-5777.46624)/1157424.09208*100)</f>
        <v>-0.3470874243494086</v>
      </c>
      <c r="G24" s="27">
        <f>IF(OR(1071013.38714="",4831.00119="",1760.19277=""),"-",(4831.00119-1760.19277)/1071013.38714*100)</f>
        <v>0.2867198913545039</v>
      </c>
    </row>
    <row r="25" spans="1:7" s="29" customFormat="1" ht="15">
      <c r="A25" s="50" t="s">
        <v>125</v>
      </c>
      <c r="B25" s="27">
        <f>IF(4615.84547="","-",4615.84547)</f>
        <v>4615.84547</v>
      </c>
      <c r="C25" s="27">
        <f>IF(OR(3078.67334="",4615.84547=""),"-",4615.84547/3078.67334*100)</f>
        <v>149.9296924434341</v>
      </c>
      <c r="D25" s="27">
        <f>IF(3078.67334="","-",3078.67334/1071013.38714*100)</f>
        <v>0.2874542351166301</v>
      </c>
      <c r="E25" s="27">
        <f>IF(4615.84547="","-",4615.84547/1219862.28767*100)</f>
        <v>0.3783907016927709</v>
      </c>
      <c r="F25" s="27">
        <f>IF(OR(1157424.09208="",2984.0283="",3078.67334=""),"-",(3078.67334-2984.0283)/1157424.09208*100)</f>
        <v>0.008177213576910588</v>
      </c>
      <c r="G25" s="27">
        <f>IF(OR(1071013.38714="",4615.84547="",3078.67334=""),"-",(4615.84547-3078.67334)/1071013.38714*100)</f>
        <v>0.1435250155093594</v>
      </c>
    </row>
    <row r="26" spans="1:7" s="16" customFormat="1" ht="15">
      <c r="A26" s="50" t="s">
        <v>128</v>
      </c>
      <c r="B26" s="27">
        <f>IF(2595.08388="","-",2595.08388)</f>
        <v>2595.08388</v>
      </c>
      <c r="C26" s="27">
        <f>IF(OR(2853.37687="",2595.08388=""),"-",2595.08388/2853.37687*100)</f>
        <v>90.94781370397806</v>
      </c>
      <c r="D26" s="27">
        <f>IF(2853.37687="","-",2853.37687/1071013.38714*100)</f>
        <v>0.26641841309001435</v>
      </c>
      <c r="E26" s="27">
        <f>IF(2595.08388="","-",2595.08388/1219862.28767*100)</f>
        <v>0.21273580683904444</v>
      </c>
      <c r="F26" s="27">
        <f>IF(OR(1157424.09208="",8086.1004="",2853.37687=""),"-",(2853.37687-8086.1004)/1157424.09208*100)</f>
        <v>-0.45210079570715545</v>
      </c>
      <c r="G26" s="27">
        <f>IF(OR(1071013.38714="",2595.08388="",2853.37687=""),"-",(2595.08388-2853.37687)/1071013.38714*100)</f>
        <v>-0.024116691079813415</v>
      </c>
    </row>
    <row r="27" spans="1:7" s="16" customFormat="1" ht="15">
      <c r="A27" s="50" t="s">
        <v>129</v>
      </c>
      <c r="B27" s="27">
        <f>IF(1804.41385="","-",1804.41385)</f>
        <v>1804.41385</v>
      </c>
      <c r="C27" s="27">
        <f>IF(OR(2272.96704="",1804.41385=""),"-",1804.41385/2272.96704*100)</f>
        <v>79.38583438499838</v>
      </c>
      <c r="D27" s="27">
        <f>IF(2272.96704="","-",2272.96704/1071013.38714*100)</f>
        <v>0.21222582904119047</v>
      </c>
      <c r="E27" s="27">
        <f>IF(1804.41385="","-",1804.41385/1219862.28767*100)</f>
        <v>0.14791947158613483</v>
      </c>
      <c r="F27" s="27">
        <f>IF(OR(1157424.09208="",2156.18307="",2272.96704=""),"-",(2272.96704-2156.18307)/1157424.09208*100)</f>
        <v>0.010089989555179223</v>
      </c>
      <c r="G27" s="27">
        <f>IF(OR(1071013.38714="",1804.41385="",2272.96704=""),"-",(1804.41385-2272.96704)/1071013.38714*100)</f>
        <v>-0.04374858387636121</v>
      </c>
    </row>
    <row r="28" spans="1:7" s="16" customFormat="1" ht="15">
      <c r="A28" s="50" t="s">
        <v>131</v>
      </c>
      <c r="B28" s="27">
        <f>IF(1059.94841="","-",1059.94841)</f>
        <v>1059.94841</v>
      </c>
      <c r="C28" s="27">
        <f>IF(OR(902.30957="",1059.94841=""),"-",1059.94841/902.30957*100)</f>
        <v>117.470593822916</v>
      </c>
      <c r="D28" s="27">
        <f>IF(902.30957="","-",902.30957/1071013.38714*100)</f>
        <v>0.0842482064962324</v>
      </c>
      <c r="E28" s="27">
        <f>IF(1059.94841="","-",1059.94841/1219862.28767*100)</f>
        <v>0.08689082535902935</v>
      </c>
      <c r="F28" s="27">
        <f>IF(OR(1157424.09208="",1572.00907="",902.30957=""),"-",(902.30957-1572.00907)/1157424.09208*100)</f>
        <v>-0.057861202698527466</v>
      </c>
      <c r="G28" s="27">
        <f>IF(OR(1071013.38714="",1059.94841="",902.30957=""),"-",(1059.94841-902.30957)/1071013.38714*100)</f>
        <v>0.014718661960048295</v>
      </c>
    </row>
    <row r="29" spans="1:7" s="16" customFormat="1" ht="15">
      <c r="A29" s="50" t="s">
        <v>133</v>
      </c>
      <c r="B29" s="27">
        <f>IF(875.22353="","-",875.22353)</f>
        <v>875.22353</v>
      </c>
      <c r="C29" s="27" t="s">
        <v>184</v>
      </c>
      <c r="D29" s="27">
        <f>IF(420.9937="","-",420.9937/1071013.38714*100)</f>
        <v>0.03930797738431713</v>
      </c>
      <c r="E29" s="27">
        <f>IF(875.22353="","-",875.22353/1219862.28767*100)</f>
        <v>0.07174773241590426</v>
      </c>
      <c r="F29" s="27">
        <f>IF(OR(1157424.09208="",1800.17384="",420.9937=""),"-",(420.9937-1800.17384)/1157424.09208*100)</f>
        <v>-0.11915944634619478</v>
      </c>
      <c r="G29" s="27">
        <f>IF(OR(1071013.38714="",875.22353="",420.9937=""),"-",(875.22353-420.9937)/1071013.38714*100)</f>
        <v>0.042411218706888514</v>
      </c>
    </row>
    <row r="30" spans="1:7" s="16" customFormat="1" ht="15">
      <c r="A30" s="50" t="s">
        <v>136</v>
      </c>
      <c r="B30" s="27">
        <f>IF(527.181="","-",527.181)</f>
        <v>527.181</v>
      </c>
      <c r="C30" s="27" t="s">
        <v>208</v>
      </c>
      <c r="D30" s="27">
        <f>IF(169.16302="","-",169.16302/1071013.38714*100)</f>
        <v>0.015794669051871286</v>
      </c>
      <c r="E30" s="27">
        <f>IF(527.181="","-",527.181/1219862.28767*100)</f>
        <v>0.04321643560331249</v>
      </c>
      <c r="F30" s="27">
        <f>IF(OR(1157424.09208="",41.33259="",169.16302=""),"-",(169.16302-41.33259)/1157424.09208*100)</f>
        <v>0.011044389940965947</v>
      </c>
      <c r="G30" s="27">
        <f>IF(OR(1071013.38714="",527.181="",169.16302=""),"-",(527.181-169.16302)/1071013.38714*100)</f>
        <v>0.03342796498146861</v>
      </c>
    </row>
    <row r="31" spans="1:7" s="16" customFormat="1" ht="15">
      <c r="A31" s="50" t="s">
        <v>135</v>
      </c>
      <c r="B31" s="27">
        <f>IF(247.44813="","-",247.44813)</f>
        <v>247.44813</v>
      </c>
      <c r="C31" s="27">
        <f>IF(OR(368.05934="",247.44813=""),"-",247.44813/368.05934*100)</f>
        <v>67.23049875598863</v>
      </c>
      <c r="D31" s="27">
        <f>IF(368.05934="","-",368.05934/1071013.38714*100)</f>
        <v>0.03436552188977338</v>
      </c>
      <c r="E31" s="27">
        <f>IF(247.44813="","-",247.44813/1219862.28767*100)</f>
        <v>0.02028492334758858</v>
      </c>
      <c r="F31" s="27">
        <f>IF(OR(1157424.09208="",199.14684="",368.05934=""),"-",(368.05934-199.14684)/1157424.09208*100)</f>
        <v>0.014593829621815487</v>
      </c>
      <c r="G31" s="27">
        <f>IF(OR(1071013.38714="",247.44813="",368.05934=""),"-",(247.44813-368.05934)/1071013.38714*100)</f>
        <v>-0.011261410123180287</v>
      </c>
    </row>
    <row r="32" spans="1:7" s="16" customFormat="1" ht="15">
      <c r="A32" s="50" t="s">
        <v>201</v>
      </c>
      <c r="B32" s="27">
        <f>IF(210.52149="","-",210.52149)</f>
        <v>210.52149</v>
      </c>
      <c r="C32" s="27" t="s">
        <v>215</v>
      </c>
      <c r="D32" s="27">
        <f>IF(133.91955="","-",133.91955/1071013.38714*100)</f>
        <v>0.012504003368026472</v>
      </c>
      <c r="E32" s="27">
        <f>IF(210.52149="","-",210.52149/1219862.28767*100)</f>
        <v>0.017257807879453912</v>
      </c>
      <c r="F32" s="27">
        <f>IF(OR(1157424.09208="",149.89094="",133.91955=""),"-",(133.91955-149.89094)/1157424.09208*100)</f>
        <v>-0.001379908203854468</v>
      </c>
      <c r="G32" s="27">
        <f>IF(OR(1071013.38714="",210.52149="",133.91955=""),"-",(210.52149-133.91955)/1071013.38714*100)</f>
        <v>0.007152285948969826</v>
      </c>
    </row>
    <row r="33" spans="1:7" s="16" customFormat="1" ht="15">
      <c r="A33" s="50" t="s">
        <v>132</v>
      </c>
      <c r="B33" s="27">
        <f>IF(76.3035="","-",76.3035)</f>
        <v>76.3035</v>
      </c>
      <c r="C33" s="27" t="s">
        <v>214</v>
      </c>
      <c r="D33" s="27">
        <f>IF(44.07987="","-",44.07987/1071013.38714*100)</f>
        <v>0.00411571606193546</v>
      </c>
      <c r="E33" s="27">
        <f>IF(76.3035="","-",76.3035/1219862.28767*100)</f>
        <v>0.006255091314097728</v>
      </c>
      <c r="F33" s="27">
        <f>IF(OR(1157424.09208="",62.28984="",44.07987=""),"-",(44.07987-62.28984)/1157424.09208*100)</f>
        <v>-0.001573318727734012</v>
      </c>
      <c r="G33" s="27">
        <f>IF(OR(1071013.38714="",76.3035="",44.07987=""),"-",(76.3035-44.07987)/1071013.38714*100)</f>
        <v>0.0030087046891214826</v>
      </c>
    </row>
    <row r="34" spans="1:7" s="16" customFormat="1" ht="15">
      <c r="A34" s="50" t="s">
        <v>134</v>
      </c>
      <c r="B34" s="27">
        <f>IF(66.77642="","-",66.77642)</f>
        <v>66.77642</v>
      </c>
      <c r="C34" s="27">
        <f>IF(OR(283.36133="",66.77642=""),"-",66.77642/283.36133*100)</f>
        <v>23.565819655067262</v>
      </c>
      <c r="D34" s="27">
        <f>IF(283.36133="","-",283.36133/1071013.38714*100)</f>
        <v>0.02645730981539634</v>
      </c>
      <c r="E34" s="27">
        <f>IF(66.77642="","-",66.77642/1219862.28767*100)</f>
        <v>0.005474094959320893</v>
      </c>
      <c r="F34" s="27">
        <f>IF(OR(1157424.09208="",81.53351="",283.36133=""),"-",(283.36133-81.53351)/1157424.09208*100)</f>
        <v>0.017437672274239292</v>
      </c>
      <c r="G34" s="27">
        <f>IF(OR(1071013.38714="",66.77642="",283.36133=""),"-",(66.77642-283.36133)/1071013.38714*100)</f>
        <v>-0.02022242789871763</v>
      </c>
    </row>
    <row r="35" spans="1:7" s="16" customFormat="1" ht="15">
      <c r="A35" s="50" t="s">
        <v>137</v>
      </c>
      <c r="B35" s="27">
        <f>IF(27.10437="","-",27.10437)</f>
        <v>27.10437</v>
      </c>
      <c r="C35" s="27">
        <f>IF(OR(89.31444="",27.10437=""),"-",27.10437/89.31444*100)</f>
        <v>30.34713087827679</v>
      </c>
      <c r="D35" s="27">
        <f>IF(89.31444="","-",89.31444/1071013.38714*100)</f>
        <v>0.008339245902285351</v>
      </c>
      <c r="E35" s="27">
        <f>IF(27.10437="","-",27.10437/1219862.28767*100)</f>
        <v>0.00222192048020197</v>
      </c>
      <c r="F35" s="27">
        <f>IF(OR(1157424.09208="",353.50797="",89.31444=""),"-",(89.31444-353.50797)/1157424.09208*100)</f>
        <v>-0.02282599194260933</v>
      </c>
      <c r="G35" s="27">
        <f>IF(OR(1071013.38714="",27.10437="",89.31444=""),"-",(27.10437-89.31444)/1071013.38714*100)</f>
        <v>-0.0058085240340574815</v>
      </c>
    </row>
    <row r="36" spans="1:7" s="16" customFormat="1" ht="15">
      <c r="A36" s="50" t="s">
        <v>138</v>
      </c>
      <c r="B36" s="27">
        <f>IF(15.78333="","-",15.78333)</f>
        <v>15.78333</v>
      </c>
      <c r="C36" s="27">
        <f>IF(OR(27.28626="",15.78333=""),"-",15.78333/27.28626*100)</f>
        <v>57.84350805130495</v>
      </c>
      <c r="D36" s="27">
        <f>IF(27.28626="","-",27.28626/1071013.38714*100)</f>
        <v>0.002547704849223627</v>
      </c>
      <c r="E36" s="27">
        <f>IF(15.78333="","-",15.78333/1219862.28767*100)</f>
        <v>0.0012938616235236664</v>
      </c>
      <c r="F36" s="27">
        <f>IF(OR(1157424.09208="",293.31069="",27.28626=""),"-",(27.28626-293.31069)/1157424.09208*100)</f>
        <v>-0.022984179422248684</v>
      </c>
      <c r="G36" s="27">
        <f>IF(OR(1071013.38714="",15.78333="",27.28626=""),"-",(15.78333-27.28626)/1071013.38714*100)</f>
        <v>-0.001074022989639472</v>
      </c>
    </row>
    <row r="37" spans="1:7" s="16" customFormat="1" ht="14.25" customHeight="1">
      <c r="A37" s="15" t="s">
        <v>14</v>
      </c>
      <c r="B37" s="26">
        <f>IF(255236.24338="","-",255236.24338)</f>
        <v>255236.24338</v>
      </c>
      <c r="C37" s="26">
        <f>IF(222785.47643="","-",255236.24338/222785.47643*100)</f>
        <v>114.56592569228638</v>
      </c>
      <c r="D37" s="26">
        <f>IF(222785.47643="","-",222785.47643/1071013.38714*100)</f>
        <v>20.801371776026</v>
      </c>
      <c r="E37" s="26">
        <f>IF(255236.24338="","-",255236.24338/1219862.28767*100)</f>
        <v>20.92336536343905</v>
      </c>
      <c r="F37" s="26">
        <f>IF(1157424.09208="","-",(222785.47643-292787.24444)/1157424.09208*100)</f>
        <v>-6.04806556982931</v>
      </c>
      <c r="G37" s="26">
        <f>IF(1071013.38714="","-",(255236.24338-222785.47643)/1071013.38714*100)</f>
        <v>3.0299123558721783</v>
      </c>
    </row>
    <row r="38" spans="1:7" s="30" customFormat="1" ht="14.25" customHeight="1">
      <c r="A38" s="50" t="s">
        <v>210</v>
      </c>
      <c r="B38" s="27">
        <f>IF(138312.08169="","-",138312.08169)</f>
        <v>138312.08169</v>
      </c>
      <c r="C38" s="27">
        <f>IF(OR(118553.36046="",138312.08169=""),"-",138312.08169/118553.36046*100)</f>
        <v>116.66652143248743</v>
      </c>
      <c r="D38" s="27">
        <f>IF(118553.36046="","-",118553.36046/1071013.38714*100)</f>
        <v>11.06926971067851</v>
      </c>
      <c r="E38" s="27">
        <f>IF(138312.08169="","-",138312.08169/1219862.28767*100)</f>
        <v>11.338335735764339</v>
      </c>
      <c r="F38" s="27">
        <f>IF(OR(1157424.09208="",136727.53789="",118553.36046=""),"-",(118553.36046-136727.53789)/1157424.09208*100)</f>
        <v>-1.5702262942651646</v>
      </c>
      <c r="G38" s="27">
        <f>IF(OR(1071013.38714="",138312.08169="",118553.36046=""),"-",(138312.08169-118553.36046)/1071013.38714*100)</f>
        <v>1.844862208750075</v>
      </c>
    </row>
    <row r="39" spans="1:7" s="30" customFormat="1" ht="14.25" customHeight="1">
      <c r="A39" s="50" t="s">
        <v>15</v>
      </c>
      <c r="B39" s="27">
        <f>IF(65073.82961="","-",65073.82961)</f>
        <v>65073.82961</v>
      </c>
      <c r="C39" s="27">
        <f>IF(OR(63053.26624="",65073.82961=""),"-",65073.82961/63053.26624*100)</f>
        <v>103.20453402415208</v>
      </c>
      <c r="D39" s="27">
        <f>IF(63053.26624="","-",63053.26624/1071013.38714*100)</f>
        <v>5.887252857630046</v>
      </c>
      <c r="E39" s="27">
        <f>IF(65073.82961="","-",65073.82961/1219862.28767*100)</f>
        <v>5.334522615195718</v>
      </c>
      <c r="F39" s="27">
        <f>IF(OR(1157424.09208="",87573.4834="",63053.26624=""),"-",(63053.26624-87573.4834)/1157424.09208*100)</f>
        <v>-2.118516223032377</v>
      </c>
      <c r="G39" s="27">
        <f>IF(OR(1071013.38714="",65073.82961="",63053.26624=""),"-",(65073.82961-63053.26624)/1071013.38714*100)</f>
        <v>0.18865902091062106</v>
      </c>
    </row>
    <row r="40" spans="1:7" s="30" customFormat="1" ht="14.25" customHeight="1">
      <c r="A40" s="50" t="s">
        <v>16</v>
      </c>
      <c r="B40" s="27">
        <f>IF(35256.52395="","-",35256.52395)</f>
        <v>35256.52395</v>
      </c>
      <c r="C40" s="27">
        <f>IF(OR(27578.55348="",35256.52395=""),"-",35256.52395/27578.55348*100)</f>
        <v>127.84036688352086</v>
      </c>
      <c r="D40" s="27">
        <f>IF(27578.55348="","-",27578.55348/1071013.38714*100)</f>
        <v>2.5749961495481295</v>
      </c>
      <c r="E40" s="27">
        <f>IF(35256.52395="","-",35256.52395/1219862.28767*100)</f>
        <v>2.8902052556556845</v>
      </c>
      <c r="F40" s="27">
        <f>IF(OR(1157424.09208="",22447.8787="",27578.55348=""),"-",(27578.55348-22447.8787)/1157424.09208*100)</f>
        <v>0.4432839108074631</v>
      </c>
      <c r="G40" s="27">
        <f>IF(OR(1071013.38714="",35256.52395="",27578.55348=""),"-",(35256.52395-27578.55348)/1071013.38714*100)</f>
        <v>0.7168883752707341</v>
      </c>
    </row>
    <row r="41" spans="1:7" s="25" customFormat="1" ht="14.25" customHeight="1">
      <c r="A41" s="50" t="s">
        <v>17</v>
      </c>
      <c r="B41" s="27">
        <f>IF(8648.02873="","-",8648.02873)</f>
        <v>8648.02873</v>
      </c>
      <c r="C41" s="27">
        <f>IF(OR(7658.62462="",8648.02873=""),"-",8648.02873/7658.62462*100)</f>
        <v>112.9188223616057</v>
      </c>
      <c r="D41" s="27">
        <f>IF(7658.62462="","-",7658.62462/1071013.38714*100)</f>
        <v>0.7150820626482873</v>
      </c>
      <c r="E41" s="27">
        <f>IF(8648.02873="","-",8648.02873/1219862.28767*100)</f>
        <v>0.7089348377609231</v>
      </c>
      <c r="F41" s="27">
        <f>IF(OR(1157424.09208="",37980.3203="",7658.62462=""),"-",(7658.62462-37980.3203)/1157424.09208*100)</f>
        <v>-2.619756741499052</v>
      </c>
      <c r="G41" s="27">
        <f>IF(OR(1071013.38714="",8648.02873="",7658.62462=""),"-",(8648.02873-7658.62462)/1071013.38714*100)</f>
        <v>0.09238018141323831</v>
      </c>
    </row>
    <row r="42" spans="1:7" s="30" customFormat="1" ht="14.25" customHeight="1">
      <c r="A42" s="50" t="s">
        <v>19</v>
      </c>
      <c r="B42" s="27">
        <f>IF(3390.15549="","-",3390.15549)</f>
        <v>3390.15549</v>
      </c>
      <c r="C42" s="27" t="s">
        <v>215</v>
      </c>
      <c r="D42" s="27">
        <f>IF(2085.14447="","-",2085.14447/1071013.38714*100)</f>
        <v>0.19468892686468686</v>
      </c>
      <c r="E42" s="27">
        <f>IF(3390.15549="","-",3390.15549/1219862.28767*100)</f>
        <v>0.27791296806751625</v>
      </c>
      <c r="F42" s="27">
        <f>IF(OR(1157424.09208="",3623.67375="",2085.14447=""),"-",(2085.14447-3623.67375)/1157424.09208*100)</f>
        <v>-0.13292701357504297</v>
      </c>
      <c r="G42" s="27">
        <f>IF(OR(1071013.38714="",3390.15549="",2085.14447=""),"-",(3390.15549-2085.14447)/1071013.38714*100)</f>
        <v>0.12184824537859976</v>
      </c>
    </row>
    <row r="43" spans="1:7" s="25" customFormat="1" ht="14.25" customHeight="1">
      <c r="A43" s="50" t="s">
        <v>18</v>
      </c>
      <c r="B43" s="27">
        <f>IF(2736.45376="","-",2736.45376)</f>
        <v>2736.45376</v>
      </c>
      <c r="C43" s="27">
        <f>IF(OR(2213.58008="",2736.45376=""),"-",2736.45376/2213.58008*100)</f>
        <v>123.62117750896996</v>
      </c>
      <c r="D43" s="27">
        <f>IF(2213.58008="","-",2213.58008/1071013.38714*100)</f>
        <v>0.2066808974172651</v>
      </c>
      <c r="E43" s="27">
        <f>IF(2736.45376="","-",2736.45376/1219862.28767*100)</f>
        <v>0.22432481007563307</v>
      </c>
      <c r="F43" s="27">
        <f>IF(OR(1157424.09208="",1589.47448="",2213.58008=""),"-",(2213.58008-1589.47448)/1157424.09208*100)</f>
        <v>0.05392194652509985</v>
      </c>
      <c r="G43" s="27">
        <f>IF(OR(1071013.38714="",2736.45376="",2213.58008=""),"-",(2736.45376-2213.58008)/1071013.38714*100)</f>
        <v>0.048820461656064344</v>
      </c>
    </row>
    <row r="44" spans="1:7" s="25" customFormat="1" ht="14.25" customHeight="1">
      <c r="A44" s="50" t="s">
        <v>20</v>
      </c>
      <c r="B44" s="27">
        <f>IF(531.21992="","-",531.21992)</f>
        <v>531.21992</v>
      </c>
      <c r="C44" s="27">
        <f>IF(OR(485.63494="",531.21992=""),"-",531.21992/485.63494*100)</f>
        <v>109.38667633757984</v>
      </c>
      <c r="D44" s="27">
        <f>IF(485.63494="","-",485.63494/1071013.38714*100)</f>
        <v>0.04534349858098637</v>
      </c>
      <c r="E44" s="27">
        <f>IF(531.21992="","-",531.21992/1219862.28767*100)</f>
        <v>0.043547531993521786</v>
      </c>
      <c r="F44" s="27">
        <f>IF(OR(1157424.09208="",866.70311="",485.63494=""),"-",(485.63494-866.70311)/1157424.09208*100)</f>
        <v>-0.03292381527286033</v>
      </c>
      <c r="G44" s="27">
        <f>IF(OR(1071013.38714="",531.21992="",485.63494=""),"-",(531.21992-485.63494)/1071013.38714*100)</f>
        <v>0.004256247451932296</v>
      </c>
    </row>
    <row r="45" spans="1:7" s="25" customFormat="1" ht="14.25" customHeight="1">
      <c r="A45" s="50" t="s">
        <v>22</v>
      </c>
      <c r="B45" s="27">
        <f>IF(524.2461="","-",524.2461)</f>
        <v>524.2461</v>
      </c>
      <c r="C45" s="27">
        <f>IF(OR(419.86632="",524.2461=""),"-",524.2461/419.86632*100)</f>
        <v>124.86024123106611</v>
      </c>
      <c r="D45" s="27">
        <f>IF(419.86632="","-",419.86632/1071013.38714*100)</f>
        <v>0.03920271446103934</v>
      </c>
      <c r="E45" s="27">
        <f>IF(524.2461="","-",524.2461/1219862.28767*100)</f>
        <v>0.04297584287168489</v>
      </c>
      <c r="F45" s="27">
        <f>IF(OR(1157424.09208="",698.07952="",419.86632=""),"-",(419.86632-698.07952)/1157424.09208*100)</f>
        <v>-0.024037273969304086</v>
      </c>
      <c r="G45" s="27">
        <f>IF(OR(1071013.38714="",524.2461="",419.86632=""),"-",(524.2461-419.86632)/1071013.38714*100)</f>
        <v>0.009745889384140418</v>
      </c>
    </row>
    <row r="46" spans="1:7" s="25" customFormat="1" ht="14.25" customHeight="1">
      <c r="A46" s="50" t="s">
        <v>21</v>
      </c>
      <c r="B46" s="27">
        <f>IF(467.20791="","-",467.20791)</f>
        <v>467.20791</v>
      </c>
      <c r="C46" s="27">
        <f>IF(OR(476.21525="",467.20791=""),"-",467.20791/476.21525*100)</f>
        <v>98.10855700232194</v>
      </c>
      <c r="D46" s="27">
        <f>IF(476.21525="","-",476.21525/1071013.38714*100)</f>
        <v>0.04446398669877227</v>
      </c>
      <c r="E46" s="27">
        <f>IF(467.20791="","-",467.20791/1219862.28767*100)</f>
        <v>0.03830005359804927</v>
      </c>
      <c r="F46" s="27">
        <f>IF(OR(1157424.09208="",1019.23266="",476.21525=""),"-",(476.21525-1019.23266)/1157424.09208*100)</f>
        <v>-0.046916027903319904</v>
      </c>
      <c r="G46" s="27">
        <f>IF(OR(1071013.38714="",467.20791="",476.21525=""),"-",(467.20791-476.21525)/1071013.38714*100)</f>
        <v>-0.0008410109629024259</v>
      </c>
    </row>
    <row r="47" spans="1:7" s="25" customFormat="1" ht="14.25" customHeight="1">
      <c r="A47" s="50" t="s">
        <v>23</v>
      </c>
      <c r="B47" s="27">
        <f>IF(296.49622="","-",296.49622)</f>
        <v>296.49622</v>
      </c>
      <c r="C47" s="27">
        <f>IF(OR(261.23057="",296.49622=""),"-",296.49622/261.23057*100)</f>
        <v>113.49981742182777</v>
      </c>
      <c r="D47" s="27">
        <f>IF(261.23057="","-",261.23057/1071013.38714*100)</f>
        <v>0.024390971498272473</v>
      </c>
      <c r="E47" s="27">
        <f>IF(296.49622="","-",296.49622/1219862.28767*100)</f>
        <v>0.0243057124559792</v>
      </c>
      <c r="F47" s="27">
        <f>IF(OR(1157424.09208="",260.86063="",261.23057=""),"-",(261.23057-260.86063)/1157424.09208*100)</f>
        <v>3.196235524484102E-05</v>
      </c>
      <c r="G47" s="27">
        <f>IF(OR(1071013.38714="",296.49622="",261.23057=""),"-",(296.49622-261.23057)/1071013.38714*100)</f>
        <v>0.0032927366196768334</v>
      </c>
    </row>
    <row r="48" spans="1:7" s="16" customFormat="1" ht="15">
      <c r="A48" s="15" t="s">
        <v>24</v>
      </c>
      <c r="B48" s="26">
        <f>IF(186340.14599="","-",186340.14599)</f>
        <v>186340.14599</v>
      </c>
      <c r="C48" s="26">
        <f>IF(166852.86161="","-",186340.14599/166852.86161*100)</f>
        <v>111.6793228428706</v>
      </c>
      <c r="D48" s="26">
        <f>IF(166852.86161="","-",166852.86161/1071013.38714*100)</f>
        <v>15.578970684536312</v>
      </c>
      <c r="E48" s="26">
        <f>IF(186340.14599="","-",186340.14599/1219862.28767*100)</f>
        <v>15.275506741496148</v>
      </c>
      <c r="F48" s="26">
        <f>IF(1157424.09208="","-",(166852.86161-142939.94824)/1157424.09208*100)</f>
        <v>2.0660459319648545</v>
      </c>
      <c r="G48" s="26">
        <f>IF(1071013.38714="","-",(186340.14599-166852.86161)/1071013.38714*100)</f>
        <v>1.8195182818431637</v>
      </c>
    </row>
    <row r="49" spans="1:7" s="29" customFormat="1" ht="15">
      <c r="A49" s="50" t="s">
        <v>139</v>
      </c>
      <c r="B49" s="27">
        <f>IF(54968.7025="","-",54968.7025)</f>
        <v>54968.7025</v>
      </c>
      <c r="C49" s="27">
        <f>IF(OR(39628.1068="",54968.7025=""),"-",54968.7025/39628.1068*100)</f>
        <v>138.71140192849182</v>
      </c>
      <c r="D49" s="27">
        <f>IF(39628.1068="","-",39628.1068/1071013.38714*100)</f>
        <v>3.7000570932004533</v>
      </c>
      <c r="E49" s="27">
        <f>IF(54968.7025="","-",54968.7025/1219862.28767*100)</f>
        <v>4.506140000851495</v>
      </c>
      <c r="F49" s="27">
        <f>IF(OR(1157424.09208="",37020.9036199999="",39628.1068=""),"-",(39628.1068-37020.9036199999)/1157424.09208*100)</f>
        <v>0.2252591075164773</v>
      </c>
      <c r="G49" s="27">
        <f>IF(OR(1071013.38714="",54968.7025="",39628.1068=""),"-",(54968.7025-39628.1068)/1071013.38714*100)</f>
        <v>1.4323439729324987</v>
      </c>
    </row>
    <row r="50" spans="1:7" s="31" customFormat="1" ht="15">
      <c r="A50" s="50" t="s">
        <v>206</v>
      </c>
      <c r="B50" s="27">
        <f>IF(14603.71641="","-",14603.71641)</f>
        <v>14603.71641</v>
      </c>
      <c r="C50" s="27">
        <f>IF(OR(14678.56144="",14603.71641=""),"-",14603.71641/14678.56144*100)</f>
        <v>99.49010650460582</v>
      </c>
      <c r="D50" s="27">
        <f>IF(14678.56144="","-",14678.56144/1071013.38714*100)</f>
        <v>1.3705301554817313</v>
      </c>
      <c r="E50" s="27">
        <f>IF(14603.71641="","-",14603.71641/1219862.28767*100)</f>
        <v>1.1971610695412065</v>
      </c>
      <c r="F50" s="27">
        <f>IF(OR(1157424.09208="",22519.12206="",14678.56144=""),"-",(14678.56144-22519.12206)/1157424.09208*100)</f>
        <v>-0.6774146722580983</v>
      </c>
      <c r="G50" s="27">
        <f>IF(OR(1071013.38714="",14603.71641="",14678.56144=""),"-",(14603.71641-14678.56144)/1071013.38714*100)</f>
        <v>-0.006988244115217118</v>
      </c>
    </row>
    <row r="51" spans="1:7" s="16" customFormat="1" ht="15">
      <c r="A51" s="50" t="s">
        <v>202</v>
      </c>
      <c r="B51" s="27">
        <f>IF(11514.30684="","-",11514.30684)</f>
        <v>11514.30684</v>
      </c>
      <c r="C51" s="27" t="str">
        <f>IF(OR(""="",11514.30684=""),"-",11514.30684/""*100)</f>
        <v>-</v>
      </c>
      <c r="D51" s="27" t="str">
        <f>IF(""="","-",""/1071013.38714*100)</f>
        <v>-</v>
      </c>
      <c r="E51" s="27">
        <f>IF(11514.30684="","-",11514.30684/1219862.28767*100)</f>
        <v>0.9439021893194944</v>
      </c>
      <c r="F51" s="27" t="str">
        <f>IF(OR(1157424.09208="",0.16492="",""=""),"-",(""-0.16492)/1157424.09208*100)</f>
        <v>-</v>
      </c>
      <c r="G51" s="27" t="str">
        <f>IF(OR(1071013.38714="",11514.30684="",""=""),"-",(11514.30684-"")/1071013.38714*100)</f>
        <v>-</v>
      </c>
    </row>
    <row r="52" spans="1:7" s="31" customFormat="1" ht="15">
      <c r="A52" s="50" t="s">
        <v>140</v>
      </c>
      <c r="B52" s="27">
        <f>IF(10445.73782="","-",10445.73782)</f>
        <v>10445.73782</v>
      </c>
      <c r="C52" s="27">
        <f>IF(OR(23477.08836="",10445.73782=""),"-",10445.73782/23477.08836*100)</f>
        <v>44.493327536294196</v>
      </c>
      <c r="D52" s="27">
        <f>IF(23477.08836="","-",23477.08836/1071013.38714*100)</f>
        <v>2.1920443424794596</v>
      </c>
      <c r="E52" s="27">
        <f>IF(10445.73782="","-",10445.73782/1219862.28767*100)</f>
        <v>0.8563046768133066</v>
      </c>
      <c r="F52" s="27">
        <f>IF(OR(1157424.09208="",7831.24302="",23477.08836=""),"-",(23477.08836-7831.24302)/1157424.09208*100)</f>
        <v>1.3517815506918422</v>
      </c>
      <c r="G52" s="27">
        <f>IF(OR(1071013.38714="",10445.73782="",23477.08836=""),"-",(10445.73782-23477.08836)/1071013.38714*100)</f>
        <v>-1.2167308734392672</v>
      </c>
    </row>
    <row r="53" spans="1:7" s="29" customFormat="1" ht="15">
      <c r="A53" s="50" t="s">
        <v>141</v>
      </c>
      <c r="B53" s="27">
        <f>IF(10238.62139="","-",10238.62139)</f>
        <v>10238.62139</v>
      </c>
      <c r="C53" s="27">
        <f>IF(OR(8042.40347="",10238.62139=""),"-",10238.62139/8042.40347*100)</f>
        <v>127.30797986189569</v>
      </c>
      <c r="D53" s="27">
        <f>IF(8042.40347="","-",8042.40347/1071013.38714*100)</f>
        <v>0.7509153075552284</v>
      </c>
      <c r="E53" s="27">
        <f>IF(10238.62139="","-",10238.62139/1219862.28767*100)</f>
        <v>0.8393260037209853</v>
      </c>
      <c r="F53" s="27">
        <f>IF(OR(1157424.09208="",11320.68948="",8042.40347=""),"-",(8042.40347-11320.68948)/1157424.09208*100)</f>
        <v>-0.2832398282040777</v>
      </c>
      <c r="G53" s="27">
        <f>IF(OR(1071013.38714="",10238.62139="",8042.40347=""),"-",(10238.62139-8042.40347)/1071013.38714*100)</f>
        <v>0.20505980096707385</v>
      </c>
    </row>
    <row r="54" spans="1:7" s="16" customFormat="1" ht="15">
      <c r="A54" s="50" t="s">
        <v>25</v>
      </c>
      <c r="B54" s="27">
        <f>IF(10065.45265="","-",10065.45265)</f>
        <v>10065.45265</v>
      </c>
      <c r="C54" s="27">
        <f>IF(OR(10224.39243="",10065.45265=""),"-",10065.45265/10224.39243*100)</f>
        <v>98.44548435432068</v>
      </c>
      <c r="D54" s="27">
        <f>IF(10224.39243="","-",10224.39243/1071013.38714*100)</f>
        <v>0.954646557435</v>
      </c>
      <c r="E54" s="27">
        <f>IF(10065.45265="","-",10065.45265/1219862.28767*100)</f>
        <v>0.8251302423018202</v>
      </c>
      <c r="F54" s="27">
        <f>IF(OR(1157424.09208="",13824.46737="",10224.39243=""),"-",(10224.39243-13824.46737)/1157424.09208*100)</f>
        <v>-0.3110419909724124</v>
      </c>
      <c r="G54" s="27">
        <f>IF(OR(1071013.38714="",10065.45265="",10224.39243=""),"-",(10065.45265-10224.39243)/1071013.38714*100)</f>
        <v>-0.01484013009626596</v>
      </c>
    </row>
    <row r="55" spans="1:7" s="16" customFormat="1" ht="15">
      <c r="A55" s="50" t="s">
        <v>142</v>
      </c>
      <c r="B55" s="27">
        <f>IF(7576.24719="","-",7576.24719)</f>
        <v>7576.24719</v>
      </c>
      <c r="C55" s="27">
        <f>IF(OR(7687.87619="",7576.24719=""),"-",7576.24719/7687.87619*100)</f>
        <v>98.54798650184819</v>
      </c>
      <c r="D55" s="27">
        <f>IF(7687.87619="","-",7687.87619/1071013.38714*100)</f>
        <v>0.7178132675380893</v>
      </c>
      <c r="E55" s="27">
        <f>IF(7576.24719="","-",7576.24719/1219862.28767*100)</f>
        <v>0.6210739742164686</v>
      </c>
      <c r="F55" s="27">
        <f>IF(OR(1157424.09208="",4483.72123="",7687.87619=""),"-",(7687.87619-4483.72123)/1157424.09208*100)</f>
        <v>0.27683499781327614</v>
      </c>
      <c r="G55" s="27">
        <f>IF(OR(1071013.38714="",7576.24719="",7687.87619=""),"-",(7576.24719-7687.87619)/1071013.38714*100)</f>
        <v>-0.010422745536177697</v>
      </c>
    </row>
    <row r="56" spans="1:7" s="31" customFormat="1" ht="15">
      <c r="A56" s="50" t="s">
        <v>143</v>
      </c>
      <c r="B56" s="27">
        <f>IF(5453.6699="","-",5453.6699)</f>
        <v>5453.6699</v>
      </c>
      <c r="C56" s="27">
        <f>IF(OR(7283.29167="",5453.6699=""),"-",5453.6699/7283.29167*100)</f>
        <v>74.87919126545155</v>
      </c>
      <c r="D56" s="27">
        <f>IF(7283.29167="","-",7283.29167/1071013.38714*100)</f>
        <v>0.6800374073240176</v>
      </c>
      <c r="E56" s="27">
        <f>IF(5453.6699="","-",5453.6699/1219862.28767*100)</f>
        <v>0.4470725880391623</v>
      </c>
      <c r="F56" s="27">
        <f>IF(OR(1157424.09208="",4910.98105="",7283.29167=""),"-",(7283.29167-4910.98105)/1157424.09208*100)</f>
        <v>0.20496468288790617</v>
      </c>
      <c r="G56" s="27">
        <f>IF(OR(1071013.38714="",5453.6699="",7283.29167=""),"-",(5453.6699-7283.29167)/1071013.38714*100)</f>
        <v>-0.17083089641724866</v>
      </c>
    </row>
    <row r="57" spans="1:7" s="16" customFormat="1" ht="15">
      <c r="A57" s="50" t="s">
        <v>144</v>
      </c>
      <c r="B57" s="27">
        <f>IF(4365.13506="","-",4365.13506)</f>
        <v>4365.13506</v>
      </c>
      <c r="C57" s="27">
        <f>IF(OR(4494.41021="",4365.13506=""),"-",4365.13506/4494.41021*100)</f>
        <v>97.12364595220158</v>
      </c>
      <c r="D57" s="27">
        <f>IF(4494.41021="","-",4494.41021/1071013.38714*100)</f>
        <v>0.4196408993543703</v>
      </c>
      <c r="E57" s="27">
        <f>IF(4365.13506="","-",4365.13506/1219862.28767*100)</f>
        <v>0.3578383481579411</v>
      </c>
      <c r="F57" s="27">
        <f>IF(OR(1157424.09208="",1494.99742="",4494.41021=""),"-",(4494.41021-1494.99742)/1157424.09208*100)</f>
        <v>0.25914552932881957</v>
      </c>
      <c r="G57" s="27">
        <f>IF(OR(1071013.38714="",4365.13506="",4494.41021=""),"-",(4365.13506-4494.41021)/1071013.38714*100)</f>
        <v>-0.012070357994797117</v>
      </c>
    </row>
    <row r="58" spans="1:7" s="29" customFormat="1" ht="15">
      <c r="A58" s="50" t="s">
        <v>151</v>
      </c>
      <c r="B58" s="27">
        <f>IF(4198.30535="","-",4198.30535)</f>
        <v>4198.30535</v>
      </c>
      <c r="C58" s="27" t="s">
        <v>185</v>
      </c>
      <c r="D58" s="27">
        <f>IF(1476.4888="","-",1476.4888/1071013.38714*100)</f>
        <v>0.13785904244789773</v>
      </c>
      <c r="E58" s="27">
        <f>IF(4198.30535="","-",4198.30535/1219862.28767*100)</f>
        <v>0.34416223801942264</v>
      </c>
      <c r="F58" s="27">
        <f>IF(OR(1157424.09208="",1545.35877="",1476.4888=""),"-",(1476.4888-1545.35877)/1157424.09208*100)</f>
        <v>-0.00595027963140409</v>
      </c>
      <c r="G58" s="27">
        <f>IF(OR(1071013.38714="",4198.30535="",1476.4888=""),"-",(4198.30535-1476.4888)/1071013.38714*100)</f>
        <v>0.25413468988172516</v>
      </c>
    </row>
    <row r="59" spans="1:7" s="16" customFormat="1" ht="15">
      <c r="A59" s="50" t="s">
        <v>146</v>
      </c>
      <c r="B59" s="27">
        <f>IF(3580.22734="","-",3580.22734)</f>
        <v>3580.22734</v>
      </c>
      <c r="C59" s="27">
        <f>IF(OR(3259.28604="",3580.22734=""),"-",3580.22734/3259.28604*100)</f>
        <v>109.84698170277807</v>
      </c>
      <c r="D59" s="27">
        <f>IF(3259.28604="","-",3259.28604/1071013.38714*100)</f>
        <v>0.3043179552314928</v>
      </c>
      <c r="E59" s="27">
        <f>IF(3580.22734="","-",3580.22734/1219862.28767*100)</f>
        <v>0.293494386717899</v>
      </c>
      <c r="F59" s="27">
        <f>IF(OR(1157424.09208="",1466.69165="",3259.28604=""),"-",(3259.28604-1466.69165)/1157424.09208*100)</f>
        <v>0.1548779226444595</v>
      </c>
      <c r="G59" s="27">
        <f>IF(OR(1071013.38714="",3580.22734="",3259.28604=""),"-",(3580.22734-3259.28604)/1071013.38714*100)</f>
        <v>0.029966133369913456</v>
      </c>
    </row>
    <row r="60" spans="1:7" s="29" customFormat="1" ht="15">
      <c r="A60" s="50" t="s">
        <v>153</v>
      </c>
      <c r="B60" s="27">
        <f>IF(2851.53314="","-",2851.53314)</f>
        <v>2851.53314</v>
      </c>
      <c r="C60" s="27" t="s">
        <v>214</v>
      </c>
      <c r="D60" s="27">
        <f>IF(1661.52578="","-",1661.52578/1071013.38714*100)</f>
        <v>0.15513585543845398</v>
      </c>
      <c r="E60" s="27">
        <f>IF(2851.53314="","-",2851.53314/1219862.28767*100)</f>
        <v>0.23375861101883685</v>
      </c>
      <c r="F60" s="27">
        <f>IF(OR(1157424.09208="",1642.54044="",1661.52578=""),"-",(1661.52578-1642.54044)/1157424.09208*100)</f>
        <v>0.0016403097300213881</v>
      </c>
      <c r="G60" s="27">
        <f>IF(OR(1071013.38714="",2851.53314="",1661.52578=""),"-",(2851.53314-1661.52578)/1071013.38714*100)</f>
        <v>0.11111040947655731</v>
      </c>
    </row>
    <row r="61" spans="1:7" s="16" customFormat="1" ht="15">
      <c r="A61" s="50" t="s">
        <v>149</v>
      </c>
      <c r="B61" s="27">
        <f>IF(2621.88902="","-",2621.88902)</f>
        <v>2621.88902</v>
      </c>
      <c r="C61" s="27">
        <f>IF(OR(1871.12252="",2621.88902=""),"-",2621.88902/1871.12252*100)</f>
        <v>140.12385570561142</v>
      </c>
      <c r="D61" s="27">
        <f>IF(1871.12252="","-",1871.12252/1071013.38714*100)</f>
        <v>0.17470580129689936</v>
      </c>
      <c r="E61" s="27">
        <f>IF(2621.88902="","-",2621.88902/1219862.28767*100)</f>
        <v>0.21493319750116577</v>
      </c>
      <c r="F61" s="27">
        <f>IF(OR(1157424.09208="",810.87692="",1871.12252=""),"-",(1871.12252-810.87692)/1157424.09208*100)</f>
        <v>0.09160389931875693</v>
      </c>
      <c r="G61" s="27">
        <f>IF(OR(1071013.38714="",2621.88902="",1871.12252=""),"-",(2621.88902-1871.12252)/1071013.38714*100)</f>
        <v>0.0700987036217001</v>
      </c>
    </row>
    <row r="62" spans="1:7" s="29" customFormat="1" ht="15">
      <c r="A62" s="50" t="s">
        <v>119</v>
      </c>
      <c r="B62" s="27">
        <f>IF(2350.03172="","-",2350.03172)</f>
        <v>2350.03172</v>
      </c>
      <c r="C62" s="27" t="s">
        <v>185</v>
      </c>
      <c r="D62" s="27">
        <f>IF(845.63041="","-",845.63041/1071013.38714*100)</f>
        <v>0.07895610084372003</v>
      </c>
      <c r="E62" s="27">
        <f>IF(2350.03172="","-",2350.03172/1219862.28767*100)</f>
        <v>0.19264729664597485</v>
      </c>
      <c r="F62" s="27">
        <f>IF(OR(1157424.09208="",323.36199="",845.63041=""),"-",(845.63041-323.36199)/1157424.09208*100)</f>
        <v>0.045123341009900224</v>
      </c>
      <c r="G62" s="27">
        <f>IF(OR(1071013.38714="",2350.03172="",845.63041=""),"-",(2350.03172-845.63041)/1071013.38714*100)</f>
        <v>0.14046521995558856</v>
      </c>
    </row>
    <row r="63" spans="1:7" s="16" customFormat="1" ht="15">
      <c r="A63" s="50" t="s">
        <v>150</v>
      </c>
      <c r="B63" s="27">
        <f>IF(1974.39333="","-",1974.39333)</f>
        <v>1974.39333</v>
      </c>
      <c r="C63" s="27">
        <f>IF(OR(2686.07565="",1974.39333=""),"-",1974.39333/2686.07565*100)</f>
        <v>73.50475516205212</v>
      </c>
      <c r="D63" s="27">
        <f>IF(2686.07565="","-",2686.07565/1071013.38714*100)</f>
        <v>0.25079757940027353</v>
      </c>
      <c r="E63" s="27">
        <f>IF(1974.39333="","-",1974.39333/1219862.28767*100)</f>
        <v>0.16185378873964482</v>
      </c>
      <c r="F63" s="27">
        <f>IF(OR(1157424.09208="",3908.71116="",2686.07565=""),"-",(2686.07565-3908.71116)/1157424.09208*100)</f>
        <v>-0.10563418528836811</v>
      </c>
      <c r="G63" s="27">
        <f>IF(OR(1071013.38714="",1974.39333="",2686.07565=""),"-",(1974.39333-2686.07565)/1071013.38714*100)</f>
        <v>-0.0664494327097492</v>
      </c>
    </row>
    <row r="64" spans="1:7" s="16" customFormat="1" ht="15">
      <c r="A64" s="50" t="s">
        <v>145</v>
      </c>
      <c r="B64" s="27">
        <f>IF(1912.7019="","-",1912.7019)</f>
        <v>1912.7019</v>
      </c>
      <c r="C64" s="27">
        <f>IF(OR(4304.43164="",1912.7019=""),"-",1912.7019/4304.43164*100)</f>
        <v>44.43564354061852</v>
      </c>
      <c r="D64" s="27">
        <f>IF(4304.43164="","-",4304.43164/1071013.38714*100)</f>
        <v>0.40190269250456495</v>
      </c>
      <c r="E64" s="27">
        <f>IF(1912.7019="","-",1912.7019/1219862.28767*100)</f>
        <v>0.15679654329287934</v>
      </c>
      <c r="F64" s="27">
        <f>IF(OR(1157424.09208="",1062.37739="",4304.43164=""),"-",(4304.43164-1062.37739)/1157424.09208*100)</f>
        <v>0.2801094492662342</v>
      </c>
      <c r="G64" s="27">
        <f>IF(OR(1071013.38714="",1912.7019="",4304.43164=""),"-",(1912.7019-4304.43164)/1071013.38714*100)</f>
        <v>-0.22331464468308826</v>
      </c>
    </row>
    <row r="65" spans="1:7" s="29" customFormat="1" ht="15">
      <c r="A65" s="50" t="s">
        <v>160</v>
      </c>
      <c r="B65" s="27">
        <f>IF(1823.01009="","-",1823.01009)</f>
        <v>1823.01009</v>
      </c>
      <c r="C65" s="27" t="s">
        <v>242</v>
      </c>
      <c r="D65" s="27">
        <f>IF(668.97858="","-",668.97858/1071013.38714*100)</f>
        <v>0.06246220523782798</v>
      </c>
      <c r="E65" s="27">
        <f>IF(1823.01009="","-",1823.01009/1219862.28767*100)</f>
        <v>0.14944392563213374</v>
      </c>
      <c r="F65" s="27">
        <f>IF(OR(1157424.09208="",529.63131="",668.97858=""),"-",(668.97858-529.63131)/1157424.09208*100)</f>
        <v>0.012039430572900882</v>
      </c>
      <c r="G65" s="27">
        <f>IF(OR(1071013.38714="",1823.01009="",668.97858=""),"-",(1823.01009-668.97858)/1071013.38714*100)</f>
        <v>0.10775136182766948</v>
      </c>
    </row>
    <row r="66" spans="1:7" s="31" customFormat="1" ht="15">
      <c r="A66" s="50" t="s">
        <v>152</v>
      </c>
      <c r="B66" s="27">
        <f>IF(1404.91026="","-",1404.91026)</f>
        <v>1404.91026</v>
      </c>
      <c r="C66" s="27">
        <f>IF(OR(2556.17099="",1404.91026=""),"-",1404.91026/2556.17099*100)</f>
        <v>54.96151335322056</v>
      </c>
      <c r="D66" s="27">
        <f>IF(2556.17099="","-",2556.17099/1071013.38714*100)</f>
        <v>0.23866844436239193</v>
      </c>
      <c r="E66" s="27">
        <f>IF(1404.91026="","-",1404.91026/1219862.28767*100)</f>
        <v>0.1151695789107024</v>
      </c>
      <c r="F66" s="27">
        <f>IF(OR(1157424.09208="",510.05752="",2556.17099=""),"-",(2556.17099-510.05752)/1157424.09208*100)</f>
        <v>0.1767816554019488</v>
      </c>
      <c r="G66" s="27">
        <f>IF(OR(1071013.38714="",1404.91026="",2556.17099=""),"-",(1404.91026-2556.17099)/1071013.38714*100)</f>
        <v>-0.10749265544423212</v>
      </c>
    </row>
    <row r="67" spans="1:7" s="16" customFormat="1" ht="15">
      <c r="A67" s="50" t="s">
        <v>229</v>
      </c>
      <c r="B67" s="27">
        <f>IF(1034.90358="","-",1034.90358)</f>
        <v>1034.90358</v>
      </c>
      <c r="C67" s="27" t="s">
        <v>189</v>
      </c>
      <c r="D67" s="27">
        <f>IF(419.56893="","-",419.56893/1071013.38714*100)</f>
        <v>0.0391749473011167</v>
      </c>
      <c r="E67" s="27">
        <f>IF(1034.90358="","-",1034.90358/1219862.28767*100)</f>
        <v>0.08483773869071067</v>
      </c>
      <c r="F67" s="27" t="str">
        <f>IF(OR(1157424.09208="",""="",419.56893=""),"-",(419.56893-"")/1157424.09208*100)</f>
        <v>-</v>
      </c>
      <c r="G67" s="27">
        <f>IF(OR(1071013.38714="",1034.90358="",419.56893=""),"-",(1034.90358-419.56893)/1071013.38714*100)</f>
        <v>0.05745349753686739</v>
      </c>
    </row>
    <row r="68" spans="1:7" s="16" customFormat="1" ht="15">
      <c r="A68" s="50" t="s">
        <v>221</v>
      </c>
      <c r="B68" s="27">
        <f>IF(982.28066="","-",982.28066)</f>
        <v>982.28066</v>
      </c>
      <c r="C68" s="27" t="s">
        <v>250</v>
      </c>
      <c r="D68" s="27">
        <f>IF(89.08942="","-",89.08942/1071013.38714*100)</f>
        <v>0.008318235894128416</v>
      </c>
      <c r="E68" s="27">
        <f>IF(982.28066="","-",982.28066/1219862.28767*100)</f>
        <v>0.08052389765046404</v>
      </c>
      <c r="F68" s="27">
        <f>IF(OR(1157424.09208="",379.8024="",89.08942=""),"-",(89.08942-379.8024)/1157424.09208*100)</f>
        <v>-0.025117239393000826</v>
      </c>
      <c r="G68" s="27">
        <f>IF(OR(1071013.38714="",982.28066="",89.08942=""),"-",(982.28066-89.08942)/1071013.38714*100)</f>
        <v>0.08339683245091356</v>
      </c>
    </row>
    <row r="69" spans="1:7" s="16" customFormat="1" ht="15">
      <c r="A69" s="50" t="s">
        <v>157</v>
      </c>
      <c r="B69" s="27">
        <f>IF(963.394="","-",963.394)</f>
        <v>963.394</v>
      </c>
      <c r="C69" s="27" t="s">
        <v>184</v>
      </c>
      <c r="D69" s="27">
        <f>IF(448.55192="","-",448.55192/1071013.38714*100)</f>
        <v>0.04188107500670918</v>
      </c>
      <c r="E69" s="27">
        <f>IF(963.394="","-",963.394/1219862.28767*100)</f>
        <v>0.07897563599905465</v>
      </c>
      <c r="F69" s="27">
        <f>IF(OR(1157424.09208="",341.5967="",448.55192=""),"-",(448.55192-341.5967)/1157424.09208*100)</f>
        <v>0.009240797796751524</v>
      </c>
      <c r="G69" s="27">
        <f>IF(OR(1071013.38714="",963.394="",448.55192=""),"-",(963.394-448.55192)/1071013.38714*100)</f>
        <v>0.048070555063258164</v>
      </c>
    </row>
    <row r="70" spans="1:7" s="16" customFormat="1" ht="15">
      <c r="A70" s="50" t="s">
        <v>207</v>
      </c>
      <c r="B70" s="27">
        <f>IF(714.38061="","-",714.38061)</f>
        <v>714.38061</v>
      </c>
      <c r="C70" s="27">
        <f>IF(OR(550.14211="",714.38061=""),"-",714.38061/550.14211*100)</f>
        <v>129.85383176721373</v>
      </c>
      <c r="D70" s="27">
        <f>IF(550.14211="","-",550.14211/1071013.38714*100)</f>
        <v>0.05136650172684414</v>
      </c>
      <c r="E70" s="27">
        <f>IF(714.38061="","-",714.38061/1219862.28767*100)</f>
        <v>0.05856239816746068</v>
      </c>
      <c r="F70" s="27">
        <f>IF(OR(1157424.09208="",433.01922="",550.14211=""),"-",(550.14211-433.01922)/1157424.09208*100)</f>
        <v>0.01011927182105905</v>
      </c>
      <c r="G70" s="27">
        <f>IF(OR(1071013.38714="",714.38061="",550.14211=""),"-",(714.38061-550.14211)/1071013.38714*100)</f>
        <v>0.015334869010234998</v>
      </c>
    </row>
    <row r="71" spans="1:7" s="16" customFormat="1" ht="15">
      <c r="A71" s="50" t="s">
        <v>161</v>
      </c>
      <c r="B71" s="27">
        <f>IF(694.77861="","-",694.77861)</f>
        <v>694.77861</v>
      </c>
      <c r="C71" s="27">
        <f>IF(OR(565.61839="",694.77861=""),"-",694.77861/565.61839*100)</f>
        <v>122.8352228788035</v>
      </c>
      <c r="D71" s="27">
        <f>IF(565.61839="","-",565.61839/1071013.38714*100)</f>
        <v>0.052811514476995405</v>
      </c>
      <c r="E71" s="27">
        <f>IF(694.77861="","-",694.77861/1219862.28767*100)</f>
        <v>0.056955495470481586</v>
      </c>
      <c r="F71" s="27">
        <f>IF(OR(1157424.09208="",802.53482="",565.61839=""),"-",(565.61839-802.53482)/1157424.09208*100)</f>
        <v>-0.020469284475860428</v>
      </c>
      <c r="G71" s="27">
        <f>IF(OR(1071013.38714="",694.77861="",565.61839=""),"-",(694.77861-565.61839)/1071013.38714*100)</f>
        <v>0.012059627036493475</v>
      </c>
    </row>
    <row r="72" spans="1:7" s="16" customFormat="1" ht="15">
      <c r="A72" s="50" t="s">
        <v>155</v>
      </c>
      <c r="B72" s="27">
        <f>IF(540.56731="","-",540.56731)</f>
        <v>540.56731</v>
      </c>
      <c r="C72" s="27">
        <f>IF(OR(901.39701="",540.56731=""),"-",540.56731/901.39701*100)</f>
        <v>59.969947093567576</v>
      </c>
      <c r="D72" s="27">
        <f>IF(901.39701="","-",901.39701/1071013.38714*100)</f>
        <v>0.08416300121206345</v>
      </c>
      <c r="E72" s="27">
        <f>IF(540.56731="","-",540.56731/1219862.28767*100)</f>
        <v>0.04431379799702732</v>
      </c>
      <c r="F72" s="27">
        <f>IF(OR(1157424.09208="",818.05319="",901.39701=""),"-",(901.39701-818.05319)/1157424.09208*100)</f>
        <v>0.0072008022444239395</v>
      </c>
      <c r="G72" s="27">
        <f>IF(OR(1071013.38714="",540.56731="",901.39701=""),"-",(540.56731-901.39701)/1071013.38714*100)</f>
        <v>-0.03369049391283036</v>
      </c>
    </row>
    <row r="73" spans="1:7" s="16" customFormat="1" ht="15">
      <c r="A73" s="50" t="s">
        <v>203</v>
      </c>
      <c r="B73" s="27">
        <f>IF(502.8375="","-",502.8375)</f>
        <v>502.8375</v>
      </c>
      <c r="C73" s="27" t="s">
        <v>212</v>
      </c>
      <c r="D73" s="27">
        <f>IF(166.85426="","-",166.85426/1071013.38714*100)</f>
        <v>0.015579101251531719</v>
      </c>
      <c r="E73" s="27">
        <f>IF(502.8375="","-",502.8375/1219862.28767*100)</f>
        <v>0.04122084149026736</v>
      </c>
      <c r="F73" s="27" t="str">
        <f>IF(OR(1157424.09208="",""="",166.85426=""),"-",(166.85426-"")/1157424.09208*100)</f>
        <v>-</v>
      </c>
      <c r="G73" s="27">
        <f>IF(OR(1071013.38714="",502.8375="",166.85426=""),"-",(502.8375-166.85426)/1071013.38714*100)</f>
        <v>0.031370592005128796</v>
      </c>
    </row>
    <row r="74" spans="1:7" s="16" customFormat="1" ht="15">
      <c r="A74" s="50" t="s">
        <v>148</v>
      </c>
      <c r="B74" s="27">
        <f>IF(459.50868="","-",459.50868)</f>
        <v>459.50868</v>
      </c>
      <c r="C74" s="27">
        <f>IF(OR(1971.79983="",459.50868=""),"-",459.50868/1971.79983*100)</f>
        <v>23.30402270092497</v>
      </c>
      <c r="D74" s="27">
        <f>IF(1971.79983="","-",1971.79983/1071013.38714*100)</f>
        <v>0.18410599285462073</v>
      </c>
      <c r="E74" s="27">
        <f>IF(459.50868="","-",459.50868/1219862.28767*100)</f>
        <v>0.03766889792762471</v>
      </c>
      <c r="F74" s="27" t="str">
        <f>IF(OR(1157424.09208="",""="",1971.79983=""),"-",(1971.79983-"")/1157424.09208*100)</f>
        <v>-</v>
      </c>
      <c r="G74" s="27">
        <f>IF(OR(1071013.38714="",459.50868="",1971.79983=""),"-",(459.50868-1971.79983)/1071013.38714*100)</f>
        <v>-0.1412018904860166</v>
      </c>
    </row>
    <row r="75" spans="1:7" s="16" customFormat="1" ht="15">
      <c r="A75" s="50" t="s">
        <v>222</v>
      </c>
      <c r="B75" s="27">
        <f>IF(375.16786="","-",375.16786)</f>
        <v>375.16786</v>
      </c>
      <c r="C75" s="27" t="s">
        <v>251</v>
      </c>
      <c r="D75" s="27">
        <f>IF(128.71547="","-",128.71547/1071013.38714*100)</f>
        <v>0.012018100944911408</v>
      </c>
      <c r="E75" s="27">
        <f>IF(375.16786="","-",375.16786/1219862.28767*100)</f>
        <v>0.030754935519532293</v>
      </c>
      <c r="F75" s="27">
        <f>IF(OR(1157424.09208="",810.07852="",128.71547=""),"-",(128.71547-810.07852)/1157424.09208*100)</f>
        <v>-0.05886891889173712</v>
      </c>
      <c r="G75" s="27">
        <f>IF(OR(1071013.38714="",375.16786="",128.71547=""),"-",(375.16786-128.71547)/1071013.38714*100)</f>
        <v>0.023011140006206514</v>
      </c>
    </row>
    <row r="76" spans="1:7" ht="15">
      <c r="A76" s="50" t="s">
        <v>237</v>
      </c>
      <c r="B76" s="27">
        <f>IF(346.8895="","-",346.8895)</f>
        <v>346.8895</v>
      </c>
      <c r="C76" s="27" t="s">
        <v>231</v>
      </c>
      <c r="D76" s="27">
        <f>IF(85.7034="","-",85.7034/1071013.38714*100)</f>
        <v>0.008002084850578725</v>
      </c>
      <c r="E76" s="27">
        <f>IF(346.8895="","-",346.8895/1219862.28767*100)</f>
        <v>0.028436775487385293</v>
      </c>
      <c r="F76" s="27">
        <f>IF(OR(1157424.09208="",72.54842="",85.7034=""),"-",(85.7034-72.54842)/1157424.09208*100)</f>
        <v>0.0011365738876542022</v>
      </c>
      <c r="G76" s="27">
        <f>IF(OR(1071013.38714="",346.8895="",85.7034=""),"-",(346.8895-85.7034)/1071013.38714*100)</f>
        <v>0.024386819355961837</v>
      </c>
    </row>
    <row r="77" spans="1:7" ht="15">
      <c r="A77" s="50" t="s">
        <v>172</v>
      </c>
      <c r="B77" s="27">
        <f>IF(344.43468="","-",344.43468)</f>
        <v>344.43468</v>
      </c>
      <c r="C77" s="27" t="s">
        <v>239</v>
      </c>
      <c r="D77" s="27">
        <f>IF(31.53433="","-",31.53433/1071013.38714*100)</f>
        <v>0.00294434508276393</v>
      </c>
      <c r="E77" s="27">
        <f>IF(344.43468="","-",344.43468/1219862.28767*100)</f>
        <v>0.028235538017810854</v>
      </c>
      <c r="F77" s="27">
        <f>IF(OR(1157424.09208="",14.5143="",31.53433=""),"-",(31.53433-14.5143)/1157424.09208*100)</f>
        <v>0.0014705093937878381</v>
      </c>
      <c r="G77" s="27">
        <f>IF(OR(1071013.38714="",344.43468="",31.53433=""),"-",(344.43468-31.53433)/1071013.38714*100)</f>
        <v>0.029215353772146502</v>
      </c>
    </row>
    <row r="78" spans="1:7" ht="15">
      <c r="A78" s="50" t="s">
        <v>154</v>
      </c>
      <c r="B78" s="27">
        <f>IF(324.67315="","-",324.67315)</f>
        <v>324.67315</v>
      </c>
      <c r="C78" s="27">
        <f>IF(OR(1188.09312="",324.67315=""),"-",324.67315/1188.09312*100)</f>
        <v>27.32724771607128</v>
      </c>
      <c r="D78" s="27">
        <f>IF(1188.09312="","-",1188.09312/1071013.38714*100)</f>
        <v>0.11093167781708556</v>
      </c>
      <c r="E78" s="27">
        <f>IF(324.67315="","-",324.67315/1219862.28767*100)</f>
        <v>0.026615557615125764</v>
      </c>
      <c r="F78" s="27">
        <f>IF(OR(1157424.09208="",119.87961="",1188.09312=""),"-",(1188.09312-119.87961)/1157424.09208*100)</f>
        <v>0.09229231681883515</v>
      </c>
      <c r="G78" s="27">
        <f>IF(OR(1071013.38714="",324.67315="",1188.09312=""),"-",(324.67315-1188.09312)/1071013.38714*100)</f>
        <v>-0.08061710342441648</v>
      </c>
    </row>
    <row r="79" spans="1:7" ht="15">
      <c r="A79" s="50" t="s">
        <v>162</v>
      </c>
      <c r="B79" s="27">
        <f>IF(310.46381="","-",310.46381)</f>
        <v>310.46381</v>
      </c>
      <c r="C79" s="27">
        <f>IF(OR(467.85966="",310.46381=""),"-",310.46381/467.85966*100)</f>
        <v>66.35831992867263</v>
      </c>
      <c r="D79" s="27">
        <f>IF(467.85966="","-",467.85966/1071013.38714*100)</f>
        <v>0.04368382931695724</v>
      </c>
      <c r="E79" s="27">
        <f>IF(310.46381="","-",310.46381/1219862.28767*100)</f>
        <v>0.02545072613016031</v>
      </c>
      <c r="F79" s="27">
        <f>IF(OR(1157424.09208="",462.05468="",467.85966=""),"-",(467.85966-462.05468)/1157424.09208*100)</f>
        <v>0.0005015430419776302</v>
      </c>
      <c r="G79" s="27">
        <f>IF(OR(1071013.38714="",310.46381="",467.85966=""),"-",(310.46381-467.85966)/1071013.38714*100)</f>
        <v>-0.014695974101715465</v>
      </c>
    </row>
    <row r="80" spans="1:7" ht="15">
      <c r="A80" s="50" t="s">
        <v>182</v>
      </c>
      <c r="B80" s="27">
        <f>IF(305.79851="","-",305.79851)</f>
        <v>305.79851</v>
      </c>
      <c r="C80" s="27" t="s">
        <v>252</v>
      </c>
      <c r="D80" s="27">
        <f>IF(91.29833="","-",91.29833/1071013.38714*100)</f>
        <v>0.008524480748443319</v>
      </c>
      <c r="E80" s="27">
        <f>IF(305.79851="","-",305.79851/1219862.28767*100)</f>
        <v>0.025068281320844092</v>
      </c>
      <c r="F80" s="27">
        <f>IF(OR(1157424.09208="",69.89258="",91.29833=""),"-",(91.29833-69.89258)/1157424.09208*100)</f>
        <v>0.0018494301394341864</v>
      </c>
      <c r="G80" s="27">
        <f>IF(OR(1071013.38714="",305.79851="",91.29833=""),"-",(305.79851-91.29833)/1071013.38714*100)</f>
        <v>0.020027777670715622</v>
      </c>
    </row>
    <row r="81" spans="1:7" ht="15">
      <c r="A81" s="50" t="s">
        <v>164</v>
      </c>
      <c r="B81" s="27">
        <f>IF(258.1886="","-",258.1886)</f>
        <v>258.1886</v>
      </c>
      <c r="C81" s="27">
        <f>IF(OR(235.90731="",258.1886=""),"-",258.1886/235.90731*100)</f>
        <v>109.44493411416545</v>
      </c>
      <c r="D81" s="27">
        <f>IF(235.90731="","-",235.90731/1071013.38714*100)</f>
        <v>0.02202655100604852</v>
      </c>
      <c r="E81" s="27">
        <f>IF(258.1886="","-",258.1886/1219862.28767*100)</f>
        <v>0.021165389127091844</v>
      </c>
      <c r="F81" s="27">
        <f>IF(OR(1157424.09208="",275.59551="",235.90731=""),"-",(235.90731-275.59551)/1157424.09208*100)</f>
        <v>-0.003429011048895359</v>
      </c>
      <c r="G81" s="27">
        <f>IF(OR(1071013.38714="",258.1886="",235.90731=""),"-",(258.1886-235.90731)/1071013.38714*100)</f>
        <v>0.002080393230144327</v>
      </c>
    </row>
    <row r="82" spans="1:7" ht="15">
      <c r="A82" s="50" t="s">
        <v>205</v>
      </c>
      <c r="B82" s="27">
        <f>IF(249.95917="","-",249.95917)</f>
        <v>249.95917</v>
      </c>
      <c r="C82" s="27">
        <f>IF(OR(263.56266="",249.95917=""),"-",249.95917/263.56266*100)</f>
        <v>94.83861257129519</v>
      </c>
      <c r="D82" s="27">
        <f>IF(263.56266="","-",263.56266/1071013.38714*100)</f>
        <v>0.024608717609385752</v>
      </c>
      <c r="E82" s="27">
        <f>IF(249.95917="","-",249.95917/1219862.28767*100)</f>
        <v>0.020490769534111507</v>
      </c>
      <c r="F82" s="27">
        <f>IF(OR(1157424.09208="",258.45175="",263.56266=""),"-",(263.56266-258.45175)/1157424.09208*100)</f>
        <v>0.00044157625843222283</v>
      </c>
      <c r="G82" s="27">
        <f>IF(OR(1071013.38714="",249.95917="",263.56266=""),"-",(249.95917-263.56266)/1071013.38714*100)</f>
        <v>-0.0012701512570563024</v>
      </c>
    </row>
    <row r="83" spans="1:7" ht="15">
      <c r="A83" s="50" t="s">
        <v>120</v>
      </c>
      <c r="B83" s="27">
        <f>IF(244.33876="","-",244.33876)</f>
        <v>244.33876</v>
      </c>
      <c r="C83" s="27">
        <f>IF(OR(218.34374="",244.33876=""),"-",244.33876/218.34374*100)</f>
        <v>111.90554856301354</v>
      </c>
      <c r="D83" s="27">
        <f>IF(218.34374="","-",218.34374/1071013.38714*100)</f>
        <v>0.020386649001938074</v>
      </c>
      <c r="E83" s="27">
        <f>IF(244.33876="","-",244.33876/1219862.28767*100)</f>
        <v>0.020030028181844992</v>
      </c>
      <c r="F83" s="27">
        <f>IF(OR(1157424.09208="",179.23258="",218.34374=""),"-",(218.34374-179.23258)/1157424.09208*100)</f>
        <v>0.0033791555115907034</v>
      </c>
      <c r="G83" s="27">
        <f>IF(OR(1071013.38714="",244.33876="",218.34374=""),"-",(244.33876-218.34374)/1071013.38714*100)</f>
        <v>0.002427142397296852</v>
      </c>
    </row>
    <row r="84" spans="1:7" ht="15">
      <c r="A84" s="50" t="s">
        <v>114</v>
      </c>
      <c r="B84" s="27">
        <f>IF(210.91391="","-",210.91391)</f>
        <v>210.91391</v>
      </c>
      <c r="C84" s="27">
        <f>IF(OR(256.88377="",210.91391=""),"-",210.91391/256.88377*100)</f>
        <v>82.104801716356</v>
      </c>
      <c r="D84" s="27">
        <f>IF(256.88377="","-",256.88377/1071013.38714*100)</f>
        <v>0.023985112892563765</v>
      </c>
      <c r="E84" s="27">
        <f>IF(210.91391="","-",210.91391/1219862.28767*100)</f>
        <v>0.017289977084450774</v>
      </c>
      <c r="F84" s="27">
        <f>IF(OR(1157424.09208="",130.35907="",256.88377=""),"-",(256.88377-130.35907)/1157424.09208*100)</f>
        <v>0.010931576495234623</v>
      </c>
      <c r="G84" s="27">
        <f>IF(OR(1071013.38714="",210.91391="",256.88377=""),"-",(210.91391-256.88377)/1071013.38714*100)</f>
        <v>-0.00429218351068015</v>
      </c>
    </row>
    <row r="85" spans="1:7" ht="15">
      <c r="A85" s="50" t="s">
        <v>169</v>
      </c>
      <c r="B85" s="27">
        <f>IF(200.16525="","-",200.16525)</f>
        <v>200.16525</v>
      </c>
      <c r="C85" s="27">
        <f>IF(OR(178.54441="",200.16525=""),"-",200.16525/178.54441*100)</f>
        <v>112.10950261618385</v>
      </c>
      <c r="D85" s="27">
        <f>IF(178.54441="","-",178.54441/1071013.38714*100)</f>
        <v>0.016670604881679332</v>
      </c>
      <c r="E85" s="27">
        <f>IF(200.16525="","-",200.16525/1219862.28767*100)</f>
        <v>0.01640883991768661</v>
      </c>
      <c r="F85" s="27">
        <f>IF(OR(1157424.09208="",363.36415="",178.54441=""),"-",(178.54441-363.36415)/1157424.09208*100)</f>
        <v>-0.01596819534556789</v>
      </c>
      <c r="G85" s="27">
        <f>IF(OR(1071013.38714="",200.16525="",178.54441=""),"-",(200.16525-178.54441)/1071013.38714*100)</f>
        <v>0.0020187273342806285</v>
      </c>
    </row>
    <row r="86" spans="1:7" ht="15">
      <c r="A86" s="50" t="s">
        <v>187</v>
      </c>
      <c r="B86" s="27">
        <f>IF(186.33116="","-",186.33116)</f>
        <v>186.33116</v>
      </c>
      <c r="C86" s="27" t="str">
        <f>IF(OR(""="",186.33116=""),"-",186.33116/""*100)</f>
        <v>-</v>
      </c>
      <c r="D86" s="27" t="str">
        <f>IF(""="","-",""/1071013.38714*100)</f>
        <v>-</v>
      </c>
      <c r="E86" s="27">
        <f>IF(186.33116="","-",186.33116/1219862.28767*100)</f>
        <v>0.015274770101787648</v>
      </c>
      <c r="F86" s="27" t="str">
        <f>IF(OR(1157424.09208="",161.962="",""=""),"-",(""-161.962)/1157424.09208*100)</f>
        <v>-</v>
      </c>
      <c r="G86" s="27" t="str">
        <f>IF(OR(1071013.38714="",186.33116="",""=""),"-",(186.33116-"")/1071013.38714*100)</f>
        <v>-</v>
      </c>
    </row>
    <row r="87" spans="1:7" ht="15">
      <c r="A87" s="50" t="s">
        <v>147</v>
      </c>
      <c r="B87" s="27">
        <f>IF(183.27403="","-",183.27403)</f>
        <v>183.27403</v>
      </c>
      <c r="C87" s="27">
        <f>IF(OR(2149.98483="",183.27403=""),"-",183.27403/2149.98483*100)</f>
        <v>8.524433635189883</v>
      </c>
      <c r="D87" s="27">
        <f>IF(2149.98483="","-",2149.98483/1071013.38714*100)</f>
        <v>0.200743039799087</v>
      </c>
      <c r="E87" s="27">
        <f>IF(183.27403="","-",183.27403/1219862.28767*100)</f>
        <v>0.015024157386655742</v>
      </c>
      <c r="F87" s="27">
        <f>IF(OR(1157424.09208="",457.46946="",2149.98483=""),"-",(2149.98483-457.46946)/1157424.09208*100)</f>
        <v>0.14623121996349586</v>
      </c>
      <c r="G87" s="27">
        <f>IF(OR(1071013.38714="",183.27403="",2149.98483=""),"-",(183.27403-2149.98483)/1071013.38714*100)</f>
        <v>-0.18363083259415103</v>
      </c>
    </row>
    <row r="88" spans="1:7" ht="15">
      <c r="A88" s="50" t="s">
        <v>238</v>
      </c>
      <c r="B88" s="27">
        <f>IF(177.95744="","-",177.95744)</f>
        <v>177.95744</v>
      </c>
      <c r="C88" s="27" t="str">
        <f>IF(OR(""="",177.95744=""),"-",177.95744/""*100)</f>
        <v>-</v>
      </c>
      <c r="D88" s="27" t="str">
        <f>IF(""="","-",""/1071013.38714*100)</f>
        <v>-</v>
      </c>
      <c r="E88" s="27">
        <f>IF(177.95744="","-",177.95744/1219862.28767*100)</f>
        <v>0.01458832212445127</v>
      </c>
      <c r="F88" s="27" t="str">
        <f>IF(OR(1157424.09208="",""="",""=""),"-",(""-"")/1157424.09208*100)</f>
        <v>-</v>
      </c>
      <c r="G88" s="27" t="str">
        <f>IF(OR(1071013.38714="",177.95744="",""=""),"-",(177.95744-"")/1071013.38714*100)</f>
        <v>-</v>
      </c>
    </row>
    <row r="89" spans="1:7" s="31" customFormat="1" ht="15">
      <c r="A89" s="50" t="s">
        <v>248</v>
      </c>
      <c r="B89" s="27">
        <f>IF(175.37435="","-",175.37435)</f>
        <v>175.37435</v>
      </c>
      <c r="C89" s="27" t="s">
        <v>235</v>
      </c>
      <c r="D89" s="27">
        <f>IF(42.39684="","-",42.39684/1071013.38714*100)</f>
        <v>0.003958572367915509</v>
      </c>
      <c r="E89" s="27">
        <f>IF(175.37435="","-",175.37435/1219862.28767*100)</f>
        <v>0.014376569533514644</v>
      </c>
      <c r="F89" s="27" t="str">
        <f>IF(OR(1157424.09208="",""="",42.39684=""),"-",(42.39684-"")/1157424.09208*100)</f>
        <v>-</v>
      </c>
      <c r="G89" s="27">
        <f>IF(OR(1071013.38714="",175.37435="",42.39684=""),"-",(175.37435-42.39684)/1071013.38714*100)</f>
        <v>0.012416045550569531</v>
      </c>
    </row>
    <row r="90" spans="1:7" ht="15">
      <c r="A90" s="50" t="s">
        <v>188</v>
      </c>
      <c r="B90" s="27">
        <f>IF(150.64701="","-",150.64701)</f>
        <v>150.64701</v>
      </c>
      <c r="C90" s="27" t="s">
        <v>214</v>
      </c>
      <c r="D90" s="27">
        <f>IF(87.14143="","-",87.14143/1071013.38714*100)</f>
        <v>0.00813635301354166</v>
      </c>
      <c r="E90" s="27">
        <f>IF(150.64701="","-",150.64701/1219862.28767*100)</f>
        <v>0.012349509573555517</v>
      </c>
      <c r="F90" s="27">
        <f>IF(OR(1157424.09208="",227.77149="",87.14143=""),"-",(87.14143-227.77149)/1157424.09208*100)</f>
        <v>-0.012150262031203667</v>
      </c>
      <c r="G90" s="27">
        <f>IF(OR(1071013.38714="",150.64701="",87.14143=""),"-",(150.64701-87.14143)/1071013.38714*100)</f>
        <v>0.005929485173811251</v>
      </c>
    </row>
    <row r="91" spans="1:7" ht="15">
      <c r="A91" s="50" t="s">
        <v>225</v>
      </c>
      <c r="B91" s="27">
        <f>IF(126.93445="","-",126.93445)</f>
        <v>126.93445</v>
      </c>
      <c r="C91" s="27" t="s">
        <v>253</v>
      </c>
      <c r="D91" s="27">
        <f>IF(39.49098="","-",39.49098/1071013.38714*100)</f>
        <v>0.0036872536304569875</v>
      </c>
      <c r="E91" s="27">
        <f>IF(126.93445="","-",126.93445/1219862.28767*100)</f>
        <v>0.010405637692304707</v>
      </c>
      <c r="F91" s="27">
        <f>IF(OR(1157424.09208="",27.34302="",39.49098=""),"-",(39.49098-27.34302)/1157424.09208*100)</f>
        <v>0.0010495686138836953</v>
      </c>
      <c r="G91" s="27">
        <f>IF(OR(1071013.38714="",126.93445="",39.49098=""),"-",(126.93445-39.49098)/1071013.38714*100)</f>
        <v>0.008164554341706806</v>
      </c>
    </row>
    <row r="92" spans="1:7" ht="15">
      <c r="A92" s="50" t="s">
        <v>173</v>
      </c>
      <c r="B92" s="27">
        <f>IF(123.46062="","-",123.46062)</f>
        <v>123.46062</v>
      </c>
      <c r="C92" s="27">
        <f>IF(OR(184.97003="",123.46062=""),"-",123.46062/184.97003*100)</f>
        <v>66.7462831681435</v>
      </c>
      <c r="D92" s="27">
        <f>IF(184.97003="","-",184.97003/1071013.38714*100)</f>
        <v>0.017270561901559237</v>
      </c>
      <c r="E92" s="27">
        <f>IF(123.46062="","-",123.46062/1219862.28767*100)</f>
        <v>0.010120865383568515</v>
      </c>
      <c r="F92" s="27">
        <f>IF(OR(1157424.09208="",131.15331="",184.97003=""),"-",(184.97003-131.15331)/1157424.09208*100)</f>
        <v>0.004649697580018945</v>
      </c>
      <c r="G92" s="27">
        <f>IF(OR(1071013.38714="",123.46062="",184.97003=""),"-",(123.46062-184.97003)/1071013.38714*100)</f>
        <v>-0.005743103750014999</v>
      </c>
    </row>
    <row r="93" spans="1:7" ht="15">
      <c r="A93" s="50" t="s">
        <v>167</v>
      </c>
      <c r="B93" s="27">
        <f>IF(119.63437="","-",119.63437)</f>
        <v>119.63437</v>
      </c>
      <c r="C93" s="27" t="s">
        <v>254</v>
      </c>
      <c r="D93" s="27">
        <f>IF(13.3532="","-",13.3532/1071013.38714*100)</f>
        <v>0.0012467818012674855</v>
      </c>
      <c r="E93" s="27">
        <f>IF(119.63437="","-",119.63437/1219862.28767*100)</f>
        <v>0.009807202928496775</v>
      </c>
      <c r="F93" s="27" t="str">
        <f>IF(OR(1157424.09208="",""="",13.3532=""),"-",(13.3532-"")/1157424.09208*100)</f>
        <v>-</v>
      </c>
      <c r="G93" s="27">
        <f>IF(OR(1071013.38714="",119.63437="",13.3532=""),"-",(119.63437-13.3532)/1071013.38714*100)</f>
        <v>0.009923421245350615</v>
      </c>
    </row>
    <row r="94" spans="1:7" ht="15">
      <c r="A94" s="50" t="s">
        <v>249</v>
      </c>
      <c r="B94" s="27">
        <f>IF(116.8245="","-",116.8245)</f>
        <v>116.8245</v>
      </c>
      <c r="C94" s="27">
        <f>IF(OR(141.48989="",116.8245=""),"-",116.8245/141.48989*100)</f>
        <v>82.56738343637132</v>
      </c>
      <c r="D94" s="27">
        <f>IF(141.48989="","-",141.48989/1071013.38714*100)</f>
        <v>0.013210842338565917</v>
      </c>
      <c r="E94" s="27">
        <f>IF(116.8245="","-",116.8245/1219862.28767*100)</f>
        <v>0.009576859714479807</v>
      </c>
      <c r="F94" s="27">
        <f>IF(OR(1157424.09208="",140.32672="",141.48989=""),"-",(141.48989-140.32672)/1157424.09208*100)</f>
        <v>0.00010049643928783978</v>
      </c>
      <c r="G94" s="27">
        <f>IF(OR(1071013.38714="",116.8245="",141.48989=""),"-",(116.8245-141.48989)/1071013.38714*100)</f>
        <v>-0.0023029954897077127</v>
      </c>
    </row>
    <row r="95" spans="1:7" ht="15">
      <c r="A95" s="50" t="s">
        <v>204</v>
      </c>
      <c r="B95" s="27">
        <f>IF(116.25016="","-",116.25016)</f>
        <v>116.25016</v>
      </c>
      <c r="C95" s="27" t="s">
        <v>255</v>
      </c>
      <c r="D95" s="27">
        <f>IF(0.2121="","-",0.2121/1071013.38714*100)</f>
        <v>1.9803674029358782E-05</v>
      </c>
      <c r="E95" s="27">
        <f>IF(116.25016="","-",116.25016/1219862.28767*100)</f>
        <v>0.009529777350691266</v>
      </c>
      <c r="F95" s="27">
        <f>IF(OR(1157424.09208="",27.7076="",0.2121=""),"-",(0.2121-27.7076)/1157424.09208*100)</f>
        <v>-0.002375576954734716</v>
      </c>
      <c r="G95" s="27">
        <f>IF(OR(1071013.38714="",116.25016="",0.2121=""),"-",(116.25016-0.2121)/1071013.38714*100)</f>
        <v>0.010834417327860328</v>
      </c>
    </row>
    <row r="96" spans="1:7" ht="15">
      <c r="A96" s="50" t="s">
        <v>179</v>
      </c>
      <c r="B96" s="27">
        <f>IF(52.67591="","-",52.67591)</f>
        <v>52.67591</v>
      </c>
      <c r="C96" s="27" t="str">
        <f>IF(OR(""="",52.67591=""),"-",52.67591/""*100)</f>
        <v>-</v>
      </c>
      <c r="D96" s="27" t="str">
        <f>IF(""="","-",""/1071013.38714*100)</f>
        <v>-</v>
      </c>
      <c r="E96" s="27">
        <f>IF(52.67591="","-",52.67591/1219862.28767*100)</f>
        <v>0.004318184973208223</v>
      </c>
      <c r="F96" s="27" t="str">
        <f>IF(OR(1157424.09208="",""="",""=""),"-",(""-"")/1157424.09208*100)</f>
        <v>-</v>
      </c>
      <c r="G96" s="27" t="str">
        <f>IF(OR(1071013.38714="",52.67591="",""=""),"-",(52.67591-"")/1071013.38714*100)</f>
        <v>-</v>
      </c>
    </row>
    <row r="97" spans="1:7" ht="15">
      <c r="A97" s="50" t="s">
        <v>223</v>
      </c>
      <c r="B97" s="27">
        <f>IF(45.4372="","-",45.4372)</f>
        <v>45.4372</v>
      </c>
      <c r="C97" s="27" t="s">
        <v>208</v>
      </c>
      <c r="D97" s="27">
        <f>IF(14.606="","-",14.606/1071013.38714*100)</f>
        <v>0.0013637551290561732</v>
      </c>
      <c r="E97" s="27">
        <f>IF(45.4372="","-",45.4372/1219862.28767*100)</f>
        <v>0.0037247811051514183</v>
      </c>
      <c r="F97" s="27" t="str">
        <f>IF(OR(1157424.09208="",""="",14.606=""),"-",(14.606-"")/1157424.09208*100)</f>
        <v>-</v>
      </c>
      <c r="G97" s="27">
        <f>IF(OR(1071013.38714="",45.4372="",14.606=""),"-",(45.4372-14.606)/1071013.38714*100)</f>
        <v>0.0028786941760205863</v>
      </c>
    </row>
    <row r="98" spans="1:7" ht="15">
      <c r="A98" s="51" t="s">
        <v>27</v>
      </c>
      <c r="B98" s="51"/>
      <c r="C98" s="51"/>
      <c r="D98" s="51"/>
      <c r="E98" s="51"/>
      <c r="F98" s="51"/>
      <c r="G98" s="51"/>
    </row>
  </sheetData>
  <sheetProtection/>
  <mergeCells count="10">
    <mergeCell ref="A98:G98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0"/>
  <sheetViews>
    <sheetView zoomScalePageLayoutView="0" workbookViewId="0" topLeftCell="A1">
      <selection activeCell="M25" sqref="M25"/>
    </sheetView>
  </sheetViews>
  <sheetFormatPr defaultColWidth="9.00390625" defaultRowHeight="15.75"/>
  <cols>
    <col min="1" max="1" width="33.125" style="0" customWidth="1"/>
    <col min="2" max="2" width="11.75390625" style="0" customWidth="1"/>
    <col min="3" max="3" width="9.625" style="0" customWidth="1"/>
    <col min="4" max="4" width="8.25390625" style="0" customWidth="1"/>
    <col min="5" max="5" width="7.375" style="0" customWidth="1"/>
    <col min="6" max="6" width="9.625" style="0" customWidth="1"/>
    <col min="7" max="7" width="10.00390625" style="0" customWidth="1"/>
  </cols>
  <sheetData>
    <row r="1" spans="1:7" ht="15.75">
      <c r="A1" s="66" t="s">
        <v>30</v>
      </c>
      <c r="B1" s="66"/>
      <c r="C1" s="66"/>
      <c r="D1" s="66"/>
      <c r="E1" s="66"/>
      <c r="F1" s="66"/>
      <c r="G1" s="66"/>
    </row>
    <row r="2" ht="15">
      <c r="A2" s="2"/>
    </row>
    <row r="3" spans="1:7" ht="56.25" customHeight="1">
      <c r="A3" s="67"/>
      <c r="B3" s="70" t="s">
        <v>243</v>
      </c>
      <c r="C3" s="71"/>
      <c r="D3" s="70" t="s">
        <v>236</v>
      </c>
      <c r="E3" s="71"/>
      <c r="F3" s="72" t="s">
        <v>220</v>
      </c>
      <c r="G3" s="73"/>
    </row>
    <row r="4" spans="1:7" ht="27" customHeight="1">
      <c r="A4" s="68"/>
      <c r="B4" s="74" t="s">
        <v>217</v>
      </c>
      <c r="C4" s="76" t="s">
        <v>244</v>
      </c>
      <c r="D4" s="78" t="s">
        <v>245</v>
      </c>
      <c r="E4" s="78"/>
      <c r="F4" s="78" t="s">
        <v>245</v>
      </c>
      <c r="G4" s="70"/>
    </row>
    <row r="5" spans="1:7" ht="22.5" customHeight="1">
      <c r="A5" s="69"/>
      <c r="B5" s="75"/>
      <c r="C5" s="77"/>
      <c r="D5" s="18">
        <v>2016</v>
      </c>
      <c r="E5" s="18">
        <v>2017</v>
      </c>
      <c r="F5" s="18" t="s">
        <v>2</v>
      </c>
      <c r="G5" s="19" t="s">
        <v>186</v>
      </c>
    </row>
    <row r="6" spans="1:7" s="3" customFormat="1" ht="13.5">
      <c r="A6" s="7" t="s">
        <v>29</v>
      </c>
      <c r="B6" s="34">
        <f>IF(2578307.19892="","-",2578307.19892)</f>
        <v>2578307.19892</v>
      </c>
      <c r="C6" s="34">
        <f>IF(2182440.05753="","-",2578307.19892/2182440.05753*100)</f>
        <v>118.13874062768197</v>
      </c>
      <c r="D6" s="34">
        <v>100</v>
      </c>
      <c r="E6" s="34">
        <v>100</v>
      </c>
      <c r="F6" s="34">
        <f>IF(2326210.82237="","-",(2182440.05753-2326210.82237)/2326210.82237*100)</f>
        <v>-6.180470121513886</v>
      </c>
      <c r="G6" s="34">
        <f>IF(2182440.05753="","-",(2578307.19892-2182440.05753)/2182440.05753*100)</f>
        <v>18.138740627681976</v>
      </c>
    </row>
    <row r="7" spans="1:7" ht="12.75" customHeight="1">
      <c r="A7" s="8" t="s">
        <v>3</v>
      </c>
      <c r="B7" s="38"/>
      <c r="C7" s="39"/>
      <c r="D7" s="40"/>
      <c r="E7" s="40"/>
      <c r="F7" s="41"/>
      <c r="G7" s="41"/>
    </row>
    <row r="8" spans="1:7" ht="15">
      <c r="A8" s="9" t="s">
        <v>4</v>
      </c>
      <c r="B8" s="26">
        <f>IF(1281891.0257="","-",1281891.0257)</f>
        <v>1281891.0257</v>
      </c>
      <c r="C8" s="26">
        <f>IF(1087765.54204="","-",1281891.0257/1087765.54204*100)</f>
        <v>117.8462615478641</v>
      </c>
      <c r="D8" s="26">
        <f>IF(1087765.54204="","-",1087765.54204/2182440.05753*100)</f>
        <v>49.84171447398607</v>
      </c>
      <c r="E8" s="26">
        <f>IF(1281891.0257="","-",1281891.0257/2578307.19892*100)</f>
        <v>49.718320075938124</v>
      </c>
      <c r="F8" s="26">
        <f>IF(2326210.82237="","-",(1087765.54204-1139560.30808)/2326210.82237*100)</f>
        <v>-2.2265723098661523</v>
      </c>
      <c r="G8" s="26">
        <f>IF(2182440.05753="","-",(1281891.0257-1087765.54204)/2182440.05753*100)</f>
        <v>8.894882724967198</v>
      </c>
    </row>
    <row r="9" spans="1:7" s="16" customFormat="1" ht="15">
      <c r="A9" s="50" t="s">
        <v>5</v>
      </c>
      <c r="B9" s="27">
        <f>IF(360053.32941="","-",360053.32941)</f>
        <v>360053.32941</v>
      </c>
      <c r="C9" s="27">
        <f>IF(OR(293537.60972="",360053.32941=""),"-",360053.32941/293537.60972*100)</f>
        <v>122.66003315672158</v>
      </c>
      <c r="D9" s="27">
        <f>IF(293537.60972="","-",293537.60972/2182440.05753*100)</f>
        <v>13.449973515067093</v>
      </c>
      <c r="E9" s="27">
        <f>IF(360053.32941="","-",360053.32941/2578307.19892*100)</f>
        <v>13.964717996397752</v>
      </c>
      <c r="F9" s="27">
        <f>IF(OR(2326210.82237="",332810.04699="",293537.60972=""),"-",(293537.60972-332810.04699)/2326210.82237*100)</f>
        <v>-1.6882578695076433</v>
      </c>
      <c r="G9" s="27">
        <f>IF(OR(2182440.05753="",360053.32941="",293537.60972=""),"-",(360053.32941-293537.60972)/2182440.05753*100)</f>
        <v>3.0477684580844744</v>
      </c>
    </row>
    <row r="10" spans="1:7" s="16" customFormat="1" ht="15">
      <c r="A10" s="50" t="s">
        <v>7</v>
      </c>
      <c r="B10" s="27">
        <f>IF(206213.95365="","-",206213.95365)</f>
        <v>206213.95365</v>
      </c>
      <c r="C10" s="27">
        <f>IF(OR(175801.62096="",206213.95365=""),"-",206213.95365/175801.62096*100)</f>
        <v>117.29923337676146</v>
      </c>
      <c r="D10" s="27">
        <f>IF(175801.62096="","-",175801.62096/2182440.05753*100)</f>
        <v>8.05527832727582</v>
      </c>
      <c r="E10" s="27">
        <f>IF(206213.95365="","-",206213.95365/2578307.19892*100)</f>
        <v>7.998036608530544</v>
      </c>
      <c r="F10" s="27">
        <f>IF(OR(2326210.82237="",188708.12541="",175801.62096=""),"-",(175801.62096-188708.12541)/2326210.82237*100)</f>
        <v>-0.5548295247311483</v>
      </c>
      <c r="G10" s="27">
        <f>IF(OR(2182440.05753="",206213.95365="",175801.62096=""),"-",(206213.95365-175801.62096)/2182440.05753*100)</f>
        <v>1.3935013969831318</v>
      </c>
    </row>
    <row r="11" spans="1:7" s="16" customFormat="1" ht="15">
      <c r="A11" s="50" t="s">
        <v>6</v>
      </c>
      <c r="B11" s="27">
        <f>IF(190453.03906="","-",190453.03906)</f>
        <v>190453.03906</v>
      </c>
      <c r="C11" s="27">
        <f>IF(OR(163588.41279="",190453.03906=""),"-",190453.03906/163588.41279*100)</f>
        <v>116.4220838211117</v>
      </c>
      <c r="D11" s="27">
        <f>IF(163588.41279="","-",163588.41279/2182440.05753*100)</f>
        <v>7.495665790479624</v>
      </c>
      <c r="E11" s="27">
        <f>IF(190453.03906="","-",190453.03906/2578307.19892*100)</f>
        <v>7.386747364308524</v>
      </c>
      <c r="F11" s="27">
        <f>IF(OR(2326210.82237="",160759.98056="",163588.41279=""),"-",(163588.41279-160759.98056)/2326210.82237*100)</f>
        <v>0.12158967720381983</v>
      </c>
      <c r="G11" s="27">
        <f>IF(OR(2182440.05753="",190453.03906="",163588.41279=""),"-",(190453.03906-163588.41279)/2182440.05753*100)</f>
        <v>1.2309445190629584</v>
      </c>
    </row>
    <row r="12" spans="1:7" s="16" customFormat="1" ht="15">
      <c r="A12" s="50" t="s">
        <v>8</v>
      </c>
      <c r="B12" s="27">
        <f>IF(83911.62679="","-",83911.62679)</f>
        <v>83911.62679</v>
      </c>
      <c r="C12" s="27">
        <f>IF(OR(67114.92973="",83911.62679=""),"-",83911.62679/67114.92973*100)</f>
        <v>125.02676696164663</v>
      </c>
      <c r="D12" s="27">
        <f>IF(67114.92973="","-",67114.92973/2182440.05753*100)</f>
        <v>3.075224425909688</v>
      </c>
      <c r="E12" s="27">
        <f>IF(83911.62679="","-",83911.62679/2578307.19892*100)</f>
        <v>3.2545240080448465</v>
      </c>
      <c r="F12" s="27">
        <f>IF(OR(2326210.82237="",66626.13624="",67114.92973=""),"-",(67114.92973-66626.13624)/2326210.82237*100)</f>
        <v>0.02101243297896799</v>
      </c>
      <c r="G12" s="27">
        <f>IF(OR(2182440.05753="",83911.62679="",67114.92973=""),"-",(83911.62679-67114.92973)/2182440.05753*100)</f>
        <v>0.7696292506200529</v>
      </c>
    </row>
    <row r="13" spans="1:7" s="16" customFormat="1" ht="15">
      <c r="A13" s="50" t="s">
        <v>200</v>
      </c>
      <c r="B13" s="27">
        <f>IF(67005.22701="","-",67005.22701)</f>
        <v>67005.22701</v>
      </c>
      <c r="C13" s="27">
        <f>IF(OR(54722.3252199999="",67005.22701=""),"-",67005.22701/54722.3252199999*100)</f>
        <v>122.4458696530515</v>
      </c>
      <c r="D13" s="27">
        <f>IF(54722.3252199999="","-",54722.3252199999/2182440.05753*100)</f>
        <v>2.5073918997771916</v>
      </c>
      <c r="E13" s="27">
        <f>IF(67005.22701="","-",67005.22701/2578307.19892*100)</f>
        <v>2.5988069628811927</v>
      </c>
      <c r="F13" s="27">
        <f>IF(OR(2326210.82237="",50418.60376="",54722.3252199999=""),"-",(54722.3252199999-50418.60376)/2326210.82237*100)</f>
        <v>0.1850099491676839</v>
      </c>
      <c r="G13" s="27">
        <f>IF(OR(2182440.05753="",67005.22701="",54722.3252199999=""),"-",(67005.22701-54722.3252199999)/2182440.05753*100)</f>
        <v>0.5628059175151602</v>
      </c>
    </row>
    <row r="14" spans="1:7" s="16" customFormat="1" ht="15">
      <c r="A14" s="50" t="s">
        <v>125</v>
      </c>
      <c r="B14" s="27">
        <f>IF(53286.34408="","-",53286.34408)</f>
        <v>53286.34408</v>
      </c>
      <c r="C14" s="27">
        <f>IF(OR(44288.39417="",53286.34408=""),"-",53286.34408/44288.39417*100)</f>
        <v>120.3167219733946</v>
      </c>
      <c r="D14" s="27">
        <f>IF(44288.39417="","-",44288.39417/2182440.05753*100)</f>
        <v>2.0293063269798974</v>
      </c>
      <c r="E14" s="27">
        <f>IF(53286.34408="","-",53286.34408/2578307.19892*100)</f>
        <v>2.066718197983567</v>
      </c>
      <c r="F14" s="27">
        <f>IF(OR(2326210.82237="",38922.08566="",44288.39417=""),"-",(44288.39417-38922.08566)/2326210.82237*100)</f>
        <v>0.23068882916350103</v>
      </c>
      <c r="G14" s="27">
        <f>IF(OR(2182440.05753="",53286.34408="",44288.39417=""),"-",(53286.34408-44288.39417)/2182440.05753*100)</f>
        <v>0.4122885244410117</v>
      </c>
    </row>
    <row r="15" spans="1:7" s="16" customFormat="1" ht="15">
      <c r="A15" s="50" t="s">
        <v>11</v>
      </c>
      <c r="B15" s="27">
        <f>IF(43319.16635="","-",43319.16635)</f>
        <v>43319.16635</v>
      </c>
      <c r="C15" s="27">
        <f>IF(OR(43302.16703="",43319.16635=""),"-",43319.16635/43302.16703*100)</f>
        <v>100.03925743482588</v>
      </c>
      <c r="D15" s="27">
        <f>IF(43302.16703="","-",43302.16703/2182440.05753*100)</f>
        <v>1.9841171298426263</v>
      </c>
      <c r="E15" s="27">
        <f>IF(43319.16635="","-",43319.16635/2578307.19892*100)</f>
        <v>1.680139836251689</v>
      </c>
      <c r="F15" s="27">
        <f>IF(OR(2326210.82237="",54839.1745="",43302.16703=""),"-",(43302.16703-54839.1745)/2326210.82237*100)</f>
        <v>-0.49595708862904436</v>
      </c>
      <c r="G15" s="27">
        <f>IF(OR(2182440.05753="",43319.16635="",43302.16703=""),"-",(43319.16635-43302.16703)/2182440.05753*100)</f>
        <v>0.000778913489117396</v>
      </c>
    </row>
    <row r="16" spans="1:7" s="16" customFormat="1" ht="15">
      <c r="A16" s="50" t="s">
        <v>9</v>
      </c>
      <c r="B16" s="27">
        <f>IF(38898.08571="","-",38898.08571)</f>
        <v>38898.08571</v>
      </c>
      <c r="C16" s="27">
        <f>IF(OR(30945.22631="",38898.08571=""),"-",38898.08571/30945.22631*100)</f>
        <v>125.69979395313074</v>
      </c>
      <c r="D16" s="27">
        <f>IF(30945.22631="","-",30945.22631/2182440.05753*100)</f>
        <v>1.4179187283165335</v>
      </c>
      <c r="E16" s="27">
        <f>IF(38898.08571="","-",38898.08571/2578307.19892*100)</f>
        <v>1.5086676144058244</v>
      </c>
      <c r="F16" s="27">
        <f>IF(OR(2326210.82237="",39034.41287="",30945.22631=""),"-",(30945.22631-39034.41287)/2326210.82237*100)</f>
        <v>-0.3477409047456215</v>
      </c>
      <c r="G16" s="27">
        <f>IF(OR(2182440.05753="",38898.08571="",30945.22631=""),"-",(38898.08571-30945.22631)/2182440.05753*100)</f>
        <v>0.3644021916002007</v>
      </c>
    </row>
    <row r="17" spans="1:7" s="16" customFormat="1" ht="15">
      <c r="A17" s="50" t="s">
        <v>10</v>
      </c>
      <c r="B17" s="27">
        <f>IF(35910.36149="","-",35910.36149)</f>
        <v>35910.36149</v>
      </c>
      <c r="C17" s="27">
        <f>IF(OR(29843.88137="",35910.36149=""),"-",35910.36149/29843.88137*100)</f>
        <v>120.32738317375238</v>
      </c>
      <c r="D17" s="27">
        <f>IF(29843.88137="","-",29843.88137/2182440.05753*100)</f>
        <v>1.3674548021161292</v>
      </c>
      <c r="E17" s="27">
        <f>IF(35910.36149="","-",35910.36149/2578307.19892*100)</f>
        <v>1.3927883188257055</v>
      </c>
      <c r="F17" s="27">
        <f>IF(OR(2326210.82237="",28069.01046="",29843.88137=""),"-",(29843.88137-28069.01046)/2326210.82237*100)</f>
        <v>0.07629879858403016</v>
      </c>
      <c r="G17" s="27">
        <f>IF(OR(2182440.05753="",35910.36149="",29843.88137=""),"-",(35910.36149-29843.88137)/2182440.05753*100)</f>
        <v>0.2779677773540231</v>
      </c>
    </row>
    <row r="18" spans="1:7" s="16" customFormat="1" ht="15">
      <c r="A18" s="50" t="s">
        <v>123</v>
      </c>
      <c r="B18" s="27">
        <f>IF(33653.033="","-",33653.033)</f>
        <v>33653.033</v>
      </c>
      <c r="C18" s="27">
        <f>IF(OR(29460.76151="",33653.033=""),"-",33653.033/29460.76151*100)</f>
        <v>114.2300174032399</v>
      </c>
      <c r="D18" s="27">
        <f>IF(29460.76151="","-",29460.76151/2182440.05753*100)</f>
        <v>1.3499001454061714</v>
      </c>
      <c r="E18" s="27">
        <f>IF(33653.033="","-",33653.033/2578307.19892*100)</f>
        <v>1.3052375222819286</v>
      </c>
      <c r="F18" s="27">
        <f>IF(OR(2326210.82237="",26062.83082="",29460.76151=""),"-",(29460.76151-26062.83082)/2326210.82237*100)</f>
        <v>0.14607148489396618</v>
      </c>
      <c r="G18" s="27">
        <f>IF(OR(2182440.05753="",33653.033="",29460.76151=""),"-",(33653.033-29460.76151)/2182440.05753*100)</f>
        <v>0.19209102561765895</v>
      </c>
    </row>
    <row r="19" spans="1:7" s="16" customFormat="1" ht="26.25">
      <c r="A19" s="50" t="s">
        <v>209</v>
      </c>
      <c r="B19" s="27">
        <f>IF(33045.85338="","-",33045.85338)</f>
        <v>33045.85338</v>
      </c>
      <c r="C19" s="27">
        <f>IF(OR(35455.48473="",33045.85338=""),"-",33045.85338/35455.48473*100)</f>
        <v>93.20378393258538</v>
      </c>
      <c r="D19" s="27">
        <f>IF(35455.48473="","-",35455.48473/2182440.05753*100)</f>
        <v>1.6245800019876435</v>
      </c>
      <c r="E19" s="27">
        <f>IF(33045.85338="","-",33045.85338/2578307.19892*100)</f>
        <v>1.2816879770510758</v>
      </c>
      <c r="F19" s="27">
        <f>IF(OR(2326210.82237="",30009.88148="",35455.48473=""),"-",(35455.48473-30009.88148)/2326210.82237*100)</f>
        <v>0.234097580392644</v>
      </c>
      <c r="G19" s="27">
        <f>IF(OR(2182440.05753="",33045.85338="",35455.48473=""),"-",(33045.85338-35455.48473)/2182440.05753*100)</f>
        <v>-0.11040996712308893</v>
      </c>
    </row>
    <row r="20" spans="1:7" s="16" customFormat="1" ht="15">
      <c r="A20" s="50" t="s">
        <v>13</v>
      </c>
      <c r="B20" s="27">
        <f>IF(25987.77538="","-",25987.77538)</f>
        <v>25987.77538</v>
      </c>
      <c r="C20" s="27">
        <f>IF(OR(22327.54054="",25987.77538=""),"-",25987.77538/22327.54054*100)</f>
        <v>116.39336331488303</v>
      </c>
      <c r="D20" s="27">
        <f>IF(22327.54054="","-",22327.54054/2182440.05753*100)</f>
        <v>1.023054010714477</v>
      </c>
      <c r="E20" s="27">
        <f>IF(25987.77538="","-",25987.77538/2578307.19892*100)</f>
        <v>1.0079394492202383</v>
      </c>
      <c r="F20" s="27">
        <f>IF(OR(2326210.82237="",25451.86363="",22327.54054=""),"-",(22327.54054-25451.86363)/2326210.82237*100)</f>
        <v>-0.1343095415065115</v>
      </c>
      <c r="G20" s="27">
        <f>IF(OR(2182440.05753="",25987.77538="",22327.54054=""),"-",(25987.77538-22327.54054)/2182440.05753*100)</f>
        <v>0.1677129608839066</v>
      </c>
    </row>
    <row r="21" spans="1:7" s="16" customFormat="1" ht="15">
      <c r="A21" s="50" t="s">
        <v>124</v>
      </c>
      <c r="B21" s="27">
        <f>IF(21251.10856="","-",21251.10856)</f>
        <v>21251.10856</v>
      </c>
      <c r="C21" s="27">
        <f>IF(OR(18591.7878="",21251.10856=""),"-",21251.10856/18591.7878*100)</f>
        <v>114.30373877223363</v>
      </c>
      <c r="D21" s="27">
        <f>IF(18591.7878="","-",18591.7878/2182440.05753*100)</f>
        <v>0.8518807990099603</v>
      </c>
      <c r="E21" s="27">
        <f>IF(21251.10856="","-",21251.10856/2578307.19892*100)</f>
        <v>0.8242271738954015</v>
      </c>
      <c r="F21" s="27">
        <f>IF(OR(2326210.82237="",20683.44458="",18591.7878=""),"-",(18591.7878-20683.44458)/2326210.82237*100)</f>
        <v>-0.08991690520418825</v>
      </c>
      <c r="G21" s="27">
        <f>IF(OR(2182440.05753="",21251.10856="",18591.7878=""),"-",(21251.10856-18591.7878)/2182440.05753*100)</f>
        <v>0.12185080414120135</v>
      </c>
    </row>
    <row r="22" spans="1:7" s="16" customFormat="1" ht="15">
      <c r="A22" s="50" t="s">
        <v>12</v>
      </c>
      <c r="B22" s="27">
        <f>IF(13033.72514="","-",13033.72514)</f>
        <v>13033.72514</v>
      </c>
      <c r="C22" s="27">
        <f>IF(OR(10547.01087="",13033.72514=""),"-",13033.72514/10547.01087*100)</f>
        <v>123.57743156474059</v>
      </c>
      <c r="D22" s="27">
        <f>IF(10547.01087="","-",10547.01087/2182440.05753*100)</f>
        <v>0.48326692105975605</v>
      </c>
      <c r="E22" s="27">
        <f>IF(13033.72514="","-",13033.72514/2578307.19892*100)</f>
        <v>0.5055148255979567</v>
      </c>
      <c r="F22" s="27">
        <f>IF(OR(2326210.82237="",11924.70228="",10547.01087=""),"-",(10547.01087-11924.70228)/2326210.82237*100)</f>
        <v>-0.059224701250266465</v>
      </c>
      <c r="G22" s="27">
        <f>IF(OR(2182440.05753="",13033.72514="",10547.01087=""),"-",(13033.72514-10547.01087)/2182440.05753*100)</f>
        <v>0.11394192758789289</v>
      </c>
    </row>
    <row r="23" spans="1:7" s="16" customFormat="1" ht="15">
      <c r="A23" s="50" t="s">
        <v>127</v>
      </c>
      <c r="B23" s="27">
        <f>IF(12367.52693="","-",12367.52693)</f>
        <v>12367.52693</v>
      </c>
      <c r="C23" s="27">
        <f>IF(OR(9899.94366="",12367.52693=""),"-",12367.52693/9899.94366*100)</f>
        <v>124.92522538254525</v>
      </c>
      <c r="D23" s="27">
        <f>IF(9899.94366="","-",9899.94366/2182440.05753*100)</f>
        <v>0.45361812462351747</v>
      </c>
      <c r="E23" s="27">
        <f>IF(12367.52693="","-",12367.52693/2578307.19892*100)</f>
        <v>0.47967623622121147</v>
      </c>
      <c r="F23" s="27">
        <f>IF(OR(2326210.82237="",8277.68099="",9899.94366=""),"-",(9899.94366-8277.68099)/2326210.82237*100)</f>
        <v>0.06973841985427612</v>
      </c>
      <c r="G23" s="27">
        <f>IF(OR(2182440.05753="",12367.52693="",9899.94366=""),"-",(12367.52693-9899.94366)/2182440.05753*100)</f>
        <v>0.1130653399384867</v>
      </c>
    </row>
    <row r="24" spans="1:7" s="16" customFormat="1" ht="15">
      <c r="A24" s="50" t="s">
        <v>133</v>
      </c>
      <c r="B24" s="27">
        <f>IF(10359.95367="","-",10359.95367)</f>
        <v>10359.95367</v>
      </c>
      <c r="C24" s="27">
        <f>IF(OR(10184.20863="",10359.95367=""),"-",10359.95367/10184.20863*100)</f>
        <v>101.72566221279386</v>
      </c>
      <c r="D24" s="27">
        <f>IF(10184.20863="","-",10184.20863/2182440.05753*100)</f>
        <v>0.46664322325196356</v>
      </c>
      <c r="E24" s="27">
        <f>IF(10359.95367="","-",10359.95367/2578307.19892*100)</f>
        <v>0.40181223068917366</v>
      </c>
      <c r="F24" s="27">
        <f>IF(OR(2326210.82237="",8481.86431="",10184.20863=""),"-",(10184.20863-8481.86431)/2326210.82237*100)</f>
        <v>0.07318099905775559</v>
      </c>
      <c r="G24" s="27">
        <f>IF(OR(2182440.05753="",10359.95367="",10184.20863=""),"-",(10359.95367-10184.20863)/2182440.05753*100)</f>
        <v>0.008052685772222443</v>
      </c>
    </row>
    <row r="25" spans="1:7" s="16" customFormat="1" ht="15">
      <c r="A25" s="50" t="s">
        <v>135</v>
      </c>
      <c r="B25" s="27">
        <f>IF(9124.56733="","-",9124.56733)</f>
        <v>9124.56733</v>
      </c>
      <c r="C25" s="27">
        <f>IF(OR(8066.68273="",9124.56733=""),"-",9124.56733/8066.68273*100)</f>
        <v>113.11424578613618</v>
      </c>
      <c r="D25" s="27">
        <f>IF(8066.68273="","-",8066.68273/2182440.05753*100)</f>
        <v>0.3696176076940943</v>
      </c>
      <c r="E25" s="27">
        <f>IF(9124.56733="","-",9124.56733/2578307.19892*100)</f>
        <v>0.35389760125644043</v>
      </c>
      <c r="F25" s="27">
        <f>IF(OR(2326210.82237="",9741.06918="",8066.68273=""),"-",(8066.68273-9741.06918)/2326210.82237*100)</f>
        <v>-0.07197913593635913</v>
      </c>
      <c r="G25" s="27">
        <f>IF(OR(2182440.05753="",9124.56733="",8066.68273=""),"-",(9124.56733-8066.68273)/2182440.05753*100)</f>
        <v>0.04847256154184009</v>
      </c>
    </row>
    <row r="26" spans="1:7" s="16" customFormat="1" ht="15">
      <c r="A26" s="50" t="s">
        <v>131</v>
      </c>
      <c r="B26" s="27">
        <f>IF(8373.72984="","-",8373.72984)</f>
        <v>8373.72984</v>
      </c>
      <c r="C26" s="27">
        <f>IF(OR(6349.63547="",8373.72984=""),"-",8373.72984/6349.63547*100)</f>
        <v>131.87733184941402</v>
      </c>
      <c r="D26" s="27">
        <f>IF(6349.63547="","-",6349.63547/2182440.05753*100)</f>
        <v>0.29094203289075754</v>
      </c>
      <c r="E26" s="27">
        <f>IF(8373.72984="","-",8373.72984/2578307.19892*100)</f>
        <v>0.32477626574163015</v>
      </c>
      <c r="F26" s="27">
        <f>IF(OR(2326210.82237="",8945.90579="",6349.63547=""),"-",(6349.63547-8945.90579)/2326210.82237*100)</f>
        <v>-0.11160941626756156</v>
      </c>
      <c r="G26" s="27">
        <f>IF(OR(2182440.05753="",8373.72984="",6349.63547=""),"-",(8373.72984-6349.63547)/2182440.05753*100)</f>
        <v>0.09274455731401808</v>
      </c>
    </row>
    <row r="27" spans="1:7" s="16" customFormat="1" ht="15">
      <c r="A27" s="50" t="s">
        <v>132</v>
      </c>
      <c r="B27" s="27">
        <f>IF(7266.18395="","-",7266.18395)</f>
        <v>7266.18395</v>
      </c>
      <c r="C27" s="27">
        <f>IF(OR(6130.15424="",7266.18395=""),"-",7266.18395/6130.15424*100)</f>
        <v>118.53182914366604</v>
      </c>
      <c r="D27" s="27">
        <f>IF(6130.15424="","-",6130.15424/2182440.05753*100)</f>
        <v>0.2808853429375681</v>
      </c>
      <c r="E27" s="27">
        <f>IF(7266.18395="","-",7266.18395/2578307.19892*100)</f>
        <v>0.28181994577851915</v>
      </c>
      <c r="F27" s="27">
        <f>IF(OR(2326210.82237="",6610.95189="",6130.15424=""),"-",(6130.15424-6610.95189)/2326210.82237*100)</f>
        <v>-0.02066870489021937</v>
      </c>
      <c r="G27" s="27">
        <f>IF(OR(2182440.05753="",7266.18395="",6130.15424=""),"-",(7266.18395-6130.15424)/2182440.05753*100)</f>
        <v>0.05205319184279057</v>
      </c>
    </row>
    <row r="28" spans="1:7" s="16" customFormat="1" ht="15">
      <c r="A28" s="50" t="s">
        <v>134</v>
      </c>
      <c r="B28" s="27">
        <f>IF(7197.92483="","-",7197.92483)</f>
        <v>7197.92483</v>
      </c>
      <c r="C28" s="27">
        <f>IF(OR(7448.43769="",7197.92483=""),"-",7197.92483/7448.43769*100)</f>
        <v>96.63670597209494</v>
      </c>
      <c r="D28" s="27">
        <f>IF(7448.43769="","-",7448.43769/2182440.05753*100)</f>
        <v>0.3412894509657163</v>
      </c>
      <c r="E28" s="27">
        <f>IF(7197.92483="","-",7197.92483/2578307.19892*100)</f>
        <v>0.27917250640323477</v>
      </c>
      <c r="F28" s="27">
        <f>IF(OR(2326210.82237="",4046.62691="",7448.43769=""),"-",(7448.43769-4046.62691)/2326210.82237*100)</f>
        <v>0.14623828361928745</v>
      </c>
      <c r="G28" s="27">
        <f>IF(OR(2182440.05753="",7197.92483="",7448.43769=""),"-",(7197.92483-7448.43769)/2182440.05753*100)</f>
        <v>-0.011478567722199915</v>
      </c>
    </row>
    <row r="29" spans="1:7" s="16" customFormat="1" ht="15">
      <c r="A29" s="50" t="s">
        <v>126</v>
      </c>
      <c r="B29" s="27">
        <f>IF(6662.86729="","-",6662.86729)</f>
        <v>6662.86729</v>
      </c>
      <c r="C29" s="27">
        <f>IF(OR(7559.51019="",6662.86729=""),"-",6662.86729/7559.51019*100)</f>
        <v>88.13887570141631</v>
      </c>
      <c r="D29" s="27">
        <f>IF(7559.51019="","-",7559.51019/2182440.05753*100)</f>
        <v>0.34637882327707814</v>
      </c>
      <c r="E29" s="27">
        <f>IF(6662.86729="","-",6662.86729/2578307.19892*100)</f>
        <v>0.258420225983581</v>
      </c>
      <c r="F29" s="27">
        <f>IF(OR(2326210.82237="",5293.75532="",7559.51019=""),"-",(7559.51019-5293.75532)/2326210.82237*100)</f>
        <v>0.09740109745047071</v>
      </c>
      <c r="G29" s="27">
        <f>IF(OR(2182440.05753="",6662.86729="",7559.51019=""),"-",(6662.86729-7559.51019)/2182440.05753*100)</f>
        <v>-0.04108442277286576</v>
      </c>
    </row>
    <row r="30" spans="1:7" s="16" customFormat="1" ht="15">
      <c r="A30" s="50" t="s">
        <v>128</v>
      </c>
      <c r="B30" s="27">
        <f>IF(4259.1235="","-",4259.1235)</f>
        <v>4259.1235</v>
      </c>
      <c r="C30" s="27">
        <f>IF(OR(4697.35834="",4259.1235=""),"-",4259.1235/4697.35834*100)</f>
        <v>90.67061083528067</v>
      </c>
      <c r="D30" s="27">
        <f>IF(4697.35834="","-",4697.35834/2182440.05753*100)</f>
        <v>0.21523424314875733</v>
      </c>
      <c r="E30" s="27">
        <f>IF(4259.1235="","-",4259.1235/2578307.19892*100)</f>
        <v>0.16519069185332375</v>
      </c>
      <c r="F30" s="27">
        <f>IF(OR(2326210.82237="",4424.09911="",4697.35834=""),"-",(4697.35834-4424.09911)/2326210.82237*100)</f>
        <v>0.011746967530724345</v>
      </c>
      <c r="G30" s="27">
        <f>IF(OR(2182440.05753="",4259.1235="",4697.35834=""),"-",(4259.1235-4697.35834)/2182440.05753*100)</f>
        <v>-0.02008004015908584</v>
      </c>
    </row>
    <row r="31" spans="1:7" s="16" customFormat="1" ht="15">
      <c r="A31" s="50" t="s">
        <v>136</v>
      </c>
      <c r="B31" s="27">
        <f>IF(3883.83344="","-",3883.83344)</f>
        <v>3883.83344</v>
      </c>
      <c r="C31" s="27">
        <f>IF(OR(2866.1381="",3883.83344=""),"-",3883.83344/2866.1381*100)</f>
        <v>135.5075472462405</v>
      </c>
      <c r="D31" s="27">
        <f>IF(2866.1381="","-",2866.1381/2182440.05753*100)</f>
        <v>0.1313272311929512</v>
      </c>
      <c r="E31" s="27">
        <f>IF(3883.83344="","-",3883.83344/2578307.19892*100)</f>
        <v>0.15063501516137634</v>
      </c>
      <c r="F31" s="27">
        <f>IF(OR(2326210.82237="",3209.07114="",2866.1381=""),"-",(2866.1381-3209.07114)/2326210.82237*100)</f>
        <v>-0.014742130708970366</v>
      </c>
      <c r="G31" s="27">
        <f>IF(OR(2182440.05753="",3883.83344="",2866.1381=""),"-",(3883.83344-2866.1381)/2182440.05753*100)</f>
        <v>0.046631078663016634</v>
      </c>
    </row>
    <row r="32" spans="1:7" s="16" customFormat="1" ht="15">
      <c r="A32" s="50" t="s">
        <v>129</v>
      </c>
      <c r="B32" s="27">
        <f>IF(2897.26505="","-",2897.26505)</f>
        <v>2897.26505</v>
      </c>
      <c r="C32" s="27">
        <f>IF(OR(2314.0881="",2897.26505=""),"-",2897.26505/2314.0881*100)</f>
        <v>125.20115591104764</v>
      </c>
      <c r="D32" s="27">
        <f>IF(2314.0881="","-",2314.0881/2182440.05753*100)</f>
        <v>0.10603214929160501</v>
      </c>
      <c r="E32" s="27">
        <f>IF(2897.26505="","-",2897.26505/2578307.19892*100)</f>
        <v>0.11237082420642525</v>
      </c>
      <c r="F32" s="27">
        <f>IF(OR(2326210.82237="",3708.05781="",2314.0881=""),"-",(2314.0881-3708.05781)/2326210.82237*100)</f>
        <v>-0.05992447875295282</v>
      </c>
      <c r="G32" s="27">
        <f>IF(OR(2182440.05753="",2897.26505="",2314.0881=""),"-",(2897.26505-2314.0881)/2182440.05753*100)</f>
        <v>0.026721327258812176</v>
      </c>
    </row>
    <row r="33" spans="1:7" s="16" customFormat="1" ht="15">
      <c r="A33" s="50" t="s">
        <v>137</v>
      </c>
      <c r="B33" s="27">
        <f>IF(1411.76269="","-",1411.76269)</f>
        <v>1411.76269</v>
      </c>
      <c r="C33" s="27">
        <f>IF(OR(1267.40613="",1411.76269=""),"-",1411.76269/1267.40613*100)</f>
        <v>111.38992124016316</v>
      </c>
      <c r="D33" s="27">
        <f>IF(1267.40613="","-",1267.40613/2182440.05753*100)</f>
        <v>0.05807289531857295</v>
      </c>
      <c r="E33" s="27">
        <f>IF(1411.76269="","-",1411.76269/2578307.19892*100)</f>
        <v>0.05475541047208644</v>
      </c>
      <c r="F33" s="27">
        <f>IF(OR(2326210.82237="",1154.59067="",1267.40613=""),"-",(1267.40613-1154.59067)/2326210.82237*100)</f>
        <v>0.0048497521770215525</v>
      </c>
      <c r="G33" s="27">
        <f>IF(OR(2182440.05753="",1411.76269="",1267.40613=""),"-",(1411.76269-1267.40613)/2182440.05753*100)</f>
        <v>0.006614457038667859</v>
      </c>
    </row>
    <row r="34" spans="1:7" s="16" customFormat="1" ht="15">
      <c r="A34" s="50" t="s">
        <v>201</v>
      </c>
      <c r="B34" s="27">
        <f>IF(1216.4929="","-",1216.4929)</f>
        <v>1216.4929</v>
      </c>
      <c r="C34" s="27">
        <f>IF(OR(858.55449="",1216.4929=""),"-",1216.4929/858.55449*100)</f>
        <v>141.69082034618444</v>
      </c>
      <c r="D34" s="27">
        <f>IF(858.55449="","-",858.55449/2182440.05753*100)</f>
        <v>0.03933920141530386</v>
      </c>
      <c r="E34" s="27">
        <f>IF(1216.4929="","-",1216.4929/2578307.19892*100)</f>
        <v>0.0471818447588233</v>
      </c>
      <c r="F34" s="27">
        <f>IF(OR(2326210.82237="",776.50567="",858.55449=""),"-",(858.55449-776.50567)/2326210.82237*100)</f>
        <v>0.003527144625542007</v>
      </c>
      <c r="G34" s="27">
        <f>IF(OR(2182440.05753="",1216.4929="",858.55449=""),"-",(1216.4929-858.55449)/2182440.05753*100)</f>
        <v>0.016400835787677974</v>
      </c>
    </row>
    <row r="35" spans="1:7" s="16" customFormat="1" ht="15">
      <c r="A35" s="50" t="s">
        <v>130</v>
      </c>
      <c r="B35" s="27">
        <f>IF(626.15399="","-",626.15399)</f>
        <v>626.15399</v>
      </c>
      <c r="C35" s="27" t="s">
        <v>214</v>
      </c>
      <c r="D35" s="27">
        <f>IF(369.93679="","-",369.93679/2182440.05753*100)</f>
        <v>0.01695060483900208</v>
      </c>
      <c r="E35" s="27">
        <f>IF(626.15399="","-",626.15399/2578307.19892*100)</f>
        <v>0.024285468785964805</v>
      </c>
      <c r="F35" s="27">
        <f>IF(OR(2326210.82237="",440.34976="",369.93679=""),"-",(369.93679-440.34976)/2326210.82237*100)</f>
        <v>-0.003026938458151509</v>
      </c>
      <c r="G35" s="27">
        <f>IF(OR(2182440.05753="",626.15399="",369.93679=""),"-",(626.15399-369.93679)/2182440.05753*100)</f>
        <v>0.011739942140265545</v>
      </c>
    </row>
    <row r="36" spans="1:7" s="16" customFormat="1" ht="15">
      <c r="A36" s="50" t="s">
        <v>138</v>
      </c>
      <c r="B36" s="27">
        <f>IF(221.01128="","-",221.01128)</f>
        <v>221.01128</v>
      </c>
      <c r="C36" s="27">
        <f>IF(OR(226.33473="",221.01128=""),"-",221.01128/226.33473*100)</f>
        <v>97.64797474961088</v>
      </c>
      <c r="D36" s="27">
        <f>IF(226.33473="","-",226.33473/2182440.05753*100)</f>
        <v>0.010370719196574717</v>
      </c>
      <c r="E36" s="27">
        <f>IF(221.01128="","-",221.01128/2578307.19892*100)</f>
        <v>0.008571952950082019</v>
      </c>
      <c r="F36" s="27">
        <f>IF(OR(2326210.82237="",129.48029="",226.33473=""),"-",(226.33473-129.48029)/2326210.82237*100)</f>
        <v>0.004163614022796194</v>
      </c>
      <c r="G36" s="27">
        <f>IF(OR(2182440.05753="",221.01128="",226.33473=""),"-",(221.01128-226.33473)/2182440.05753*100)</f>
        <v>-0.00024392193415038763</v>
      </c>
    </row>
    <row r="37" spans="1:7" s="16" customFormat="1" ht="15">
      <c r="A37" s="15" t="s">
        <v>14</v>
      </c>
      <c r="B37" s="26">
        <f>IF(635226.99348="","-",635226.99348)</f>
        <v>635226.99348</v>
      </c>
      <c r="C37" s="26">
        <f>IF(547994.72867="","-",635226.99348/547994.72867*100)</f>
        <v>115.91844962116977</v>
      </c>
      <c r="D37" s="26">
        <f>IF(547994.72867="","-",547994.72867/2182440.05753*100)</f>
        <v>25.109268260508326</v>
      </c>
      <c r="E37" s="26">
        <f>IF(635226.99348="","-",635226.99348/2578307.19892*100)</f>
        <v>24.63736647619351</v>
      </c>
      <c r="F37" s="26">
        <f>IF(2326210.82237="","-",(547994.72867-586256.57421)/2326210.82237*100)</f>
        <v>-1.644814183308541</v>
      </c>
      <c r="G37" s="26">
        <f>IF(2182440.05753="","-",(635226.99348-547994.72867)/2182440.05753*100)</f>
        <v>3.997006218293391</v>
      </c>
    </row>
    <row r="38" spans="1:7" s="16" customFormat="1" ht="15">
      <c r="A38" s="50" t="s">
        <v>210</v>
      </c>
      <c r="B38" s="27">
        <f>IF(297889.50141="","-",297889.50141)</f>
        <v>297889.50141</v>
      </c>
      <c r="C38" s="27">
        <f>IF(OR(283648.48658="",297889.50141=""),"-",297889.50141/283648.48658*100)</f>
        <v>105.02065602454165</v>
      </c>
      <c r="D38" s="27">
        <f>IF(283648.48658="","-",283648.48658/2182440.05753*100)</f>
        <v>12.996851189627737</v>
      </c>
      <c r="E38" s="27">
        <f>IF(297889.50141="","-",297889.50141/2578307.19892*100)</f>
        <v>11.553685361262609</v>
      </c>
      <c r="F38" s="27">
        <f>IF(OR(2326210.82237="",318482.18021="",283648.48658=""),"-",(283648.48658-318482.18021)/2326210.82237*100)</f>
        <v>-1.4974435375771564</v>
      </c>
      <c r="G38" s="27">
        <f>IF(OR(2182440.05753="",297889.50141="",283648.48658=""),"-",(297889.50141-283648.48658)/2182440.05753*100)</f>
        <v>0.6525271922527587</v>
      </c>
    </row>
    <row r="39" spans="1:7" s="16" customFormat="1" ht="15">
      <c r="A39" s="50" t="s">
        <v>16</v>
      </c>
      <c r="B39" s="27">
        <f>IF(270983.01542="","-",270983.01542)</f>
        <v>270983.01542</v>
      </c>
      <c r="C39" s="27">
        <f>IF(OR(205489.85336="",270983.01542=""),"-",270983.01542/205489.85336*100)</f>
        <v>131.87172553248251</v>
      </c>
      <c r="D39" s="27">
        <f>IF(205489.85336="","-",205489.85336/2182440.05753*100)</f>
        <v>9.415601251040332</v>
      </c>
      <c r="E39" s="27">
        <f>IF(270983.01542="","-",270983.01542/2578307.19892*100)</f>
        <v>10.510113594435499</v>
      </c>
      <c r="F39" s="27">
        <f>IF(OR(2326210.82237="",207266.62999="",205489.85336=""),"-",(205489.85336-207266.62999)/2326210.82237*100)</f>
        <v>-0.07638072237105986</v>
      </c>
      <c r="G39" s="27">
        <f>IF(OR(2182440.05753="",270983.01542="",205489.85336=""),"-",(270983.01542-205489.85336)/2182440.05753*100)</f>
        <v>3.0009145879645645</v>
      </c>
    </row>
    <row r="40" spans="1:7" s="16" customFormat="1" ht="15">
      <c r="A40" s="50" t="s">
        <v>15</v>
      </c>
      <c r="B40" s="27">
        <f>IF(62912.80184="","-",62912.80184)</f>
        <v>62912.80184</v>
      </c>
      <c r="C40" s="27">
        <f>IF(OR(54527.82336="",62912.80184=""),"-",62912.80184/54527.82336*100)</f>
        <v>115.37743112289893</v>
      </c>
      <c r="D40" s="27">
        <f>IF(54527.82336="","-",54527.82336/2182440.05753*100)</f>
        <v>2.498479771385449</v>
      </c>
      <c r="E40" s="27">
        <f>IF(62912.80184="","-",62912.80184/2578307.19892*100)</f>
        <v>2.4400816887278944</v>
      </c>
      <c r="F40" s="27">
        <f>IF(OR(2326210.82237="",41838.17947="",54527.82336=""),"-",(54527.82336-41838.17947)/2326210.82237*100)</f>
        <v>0.545507043814347</v>
      </c>
      <c r="G40" s="27">
        <f>IF(OR(2182440.05753="",62912.80184="",54527.82336=""),"-",(62912.80184-54527.82336)/2182440.05753*100)</f>
        <v>0.38420200596436027</v>
      </c>
    </row>
    <row r="41" spans="1:7" s="16" customFormat="1" ht="15">
      <c r="A41" s="50" t="s">
        <v>19</v>
      </c>
      <c r="B41" s="27">
        <f>IF(2122.56288="","-",2122.56288)</f>
        <v>2122.56288</v>
      </c>
      <c r="C41" s="27">
        <f>IF(OR(1637.40307="",2122.56288=""),"-",2122.56288/1637.40307*100)</f>
        <v>129.62983390522163</v>
      </c>
      <c r="D41" s="27">
        <f>IF(1637.40307="","-",1637.40307/2182440.05753*100)</f>
        <v>0.07502625624701686</v>
      </c>
      <c r="E41" s="27">
        <f>IF(2122.56288="","-",2122.56288/2578307.19892*100)</f>
        <v>0.08232389378926987</v>
      </c>
      <c r="F41" s="27">
        <f>IF(OR(2326210.82237="",8668.03319="",1637.40307=""),"-",(1637.40307-8668.03319)/2326210.82237*100)</f>
        <v>-0.3022352940838364</v>
      </c>
      <c r="G41" s="27">
        <f>IF(OR(2182440.05753="",2122.56288="",1637.40307=""),"-",(2122.56288-1637.40307)/2182440.05753*100)</f>
        <v>0.022230155111297067</v>
      </c>
    </row>
    <row r="42" spans="1:7" s="16" customFormat="1" ht="15">
      <c r="A42" s="50" t="s">
        <v>17</v>
      </c>
      <c r="B42" s="27">
        <f>IF(817.19284="","-",817.19284)</f>
        <v>817.19284</v>
      </c>
      <c r="C42" s="27">
        <f>IF(OR(2021.46261="",817.19284=""),"-",817.19284/2021.46261*100)</f>
        <v>40.42582019362703</v>
      </c>
      <c r="D42" s="27">
        <f>IF(2021.46261="","-",2021.46261/2182440.05753*100)</f>
        <v>0.09262396935143374</v>
      </c>
      <c r="E42" s="27">
        <f>IF(817.19284="","-",817.19284/2578307.19892*100)</f>
        <v>0.03169493690830578</v>
      </c>
      <c r="F42" s="27">
        <f>IF(OR(2326210.82237="",6958.83061="",2021.46261=""),"-",(2021.46261-6958.83061)/2326210.82237*100)</f>
        <v>-0.21224937793770943</v>
      </c>
      <c r="G42" s="27">
        <f>IF(OR(2182440.05753="",817.19284="",2021.46261=""),"-",(817.19284-2021.46261)/2182440.05753*100)</f>
        <v>-0.055179970045222924</v>
      </c>
    </row>
    <row r="43" spans="1:7" s="16" customFormat="1" ht="15">
      <c r="A43" s="50" t="s">
        <v>22</v>
      </c>
      <c r="B43" s="27">
        <f>IF(356.8124="","-",356.8124)</f>
        <v>356.8124</v>
      </c>
      <c r="C43" s="27" t="s">
        <v>257</v>
      </c>
      <c r="D43" s="27">
        <f>IF(94.54549="","-",94.54549/2182440.05753*100)</f>
        <v>0.004332100195549146</v>
      </c>
      <c r="E43" s="27">
        <f>IF(356.8124="","-",356.8124/2578307.19892*100)</f>
        <v>0.013839018102631892</v>
      </c>
      <c r="F43" s="27">
        <f>IF(OR(2326210.82237="",184.61734="",94.54549=""),"-",(94.54549-184.61734)/2326210.82237*100)</f>
        <v>-0.0038720415679363326</v>
      </c>
      <c r="G43" s="27">
        <f>IF(OR(2182440.05753="",356.8124="",94.54549=""),"-",(356.8124-94.54549)/2182440.05753*100)</f>
        <v>0.012017141506137101</v>
      </c>
    </row>
    <row r="44" spans="1:7" s="16" customFormat="1" ht="15">
      <c r="A44" s="50" t="s">
        <v>18</v>
      </c>
      <c r="B44" s="27">
        <f>IF(93.12831="","-",93.12831)</f>
        <v>93.12831</v>
      </c>
      <c r="C44" s="27">
        <f>IF(OR(493.4583="",93.12831=""),"-",93.12831/493.4583*100)</f>
        <v>18.872579506718196</v>
      </c>
      <c r="D44" s="27">
        <f>IF(493.4583="","-",493.4583/2182440.05753*100)</f>
        <v>0.022610394191466446</v>
      </c>
      <c r="E44" s="27">
        <f>IF(93.12831="","-",93.12831/2578307.19892*100)</f>
        <v>0.0036119943364006256</v>
      </c>
      <c r="F44" s="27" t="str">
        <f>IF(OR(2326210.82237="",""="",493.4583=""),"-",(493.4583-"")/2326210.82237*100)</f>
        <v>-</v>
      </c>
      <c r="G44" s="27">
        <f>IF(OR(2182440.05753="",93.12831="",493.4583=""),"-",(93.12831-493.4583)/2182440.05753*100)</f>
        <v>-0.018343229570899545</v>
      </c>
    </row>
    <row r="45" spans="1:7" s="16" customFormat="1" ht="15">
      <c r="A45" s="50" t="s">
        <v>20</v>
      </c>
      <c r="B45" s="27">
        <f>IF(44.93099="","-",44.93099)</f>
        <v>44.93099</v>
      </c>
      <c r="C45" s="27">
        <f>IF(OR(76.73739="",44.93099=""),"-",44.93099/76.73739*100)</f>
        <v>58.55162652782431</v>
      </c>
      <c r="D45" s="27">
        <f>IF(76.73739="","-",76.73739/2182440.05753*100)</f>
        <v>0.003516128185754086</v>
      </c>
      <c r="E45" s="27">
        <f>IF(44.93099="","-",44.93099/2578307.19892*100)</f>
        <v>0.0017426546386257106</v>
      </c>
      <c r="F45" s="27">
        <f>IF(OR(2326210.82237="",97.8197="",76.73739=""),"-",(76.73739-97.8197)/2326210.82237*100)</f>
        <v>-0.0009062940382385817</v>
      </c>
      <c r="G45" s="27">
        <f>IF(OR(2182440.05753="",44.93099="",76.73739=""),"-",(44.93099-76.73739)/2182440.05753*100)</f>
        <v>-0.0014573779421917887</v>
      </c>
    </row>
    <row r="46" spans="1:7" s="16" customFormat="1" ht="15">
      <c r="A46" s="50" t="s">
        <v>21</v>
      </c>
      <c r="B46" s="27">
        <f>IF(4.47522="","-",4.47522)</f>
        <v>4.47522</v>
      </c>
      <c r="C46" s="27">
        <f>IF(OR(4.78116="",4.47522=""),"-",4.47522/4.78116*100)</f>
        <v>93.60113445272697</v>
      </c>
      <c r="D46" s="27">
        <f>IF(4.78116="","-",4.78116/2182440.05753*100)</f>
        <v>0.0002190740581169102</v>
      </c>
      <c r="E46" s="27">
        <f>IF(4.47522="","-",4.47522/2578307.19892*100)</f>
        <v>0.0001735720243838507</v>
      </c>
      <c r="F46" s="27">
        <f>IF(OR(2326210.82237="",2669.47526="",4.78116=""),"-",(4.78116-2669.47526)/2326210.82237*100)</f>
        <v>-0.11455084269985233</v>
      </c>
      <c r="G46" s="27">
        <f>IF(OR(2182440.05753="",4.47522="",4.78116=""),"-",(4.47522-4.78116)/2182440.05753*100)</f>
        <v>-1.4018254427855883E-05</v>
      </c>
    </row>
    <row r="47" spans="1:7" s="16" customFormat="1" ht="15">
      <c r="A47" s="50" t="s">
        <v>23</v>
      </c>
      <c r="B47" s="27">
        <f>IF(2.57217="","-",2.57217)</f>
        <v>2.57217</v>
      </c>
      <c r="C47" s="27" t="s">
        <v>258</v>
      </c>
      <c r="D47" s="27">
        <f>IF(0.17735="","-",0.17735/2182440.05753*100)</f>
        <v>8.126225478133763E-06</v>
      </c>
      <c r="E47" s="27">
        <f>IF(2.57217="","-",2.57217/2578307.19892*100)</f>
        <v>9.97619678941838E-05</v>
      </c>
      <c r="F47" s="27">
        <f>IF(OR(2326210.82237="",90.80844="",0.17735=""),"-",(0.17735-90.80844)/2326210.82237*100)</f>
        <v>-0.0038960823812032156</v>
      </c>
      <c r="G47" s="27">
        <f>IF(OR(2182440.05753="",2.57217="",0.17735=""),"-",(2.57217-0.17735)/2182440.05753*100)</f>
        <v>0.0001097313070174474</v>
      </c>
    </row>
    <row r="48" spans="1:7" s="16" customFormat="1" ht="15">
      <c r="A48" s="15" t="s">
        <v>24</v>
      </c>
      <c r="B48" s="26">
        <f>IF(661189.17974="","-",661189.17974)</f>
        <v>661189.17974</v>
      </c>
      <c r="C48" s="26">
        <f>IF(546679.78682="","-",661189.17974/546679.78682*100)</f>
        <v>120.94633745031868</v>
      </c>
      <c r="D48" s="26">
        <f>IF(546679.78682="","-",546679.78682/2182440.05753*100)</f>
        <v>25.0490172655056</v>
      </c>
      <c r="E48" s="26">
        <f>IF(661189.17974="","-",661189.17974/2578307.19892*100)</f>
        <v>25.644313447868377</v>
      </c>
      <c r="F48" s="26">
        <f>IF(2326210.82237="","-",(546679.78682-600393.94008)/2326210.82237*100)</f>
        <v>-2.3090836283391822</v>
      </c>
      <c r="G48" s="26">
        <f>IF(2182440.05753="","-",(661189.17974-546679.78682)/2182440.05753*100)</f>
        <v>5.246851684421393</v>
      </c>
    </row>
    <row r="49" spans="1:7" s="16" customFormat="1" ht="15">
      <c r="A49" s="50" t="s">
        <v>142</v>
      </c>
      <c r="B49" s="27">
        <f>IF(259504.40766="","-",259504.40766)</f>
        <v>259504.40766</v>
      </c>
      <c r="C49" s="27">
        <f>IF(OR(201531.61301="",259504.40766=""),"-",259504.40766/201531.61301*100)</f>
        <v>128.76610462455008</v>
      </c>
      <c r="D49" s="27">
        <f>IF(201531.61301="","-",201531.61301/2182440.05753*100)</f>
        <v>9.23423359622924</v>
      </c>
      <c r="E49" s="27">
        <f>IF(259504.40766="","-",259504.40766/2578307.19892*100)</f>
        <v>10.064914210715507</v>
      </c>
      <c r="F49" s="27">
        <f>IF(OR(2326210.82237="",205277.12311="",201531.61301=""),"-",(201531.61301-205277.12311)/2326210.82237*100)</f>
        <v>-0.16101335545262266</v>
      </c>
      <c r="G49" s="27">
        <f>IF(OR(2182440.05753="",259504.40766="",201531.61301=""),"-",(259504.40766-201531.61301)/2182440.05753*100)</f>
        <v>2.6563292975666575</v>
      </c>
    </row>
    <row r="50" spans="1:7" s="16" customFormat="1" ht="15">
      <c r="A50" s="50" t="s">
        <v>139</v>
      </c>
      <c r="B50" s="27">
        <f>IF(167140.66397="","-",167140.66397)</f>
        <v>167140.66397</v>
      </c>
      <c r="C50" s="27">
        <f>IF(OR(151272.15646="",167140.66397=""),"-",167140.66397/151272.15646*100)</f>
        <v>110.49003853805443</v>
      </c>
      <c r="D50" s="27">
        <f>IF(151272.15646="","-",151272.15646/2182440.05753*100)</f>
        <v>6.931331558824295</v>
      </c>
      <c r="E50" s="27">
        <f>IF(167140.66397="","-",167140.66397/2578307.19892*100)</f>
        <v>6.482573684005219</v>
      </c>
      <c r="F50" s="27">
        <f>IF(OR(2326210.82237="",176058.89324="",151272.15646=""),"-",(151272.15646-176058.89324)/2326210.82237*100)</f>
        <v>-1.0655412889338498</v>
      </c>
      <c r="G50" s="27">
        <f>IF(OR(2182440.05753="",167140.66397="",151272.15646=""),"-",(167140.66397-151272.15646)/2182440.05753*100)</f>
        <v>0.7270993517209976</v>
      </c>
    </row>
    <row r="51" spans="1:7" s="16" customFormat="1" ht="15">
      <c r="A51" s="50" t="s">
        <v>25</v>
      </c>
      <c r="B51" s="27">
        <f>IF(45427.39723="","-",45427.39723)</f>
        <v>45427.39723</v>
      </c>
      <c r="C51" s="27">
        <f>IF(OR(33097.49763="",45427.39723=""),"-",45427.39723/33097.49763*100)</f>
        <v>137.25326832208614</v>
      </c>
      <c r="D51" s="27">
        <f>IF(33097.49763="","-",33097.49763/2182440.05753*100)</f>
        <v>1.5165363885163679</v>
      </c>
      <c r="E51" s="27">
        <f>IF(45427.39723="","-",45427.39723/2578307.19892*100)</f>
        <v>1.7619078614460142</v>
      </c>
      <c r="F51" s="27">
        <f>IF(OR(2326210.82237="",30309.79537="",33097.49763=""),"-",(33097.49763-30309.79537)/2326210.82237*100)</f>
        <v>0.11983876238525189</v>
      </c>
      <c r="G51" s="27">
        <f>IF(OR(2182440.05753="",45427.39723="",33097.49763=""),"-",(45427.39723-33097.49763)/2182440.05753*100)</f>
        <v>0.5649593700160773</v>
      </c>
    </row>
    <row r="52" spans="1:7" s="16" customFormat="1" ht="15">
      <c r="A52" s="50" t="s">
        <v>161</v>
      </c>
      <c r="B52" s="27">
        <f>IF(18349.30613="","-",18349.30613)</f>
        <v>18349.30613</v>
      </c>
      <c r="C52" s="27">
        <f>IF(OR(15499.10009="",18349.30613=""),"-",18349.30613/15499.10009*100)</f>
        <v>118.38949373479399</v>
      </c>
      <c r="D52" s="27">
        <f>IF(15499.10009="","-",15499.10009/2182440.05753*100)</f>
        <v>0.7101730027600975</v>
      </c>
      <c r="E52" s="27">
        <f>IF(18349.30613="","-",18349.30613/2578307.19892*100)</f>
        <v>0.7116803667804267</v>
      </c>
      <c r="F52" s="27">
        <f>IF(OR(2326210.82237="",32809.77131="",15499.10009=""),"-",(15499.10009-32809.77131)/2326210.82237*100)</f>
        <v>-0.7441574535520157</v>
      </c>
      <c r="G52" s="27">
        <f>IF(OR(2182440.05753="",18349.30613="",15499.10009=""),"-",(18349.30613-15499.10009)/2182440.05753*100)</f>
        <v>0.13059721984876654</v>
      </c>
    </row>
    <row r="53" spans="1:7" s="16" customFormat="1" ht="15">
      <c r="A53" s="50" t="s">
        <v>206</v>
      </c>
      <c r="B53" s="27">
        <f>IF(18030.88813="","-",18030.88813)</f>
        <v>18030.88813</v>
      </c>
      <c r="C53" s="27">
        <f>IF(OR(15352.09558="",18030.88813=""),"-",18030.88813/15352.09558*100)</f>
        <v>117.44903512384204</v>
      </c>
      <c r="D53" s="27">
        <f>IF(15352.09558="","-",15352.09558/2182440.05753*100)</f>
        <v>0.7034372159286197</v>
      </c>
      <c r="E53" s="27">
        <f>IF(18030.88813="","-",18030.88813/2578307.19892*100)</f>
        <v>0.6993304807725305</v>
      </c>
      <c r="F53" s="27">
        <f>IF(OR(2326210.82237="",20094.48231="",15352.09558=""),"-",(15352.09558-20094.48231)/2326210.82237*100)</f>
        <v>-0.20386745192631944</v>
      </c>
      <c r="G53" s="27">
        <f>IF(OR(2182440.05753="",18030.88813="",15352.09558=""),"-",(18030.88813-15352.09558)/2182440.05753*100)</f>
        <v>0.12274300688156138</v>
      </c>
    </row>
    <row r="54" spans="1:7" s="16" customFormat="1" ht="15">
      <c r="A54" s="50" t="s">
        <v>157</v>
      </c>
      <c r="B54" s="27">
        <f>IF(16903.5089="","-",16903.5089)</f>
        <v>16903.5089</v>
      </c>
      <c r="C54" s="27" t="s">
        <v>214</v>
      </c>
      <c r="D54" s="27">
        <f>IF(9829.26612="","-",9829.26612/2182440.05753*100)</f>
        <v>0.4503796604212067</v>
      </c>
      <c r="E54" s="27">
        <f>IF(16903.5089="","-",16903.5089/2578307.19892*100)</f>
        <v>0.6556049219844918</v>
      </c>
      <c r="F54" s="27">
        <f>IF(OR(2326210.82237="",5685.17966="",9829.26612=""),"-",(9829.26612-5685.17966)/2326210.82237*100)</f>
        <v>0.17814750151398162</v>
      </c>
      <c r="G54" s="27">
        <f>IF(OR(2182440.05753="",16903.5089="",9829.26612=""),"-",(16903.5089-9829.26612)/2182440.05753*100)</f>
        <v>0.3241437379043689</v>
      </c>
    </row>
    <row r="55" spans="1:7" s="16" customFormat="1" ht="15">
      <c r="A55" s="50" t="s">
        <v>154</v>
      </c>
      <c r="B55" s="27">
        <f>IF(15790.82535="","-",15790.82535)</f>
        <v>15790.82535</v>
      </c>
      <c r="C55" s="27">
        <f>IF(OR(13630.01298="",15790.82535=""),"-",15790.82535/13630.01298*100)</f>
        <v>115.85334051530742</v>
      </c>
      <c r="D55" s="27">
        <f>IF(13630.01298="","-",13630.01298/2182440.05753*100)</f>
        <v>0.6245309204700867</v>
      </c>
      <c r="E55" s="27">
        <f>IF(15790.82535="","-",15790.82535/2578307.19892*100)</f>
        <v>0.6124493371703128</v>
      </c>
      <c r="F55" s="27">
        <f>IF(OR(2326210.82237="",15966.77614="",13630.01298=""),"-",(13630.01298-15966.77614)/2326210.82237*100)</f>
        <v>-0.10045362774209989</v>
      </c>
      <c r="G55" s="27">
        <f>IF(OR(2182440.05753="",15790.82535="",13630.01298=""),"-",(15790.82535-13630.01298)/2182440.05753*100)</f>
        <v>0.09900901344550661</v>
      </c>
    </row>
    <row r="56" spans="1:7" s="16" customFormat="1" ht="15">
      <c r="A56" s="50" t="s">
        <v>114</v>
      </c>
      <c r="B56" s="27">
        <f>IF(13799.85396="","-",13799.85396)</f>
        <v>13799.85396</v>
      </c>
      <c r="C56" s="27">
        <f>IF(OR(12101.07259="",13799.85396=""),"-",13799.85396/12101.07259*100)</f>
        <v>114.03827104883106</v>
      </c>
      <c r="D56" s="27">
        <f>IF(12101.07259="","-",12101.07259/2182440.05753*100)</f>
        <v>0.5544744538686446</v>
      </c>
      <c r="E56" s="27">
        <f>IF(13799.85396="","-",13799.85396/2578307.19892*100)</f>
        <v>0.5352292374539572</v>
      </c>
      <c r="F56" s="27">
        <f>IF(OR(2326210.82237="",14871.38636="",12101.07259=""),"-",(12101.07259-14871.38636)/2326210.82237*100)</f>
        <v>-0.11909125962957809</v>
      </c>
      <c r="G56" s="27">
        <f>IF(OR(2182440.05753="",13799.85396="",12101.07259=""),"-",(13799.85396-12101.07259)/2182440.05753*100)</f>
        <v>0.07783862673060606</v>
      </c>
    </row>
    <row r="57" spans="1:7" s="16" customFormat="1" ht="15">
      <c r="A57" s="50" t="s">
        <v>155</v>
      </c>
      <c r="B57" s="27">
        <f>IF(10078.70549="","-",10078.70549)</f>
        <v>10078.70549</v>
      </c>
      <c r="C57" s="27">
        <f>IF(OR(8050.03364="",10078.70549=""),"-",10078.70549/8050.03364*100)</f>
        <v>125.20078723546801</v>
      </c>
      <c r="D57" s="27">
        <f>IF(8050.03364="","-",8050.03364/2182440.05753*100)</f>
        <v>0.3688547418393114</v>
      </c>
      <c r="E57" s="27">
        <f>IF(10078.70549="","-",10078.70549/2578307.19892*100)</f>
        <v>0.39090398127196646</v>
      </c>
      <c r="F57" s="27">
        <f>IF(OR(2326210.82237="",6442.16192="",8050.03364=""),"-",(8050.03364-6442.16192)/2326210.82237*100)</f>
        <v>0.0691197764423545</v>
      </c>
      <c r="G57" s="27">
        <f>IF(OR(2182440.05753="",10078.70549="",8050.03364=""),"-",(10078.70549-8050.03364)/2182440.05753*100)</f>
        <v>0.09295429869885966</v>
      </c>
    </row>
    <row r="58" spans="1:7" s="16" customFormat="1" ht="15">
      <c r="A58" s="50" t="s">
        <v>151</v>
      </c>
      <c r="B58" s="27">
        <f>IF(9458.19923="","-",9458.19923)</f>
        <v>9458.19923</v>
      </c>
      <c r="C58" s="27">
        <f>IF(OR(9617.14966="",9458.19923=""),"-",9458.19923/9617.14966*100)</f>
        <v>98.34721892016393</v>
      </c>
      <c r="D58" s="27">
        <f>IF(9617.14966="","-",9617.14966/2182440.05753*100)</f>
        <v>0.4406604262425568</v>
      </c>
      <c r="E58" s="27">
        <f>IF(9458.19923="","-",9458.19923/2578307.19892*100)</f>
        <v>0.36683756047230703</v>
      </c>
      <c r="F58" s="27">
        <f>IF(OR(2326210.82237="",8490.25366="",9617.14966=""),"-",(9617.14966-8490.25366)/2326210.82237*100)</f>
        <v>0.04844341661397181</v>
      </c>
      <c r="G58" s="27">
        <f>IF(OR(2182440.05753="",9458.19923="",9617.14966=""),"-",(9458.19923-9617.14966)/2182440.05753*100)</f>
        <v>-0.007283152151261961</v>
      </c>
    </row>
    <row r="59" spans="1:7" s="16" customFormat="1" ht="15">
      <c r="A59" s="50" t="s">
        <v>166</v>
      </c>
      <c r="B59" s="27">
        <f>IF(7667.48865="","-",7667.48865)</f>
        <v>7667.48865</v>
      </c>
      <c r="C59" s="27">
        <f>IF(OR(5873.57232="",7667.48865=""),"-",7667.48865/5873.57232*100)</f>
        <v>130.54216807532217</v>
      </c>
      <c r="D59" s="27">
        <f>IF(5873.57232="","-",5873.57232/2182440.05753*100)</f>
        <v>0.2691286892272074</v>
      </c>
      <c r="E59" s="27">
        <f>IF(7667.48865="","-",7667.48865/2578307.19892*100)</f>
        <v>0.29738460386767546</v>
      </c>
      <c r="F59" s="27">
        <f>IF(OR(2326210.82237="",4745.50168="",5873.57232=""),"-",(5873.57232-4745.50168)/2326210.82237*100)</f>
        <v>0.04849391246708645</v>
      </c>
      <c r="G59" s="27">
        <f>IF(OR(2182440.05753="",7667.48865="",5873.57232=""),"-",(7667.48865-5873.57232)/2182440.05753*100)</f>
        <v>0.08219773660268517</v>
      </c>
    </row>
    <row r="60" spans="1:7" s="16" customFormat="1" ht="15">
      <c r="A60" s="50" t="s">
        <v>149</v>
      </c>
      <c r="B60" s="27">
        <f>IF(5794.34833="","-",5794.34833)</f>
        <v>5794.34833</v>
      </c>
      <c r="C60" s="27" t="s">
        <v>214</v>
      </c>
      <c r="D60" s="27">
        <f>IF(3507.40347="","-",3507.40347/2182440.05753*100)</f>
        <v>0.1607101857344729</v>
      </c>
      <c r="E60" s="27">
        <f>IF(5794.34833="","-",5794.34833/2578307.19892*100)</f>
        <v>0.22473459843835264</v>
      </c>
      <c r="F60" s="27">
        <f>IF(OR(2326210.82237="",1126.20949="",3507.40347=""),"-",(3507.40347-1126.20949)/2326210.82237*100)</f>
        <v>0.10236363605143843</v>
      </c>
      <c r="G60" s="27">
        <f>IF(OR(2182440.05753="",5794.34833="",3507.40347=""),"-",(5794.34833-3507.40347)/2182440.05753*100)</f>
        <v>0.10478843861527515</v>
      </c>
    </row>
    <row r="61" spans="1:7" s="16" customFormat="1" ht="15">
      <c r="A61" s="50" t="s">
        <v>145</v>
      </c>
      <c r="B61" s="27">
        <f>IF(5437.50298="","-",5437.50298)</f>
        <v>5437.50298</v>
      </c>
      <c r="C61" s="27">
        <f>IF(OR(8116.42979="",5437.50298=""),"-",5437.50298/8116.42979*100)</f>
        <v>66.99377830754327</v>
      </c>
      <c r="D61" s="27">
        <f>IF(8116.42979="","-",8116.42979/2182440.05753*100)</f>
        <v>0.37189703158151605</v>
      </c>
      <c r="E61" s="27">
        <f>IF(5437.50298="","-",5437.50298/2578307.19892*100)</f>
        <v>0.21089430236543028</v>
      </c>
      <c r="F61" s="27">
        <f>IF(OR(2326210.82237="",17010.74409="",8116.42979=""),"-",(8116.42979-17010.74409)/2326210.82237*100)</f>
        <v>-0.38235202993932665</v>
      </c>
      <c r="G61" s="27">
        <f>IF(OR(2182440.05753="",5437.50298="",8116.42979=""),"-",(5437.50298-8116.42979)/2182440.05753*100)</f>
        <v>-0.12274915871146098</v>
      </c>
    </row>
    <row r="62" spans="1:7" s="16" customFormat="1" ht="15">
      <c r="A62" s="50" t="s">
        <v>147</v>
      </c>
      <c r="B62" s="27">
        <f>IF(5436.38344="","-",5436.38344)</f>
        <v>5436.38344</v>
      </c>
      <c r="C62" s="27" t="s">
        <v>26</v>
      </c>
      <c r="D62" s="27">
        <f>IF(2772.81867="","-",2772.81867/2182440.05753*100)</f>
        <v>0.12705130940174217</v>
      </c>
      <c r="E62" s="27">
        <f>IF(5436.38344="","-",5436.38344/2578307.19892*100)</f>
        <v>0.21085088085225798</v>
      </c>
      <c r="F62" s="27">
        <f>IF(OR(2326210.82237="",2166.30864="",2772.81867=""),"-",(2772.81867-2166.30864)/2326210.82237*100)</f>
        <v>0.026072874572136702</v>
      </c>
      <c r="G62" s="27">
        <f>IF(OR(2182440.05753="",5436.38344="",2772.81867=""),"-",(5436.38344-2772.81867)/2182440.05753*100)</f>
        <v>0.12204526583948967</v>
      </c>
    </row>
    <row r="63" spans="1:7" s="16" customFormat="1" ht="15">
      <c r="A63" s="50" t="s">
        <v>156</v>
      </c>
      <c r="B63" s="27">
        <f>IF(5270.15822="","-",5270.15822)</f>
        <v>5270.15822</v>
      </c>
      <c r="C63" s="27" t="s">
        <v>214</v>
      </c>
      <c r="D63" s="27">
        <f>IF(3107.09451="","-",3107.09451/2182440.05753*100)</f>
        <v>0.14236791976392182</v>
      </c>
      <c r="E63" s="27">
        <f>IF(5270.15822="","-",5270.15822/2578307.19892*100)</f>
        <v>0.20440381278877712</v>
      </c>
      <c r="F63" s="27">
        <f>IF(OR(2326210.82237="",3291.5799="",3107.09451=""),"-",(3107.09451-3291.5799)/2326210.82237*100)</f>
        <v>-0.00793072529049805</v>
      </c>
      <c r="G63" s="27">
        <f>IF(OR(2182440.05753="",5270.15822="",3107.09451=""),"-",(5270.15822-3107.09451)/2182440.05753*100)</f>
        <v>0.09911217045970422</v>
      </c>
    </row>
    <row r="64" spans="1:7" s="16" customFormat="1" ht="15">
      <c r="A64" s="50" t="s">
        <v>144</v>
      </c>
      <c r="B64" s="27">
        <f>IF(4890.82625="","-",4890.82625)</f>
        <v>4890.82625</v>
      </c>
      <c r="C64" s="27">
        <f>IF(OR(3452.20695="",4890.82625=""),"-",4890.82625/3452.20695*100)</f>
        <v>141.67245245827456</v>
      </c>
      <c r="D64" s="27">
        <f>IF(3452.20695="","-",3452.20695/2182440.05753*100)</f>
        <v>0.15818106610025626</v>
      </c>
      <c r="E64" s="27">
        <f>IF(4890.82625="","-",4890.82625/2578307.19892*100)</f>
        <v>0.18969137006050588</v>
      </c>
      <c r="F64" s="27">
        <f>IF(OR(2326210.82237="",4316.96719="",3452.20695=""),"-",(3452.20695-4316.96719)/2326210.82237*100)</f>
        <v>-0.03717462887215707</v>
      </c>
      <c r="G64" s="27">
        <f>IF(OR(2182440.05753="",4890.82625="",3452.20695=""),"-",(4890.82625-3452.20695)/2182440.05753*100)</f>
        <v>0.06591792956862115</v>
      </c>
    </row>
    <row r="65" spans="1:7" s="16" customFormat="1" ht="15">
      <c r="A65" s="50" t="s">
        <v>163</v>
      </c>
      <c r="B65" s="27">
        <f>IF(4395.32327="","-",4395.32327)</f>
        <v>4395.32327</v>
      </c>
      <c r="C65" s="27">
        <f>IF(OR(3276.30121="",4395.32327=""),"-",4395.32327/3276.30121*100)</f>
        <v>134.15504217330493</v>
      </c>
      <c r="D65" s="27">
        <f>IF(3276.30121="","-",3276.30121/2182440.05753*100)</f>
        <v>0.150121017010107</v>
      </c>
      <c r="E65" s="27">
        <f>IF(4395.32327="","-",4395.32327/2578307.19892*100)</f>
        <v>0.17047321870105747</v>
      </c>
      <c r="F65" s="27">
        <f>IF(OR(2326210.82237="",3182.71356="",3276.30121=""),"-",(3276.30121-3182.71356)/2326210.82237*100)</f>
        <v>0.004023180061755992</v>
      </c>
      <c r="G65" s="27">
        <f>IF(OR(2182440.05753="",4395.32327="",3276.30121=""),"-",(4395.32327-3276.30121)/2182440.05753*100)</f>
        <v>0.051273896670796314</v>
      </c>
    </row>
    <row r="66" spans="1:7" s="16" customFormat="1" ht="15">
      <c r="A66" s="50" t="s">
        <v>167</v>
      </c>
      <c r="B66" s="27">
        <f>IF(3822.55235="","-",3822.55235)</f>
        <v>3822.55235</v>
      </c>
      <c r="C66" s="27">
        <f>IF(OR(2756.02379="",3822.55235=""),"-",3822.55235/2756.02379*100)</f>
        <v>138.69808975778108</v>
      </c>
      <c r="D66" s="27">
        <f>IF(2756.02379="","-",2756.02379/2182440.05753*100)</f>
        <v>0.12628176340930802</v>
      </c>
      <c r="E66" s="27">
        <f>IF(3822.55235="","-",3822.55235/2578307.19892*100)</f>
        <v>0.14825821964121222</v>
      </c>
      <c r="F66" s="27">
        <f>IF(OR(2326210.82237="",1715.71477="",2756.02379=""),"-",(2756.02379-1715.71477)/2326210.82237*100)</f>
        <v>0.0447211839097244</v>
      </c>
      <c r="G66" s="27">
        <f>IF(OR(2182440.05753="",3822.55235="",2756.02379=""),"-",(3822.55235-2756.02379)/2182440.05753*100)</f>
        <v>0.04886863015184275</v>
      </c>
    </row>
    <row r="67" spans="1:7" s="16" customFormat="1" ht="15">
      <c r="A67" s="50" t="s">
        <v>169</v>
      </c>
      <c r="B67" s="27">
        <f>IF(3505.82575="","-",3505.82575)</f>
        <v>3505.82575</v>
      </c>
      <c r="C67" s="27">
        <f>IF(OR(2708.35832="",3505.82575=""),"-",3505.82575/2708.35832*100)</f>
        <v>129.44467960945434</v>
      </c>
      <c r="D67" s="27">
        <f>IF(2708.35832="","-",2708.35832/2182440.05753*100)</f>
        <v>0.12409771854468314</v>
      </c>
      <c r="E67" s="27">
        <f>IF(3505.82575="","-",3505.82575/2578307.19892*100)</f>
        <v>0.13597393481539047</v>
      </c>
      <c r="F67" s="27">
        <f>IF(OR(2326210.82237="",2883.98541="",2708.35832=""),"-",(2708.35832-2883.98541)/2326210.82237*100)</f>
        <v>-0.007549921456433893</v>
      </c>
      <c r="G67" s="27">
        <f>IF(OR(2182440.05753="",3505.82575="",2708.35832=""),"-",(3505.82575-2708.35832)/2182440.05753*100)</f>
        <v>0.03654017562812435</v>
      </c>
    </row>
    <row r="68" spans="1:7" s="16" customFormat="1" ht="15">
      <c r="A68" s="50" t="s">
        <v>153</v>
      </c>
      <c r="B68" s="27">
        <f>IF(3088.7288="","-",3088.7288)</f>
        <v>3088.7288</v>
      </c>
      <c r="C68" s="27" t="s">
        <v>216</v>
      </c>
      <c r="D68" s="27">
        <f>IF(1627.87874="","-",1627.87874/2182440.05753*100)</f>
        <v>0.07458984884296752</v>
      </c>
      <c r="E68" s="27">
        <f>IF(3088.7288="","-",3088.7288/2578307.19892*100)</f>
        <v>0.11979677213381731</v>
      </c>
      <c r="F68" s="27">
        <f>IF(OR(2326210.82237="",1726.77921="",1627.87874=""),"-",(1627.87874-1726.77921)/2326210.82237*100)</f>
        <v>-0.004251569507325979</v>
      </c>
      <c r="G68" s="27">
        <f>IF(OR(2182440.05753="",3088.7288="",1627.87874=""),"-",(3088.7288-1627.87874)/2182440.05753*100)</f>
        <v>0.0669365490685381</v>
      </c>
    </row>
    <row r="69" spans="1:7" s="16" customFormat="1" ht="15">
      <c r="A69" s="50" t="s">
        <v>170</v>
      </c>
      <c r="B69" s="27">
        <f>IF(2991.48822="","-",2991.48822)</f>
        <v>2991.48822</v>
      </c>
      <c r="C69" s="27">
        <f>IF(OR(2270.34269="",2991.48822=""),"-",2991.48822/2270.34269*100)</f>
        <v>131.76373034680506</v>
      </c>
      <c r="D69" s="27">
        <f>IF(2270.34269="","-",2270.34269/2182440.05753*100)</f>
        <v>0.10402772264771776</v>
      </c>
      <c r="E69" s="27">
        <f>IF(2991.48822="","-",2991.48822/2578307.19892*100)</f>
        <v>0.11602528283879722</v>
      </c>
      <c r="F69" s="27">
        <f>IF(OR(2326210.82237="",3347.89063="",2270.34269=""),"-",(2270.34269-3347.89063)/2326210.82237*100)</f>
        <v>-0.04632202419650717</v>
      </c>
      <c r="G69" s="27">
        <f>IF(OR(2182440.05753="",2991.48822="",2270.34269=""),"-",(2991.48822-2270.34269)/2182440.05753*100)</f>
        <v>0.03304308530774332</v>
      </c>
    </row>
    <row r="70" spans="1:7" s="16" customFormat="1" ht="15">
      <c r="A70" s="50" t="s">
        <v>150</v>
      </c>
      <c r="B70" s="27">
        <f>IF(2916.09643="","-",2916.09643)</f>
        <v>2916.09643</v>
      </c>
      <c r="C70" s="27">
        <f>IF(OR(2612.46299="",2916.09643=""),"-",2916.09643/2612.46299*100)</f>
        <v>111.62249728177012</v>
      </c>
      <c r="D70" s="27">
        <f>IF(2612.46299="","-",2612.46299/2182440.05753*100)</f>
        <v>0.11970376831135895</v>
      </c>
      <c r="E70" s="27">
        <f>IF(2916.09643="","-",2916.09643/2578307.19892*100)</f>
        <v>0.11310120187468324</v>
      </c>
      <c r="F70" s="27">
        <f>IF(OR(2326210.82237="",2597.68095="",2612.46299=""),"-",(2612.46299-2597.68095)/2326210.82237*100)</f>
        <v>0.000635455731606465</v>
      </c>
      <c r="G70" s="27">
        <f>IF(OR(2182440.05753="",2916.09643="",2612.46299=""),"-",(2916.09643-2612.46299)/2182440.05753*100)</f>
        <v>0.013912567218164081</v>
      </c>
    </row>
    <row r="71" spans="1:7" s="16" customFormat="1" ht="15">
      <c r="A71" s="50" t="s">
        <v>168</v>
      </c>
      <c r="B71" s="27">
        <f>IF(2585.30547="","-",2585.30547)</f>
        <v>2585.30547</v>
      </c>
      <c r="C71" s="27">
        <f>IF(OR(3322.86591="",2585.30547=""),"-",2585.30547/3322.86591*100)</f>
        <v>77.80348470335957</v>
      </c>
      <c r="D71" s="27">
        <f>IF(3322.86591="","-",3322.86591/2182440.05753*100)</f>
        <v>0.1522546242924394</v>
      </c>
      <c r="E71" s="27">
        <f>IF(2585.30547="","-",2585.30547/2578307.19892*100)</f>
        <v>0.10027142890819726</v>
      </c>
      <c r="F71" s="27">
        <f>IF(OR(2326210.82237="",3133.57123="",3322.86591=""),"-",(3322.86591-3133.57123)/2326210.82237*100)</f>
        <v>0.008137468804617715</v>
      </c>
      <c r="G71" s="27">
        <f>IF(OR(2182440.05753="",2585.30547="",3322.86591=""),"-",(2585.30547-3322.86591)/2182440.05753*100)</f>
        <v>-0.03379522097091373</v>
      </c>
    </row>
    <row r="72" spans="1:7" s="16" customFormat="1" ht="15">
      <c r="A72" s="50" t="s">
        <v>174</v>
      </c>
      <c r="B72" s="27">
        <f>IF(2090.73728="","-",2090.73728)</f>
        <v>2090.73728</v>
      </c>
      <c r="C72" s="27" t="s">
        <v>189</v>
      </c>
      <c r="D72" s="27">
        <f>IF(820.57946="","-",820.57946/2182440.05753*100)</f>
        <v>0.03759917516033406</v>
      </c>
      <c r="E72" s="27">
        <f>IF(2090.73728="","-",2090.73728/2578307.19892*100)</f>
        <v>0.08108953350771261</v>
      </c>
      <c r="F72" s="27">
        <f>IF(OR(2326210.82237="",658.26244="",820.57946=""),"-",(820.57946-658.26244)/2326210.82237*100)</f>
        <v>0.0069777433085204</v>
      </c>
      <c r="G72" s="27">
        <f>IF(OR(2182440.05753="",2090.73728="",820.57946=""),"-",(2090.73728-820.57946)/2182440.05753*100)</f>
        <v>0.05819897850653982</v>
      </c>
    </row>
    <row r="73" spans="1:7" s="16" customFormat="1" ht="15">
      <c r="A73" s="50" t="s">
        <v>172</v>
      </c>
      <c r="B73" s="27">
        <f>IF(2031.23948="","-",2031.23948)</f>
        <v>2031.23948</v>
      </c>
      <c r="C73" s="27">
        <f>IF(OR(1701.36172="",2031.23948=""),"-",2031.23948/1701.36172*100)</f>
        <v>119.38904326588468</v>
      </c>
      <c r="D73" s="27">
        <f>IF(1701.36172="","-",1701.36172/2182440.05753*100)</f>
        <v>0.07795685907293759</v>
      </c>
      <c r="E73" s="27">
        <f>IF(2031.23948="","-",2031.23948/2578307.19892*100)</f>
        <v>0.07878190313593526</v>
      </c>
      <c r="F73" s="27">
        <f>IF(OR(2326210.82237="",665.53213="",1701.36172=""),"-",(1701.36172-665.53213)/2326210.82237*100)</f>
        <v>0.04452862053769794</v>
      </c>
      <c r="G73" s="27">
        <f>IF(OR(2182440.05753="",2031.23948="",1701.36172=""),"-",(2031.23948-1701.36172)/2182440.05753*100)</f>
        <v>0.01511508913437662</v>
      </c>
    </row>
    <row r="74" spans="1:7" s="16" customFormat="1" ht="15">
      <c r="A74" s="50" t="s">
        <v>171</v>
      </c>
      <c r="B74" s="27">
        <f>IF(2028.62615="","-",2028.62615)</f>
        <v>2028.62615</v>
      </c>
      <c r="C74" s="27">
        <f>IF(OR(1986.29864="",2028.62615=""),"-",2028.62615/1986.29864*100)</f>
        <v>102.13097412179673</v>
      </c>
      <c r="D74" s="27">
        <f>IF(1986.29864="","-",1986.29864/2182440.05753*100)</f>
        <v>0.09101274663405945</v>
      </c>
      <c r="E74" s="27">
        <f>IF(2028.62615="","-",2028.62615/2578307.19892*100)</f>
        <v>0.07868054477176925</v>
      </c>
      <c r="F74" s="27">
        <f>IF(OR(2326210.82237="",1565.88327="",1986.29864=""),"-",(1986.29864-1565.88327)/2326210.82237*100)</f>
        <v>0.01807296939542524</v>
      </c>
      <c r="G74" s="27">
        <f>IF(OR(2182440.05753="",2028.62615="",1986.29864=""),"-",(2028.62615-1986.29864)/2182440.05753*100)</f>
        <v>0.0019394580783082167</v>
      </c>
    </row>
    <row r="75" spans="1:7" s="16" customFormat="1" ht="15">
      <c r="A75" s="50" t="s">
        <v>159</v>
      </c>
      <c r="B75" s="27">
        <f>IF(1385.59432="","-",1385.59432)</f>
        <v>1385.59432</v>
      </c>
      <c r="C75" s="27">
        <f>IF(OR(1382.18791="",1385.59432=""),"-",1385.59432/1382.18791*100)</f>
        <v>100.24645057125407</v>
      </c>
      <c r="D75" s="27">
        <f>IF(1382.18791="","-",1382.18791/2182440.05753*100)</f>
        <v>0.0633322278534562</v>
      </c>
      <c r="E75" s="27">
        <f>IF(1385.59432="","-",1385.59432/2578307.19892*100)</f>
        <v>0.05374046663564361</v>
      </c>
      <c r="F75" s="27">
        <f>IF(OR(2326210.82237="",2320.2138="",1382.18791=""),"-",(1382.18791-2320.2138)/2326210.82237*100)</f>
        <v>-0.040324199379500617</v>
      </c>
      <c r="G75" s="27">
        <f>IF(OR(2182440.05753="",1385.59432="",1382.18791=""),"-",(1385.59432-1382.18791)/2182440.05753*100)</f>
        <v>0.0001560826373327781</v>
      </c>
    </row>
    <row r="76" spans="1:7" s="16" customFormat="1" ht="15">
      <c r="A76" s="50" t="s">
        <v>141</v>
      </c>
      <c r="B76" s="27">
        <f>IF(1345.42264="","-",1345.42264)</f>
        <v>1345.42264</v>
      </c>
      <c r="C76" s="27" t="s">
        <v>216</v>
      </c>
      <c r="D76" s="27">
        <f>IF(717.37874="","-",717.37874/2182440.05753*100)</f>
        <v>0.03287048996030164</v>
      </c>
      <c r="E76" s="27">
        <f>IF(1345.42264="","-",1345.42264/2578307.19892*100)</f>
        <v>0.052182402491199265</v>
      </c>
      <c r="F76" s="27">
        <f>IF(OR(2326210.82237="",1282.37746="",717.37874=""),"-",(717.37874-1282.37746)/2326210.82237*100)</f>
        <v>-0.02428837122442606</v>
      </c>
      <c r="G76" s="27">
        <f>IF(OR(2182440.05753="",1345.42264="",717.37874=""),"-",(1345.42264-717.37874)/2182440.05753*100)</f>
        <v>0.028777143172069315</v>
      </c>
    </row>
    <row r="77" spans="1:7" s="16" customFormat="1" ht="15">
      <c r="A77" s="50" t="s">
        <v>121</v>
      </c>
      <c r="B77" s="27">
        <f>IF(1286.34376="","-",1286.34376)</f>
        <v>1286.34376</v>
      </c>
      <c r="C77" s="27">
        <f>IF(OR(1719.4205="",1286.34376=""),"-",1286.34376/1719.4205*100)</f>
        <v>74.81263367512486</v>
      </c>
      <c r="D77" s="27">
        <f>IF(1719.4205="","-",1719.4205/2182440.05753*100)</f>
        <v>0.07878431730885534</v>
      </c>
      <c r="E77" s="27">
        <f>IF(1286.34376="","-",1286.34376/2578307.19892*100)</f>
        <v>0.049891019989348945</v>
      </c>
      <c r="F77" s="27">
        <f>IF(OR(2326210.82237="",2425.4814="",1719.4205=""),"-",(1719.4205-2425.4814)/2326210.82237*100)</f>
        <v>-0.03035240371208694</v>
      </c>
      <c r="G77" s="27">
        <f>IF(OR(2182440.05753="",1286.34376="",1719.4205=""),"-",(1286.34376-1719.4205)/2182440.05753*100)</f>
        <v>-0.019843694607133415</v>
      </c>
    </row>
    <row r="78" spans="1:7" s="16" customFormat="1" ht="15">
      <c r="A78" s="50" t="s">
        <v>158</v>
      </c>
      <c r="B78" s="27">
        <f>IF(1120.70759="","-",1120.70759)</f>
        <v>1120.70759</v>
      </c>
      <c r="C78" s="27">
        <f>IF(OR(868.0311="",1120.70759=""),"-",1120.70759/868.0311*100)</f>
        <v>129.10915173430996</v>
      </c>
      <c r="D78" s="27">
        <f>IF(868.0311="","-",868.0311/2182440.05753*100)</f>
        <v>0.03977342227590908</v>
      </c>
      <c r="E78" s="27">
        <f>IF(1120.70759="","-",1120.70759/2578307.19892*100)</f>
        <v>0.043466798311288954</v>
      </c>
      <c r="F78" s="27">
        <f>IF(OR(2326210.82237="",592.36839="",868.0311=""),"-",(868.0311-592.36839)/2326210.82237*100)</f>
        <v>0.011850289206338925</v>
      </c>
      <c r="G78" s="27">
        <f>IF(OR(2182440.05753="",1120.70759="",868.0311=""),"-",(1120.70759-868.0311)/2182440.05753*100)</f>
        <v>0.011577705840222219</v>
      </c>
    </row>
    <row r="79" spans="1:7" s="16" customFormat="1" ht="15">
      <c r="A79" s="50" t="s">
        <v>180</v>
      </c>
      <c r="B79" s="27">
        <f>IF(1057.44663="","-",1057.44663)</f>
        <v>1057.44663</v>
      </c>
      <c r="C79" s="27" t="s">
        <v>193</v>
      </c>
      <c r="D79" s="27">
        <f>IF(474.74669="","-",474.74669/2182440.05753*100)</f>
        <v>0.021753023106499417</v>
      </c>
      <c r="E79" s="27">
        <f>IF(1057.44663="","-",1057.44663/2578307.19892*100)</f>
        <v>0.041013213260349374</v>
      </c>
      <c r="F79" s="27">
        <f>IF(OR(2326210.82237="",1240.96492="",474.74669=""),"-",(474.74669-1240.96492)/2326210.82237*100)</f>
        <v>-0.032938468974164525</v>
      </c>
      <c r="G79" s="27">
        <f>IF(OR(2182440.05753="",1057.44663="",474.74669=""),"-",(1057.44663-474.74669)/2182440.05753*100)</f>
        <v>0.026699470530222806</v>
      </c>
    </row>
    <row r="80" spans="1:7" s="16" customFormat="1" ht="15">
      <c r="A80" s="50" t="s">
        <v>152</v>
      </c>
      <c r="B80" s="27">
        <f>IF(1054.01005="","-",1054.01005)</f>
        <v>1054.01005</v>
      </c>
      <c r="C80" s="27">
        <f>IF(OR(1414.56668="",1054.01005=""),"-",1054.01005/1414.56668*100)</f>
        <v>74.51116054847272</v>
      </c>
      <c r="D80" s="27">
        <f>IF(1414.56668="","-",1414.56668/2182440.05753*100)</f>
        <v>0.06481583194550375</v>
      </c>
      <c r="E80" s="27">
        <f>IF(1054.01005="","-",1054.01005/2578307.19892*100)</f>
        <v>0.04087992503148978</v>
      </c>
      <c r="F80" s="27">
        <f>IF(OR(2326210.82237="",462.92577="",1414.56668=""),"-",(1414.56668-462.92577)/2326210.82237*100)</f>
        <v>0.04090948682933411</v>
      </c>
      <c r="G80" s="27">
        <f>IF(OR(2182440.05753="",1054.01005="",1414.56668=""),"-",(1054.01005-1414.56668)/2182440.05753*100)</f>
        <v>-0.01652080334376119</v>
      </c>
    </row>
    <row r="81" spans="1:7" s="16" customFormat="1" ht="15">
      <c r="A81" s="50" t="s">
        <v>175</v>
      </c>
      <c r="B81" s="27">
        <f>IF(930.06812="","-",930.06812)</f>
        <v>930.06812</v>
      </c>
      <c r="C81" s="27">
        <f>IF(OR(941.24437="",930.06812=""),"-",930.06812/941.24437*100)</f>
        <v>98.81260909959015</v>
      </c>
      <c r="D81" s="27">
        <f>IF(941.24437="","-",941.24437/2182440.05753*100)</f>
        <v>0.04312807431995468</v>
      </c>
      <c r="E81" s="27">
        <f>IF(930.06812="","-",930.06812/2578307.19892*100)</f>
        <v>0.03607282019728241</v>
      </c>
      <c r="F81" s="27">
        <f>IF(OR(2326210.82237="",830.56608="",941.24437=""),"-",(941.24437-830.56608)/2326210.82237*100)</f>
        <v>0.004757878732901699</v>
      </c>
      <c r="G81" s="27">
        <f>IF(OR(2182440.05753="",930.06812="",941.24437=""),"-",(930.06812-941.24437)/2182440.05753*100)</f>
        <v>-0.0005120988299971374</v>
      </c>
    </row>
    <row r="82" spans="1:7" s="16" customFormat="1" ht="15">
      <c r="A82" s="50" t="s">
        <v>173</v>
      </c>
      <c r="B82" s="27">
        <f>IF(900.82613="","-",900.82613)</f>
        <v>900.82613</v>
      </c>
      <c r="C82" s="27">
        <f>IF(OR(723.29327="",900.82613=""),"-",900.82613/723.29327*100)</f>
        <v>124.54507284438026</v>
      </c>
      <c r="D82" s="27">
        <f>IF(723.29327="","-",723.29327/2182440.05753*100)</f>
        <v>0.03314149534162212</v>
      </c>
      <c r="E82" s="27">
        <f>IF(900.82613="","-",900.82613/2578307.19892*100)</f>
        <v>0.03493866558559576</v>
      </c>
      <c r="F82" s="27">
        <f>IF(OR(2326210.82237="",1314.6298="",723.29327=""),"-",(723.29327-1314.6298)/2326210.82237*100)</f>
        <v>-0.025420590615150347</v>
      </c>
      <c r="G82" s="27">
        <f>IF(OR(2182440.05753="",900.82613="",723.29327=""),"-",(900.82613-723.29327)/2182440.05753*100)</f>
        <v>0.00813460417331804</v>
      </c>
    </row>
    <row r="83" spans="1:7" s="16" customFormat="1" ht="15">
      <c r="A83" s="50" t="s">
        <v>202</v>
      </c>
      <c r="B83" s="27">
        <f>IF(877.64584="","-",877.64584)</f>
        <v>877.64584</v>
      </c>
      <c r="C83" s="27" t="s">
        <v>212</v>
      </c>
      <c r="D83" s="27">
        <f>IF(289.06041="","-",289.06041/2182440.05753*100)</f>
        <v>0.013244827000066486</v>
      </c>
      <c r="E83" s="27">
        <f>IF(877.64584="","-",877.64584/2578307.19892*100)</f>
        <v>0.03403961484370938</v>
      </c>
      <c r="F83" s="27">
        <f>IF(OR(2326210.82237="",23.36058="",289.06041=""),"-",(289.06041-23.36058)/2326210.82237*100)</f>
        <v>0.011422001284015116</v>
      </c>
      <c r="G83" s="27">
        <f>IF(OR(2182440.05753="",877.64584="",289.06041=""),"-",(877.64584-289.06041)/2182440.05753*100)</f>
        <v>0.026969145290805283</v>
      </c>
    </row>
    <row r="84" spans="1:7" s="16" customFormat="1" ht="15">
      <c r="A84" s="50" t="s">
        <v>160</v>
      </c>
      <c r="B84" s="27">
        <f>IF(862.22033="","-",862.22033)</f>
        <v>862.22033</v>
      </c>
      <c r="C84" s="27">
        <f>IF(OR(624.26679="",862.22033=""),"-",862.22033/624.26679*100)</f>
        <v>138.11728315709377</v>
      </c>
      <c r="D84" s="27">
        <f>IF(624.26679="","-",624.26679/2182440.05753*100)</f>
        <v>0.028604074959406704</v>
      </c>
      <c r="E84" s="27">
        <f>IF(862.22033="","-",862.22033/2578307.19892*100)</f>
        <v>0.03344133431272916</v>
      </c>
      <c r="F84" s="27">
        <f>IF(OR(2326210.82237="",416.15549="",624.26679=""),"-",(624.26679-416.15549)/2326210.82237*100)</f>
        <v>0.00894636453406107</v>
      </c>
      <c r="G84" s="27">
        <f>IF(OR(2182440.05753="",862.22033="",624.26679=""),"-",(862.22033-624.26679)/2182440.05753*100)</f>
        <v>0.01090309624674441</v>
      </c>
    </row>
    <row r="85" spans="1:7" s="16" customFormat="1" ht="15">
      <c r="A85" s="50" t="s">
        <v>207</v>
      </c>
      <c r="B85" s="27">
        <f>IF(647.09289="","-",647.09289)</f>
        <v>647.09289</v>
      </c>
      <c r="C85" s="27">
        <f>IF(OR(516.93829="",647.09289=""),"-",647.09289/516.93829*100)</f>
        <v>125.17797627256435</v>
      </c>
      <c r="D85" s="27">
        <f>IF(516.93829="","-",516.93829/2182440.05753*100)</f>
        <v>0.023686253751457005</v>
      </c>
      <c r="E85" s="27">
        <f>IF(647.09289="","-",647.09289/2578307.19892*100)</f>
        <v>0.025097586907838365</v>
      </c>
      <c r="F85" s="27">
        <f>IF(OR(2326210.82237="",559.59716="",516.93829=""),"-",(516.93829-559.59716)/2326210.82237*100)</f>
        <v>-0.001833835075899874</v>
      </c>
      <c r="G85" s="27">
        <f>IF(OR(2182440.05753="",647.09289="",516.93829=""),"-",(647.09289-516.93829)/2182440.05753*100)</f>
        <v>0.005963719349401231</v>
      </c>
    </row>
    <row r="86" spans="1:7" s="16" customFormat="1" ht="15">
      <c r="A86" s="50" t="s">
        <v>176</v>
      </c>
      <c r="B86" s="27">
        <f>IF(641.88818="","-",641.88818)</f>
        <v>641.88818</v>
      </c>
      <c r="C86" s="27">
        <f>IF(OR(718.57827="",641.88818=""),"-",641.88818/718.57827*100)</f>
        <v>89.32752447412584</v>
      </c>
      <c r="D86" s="27">
        <f>IF(718.57827="","-",718.57827/2182440.05753*100)</f>
        <v>0.03292545275278986</v>
      </c>
      <c r="E86" s="27">
        <f>IF(641.88818="","-",641.88818/2578307.19892*100)</f>
        <v>0.024895721513281035</v>
      </c>
      <c r="F86" s="27">
        <f>IF(OR(2326210.82237="",904.88415="",718.57827=""),"-",(718.57827-904.88415)/2326210.82237*100)</f>
        <v>-0.008008985179175938</v>
      </c>
      <c r="G86" s="27">
        <f>IF(OR(2182440.05753="",641.88818="",718.57827=""),"-",(641.88818-718.57827)/2182440.05753*100)</f>
        <v>-0.0035139608868247577</v>
      </c>
    </row>
    <row r="87" spans="1:7" s="16" customFormat="1" ht="15">
      <c r="A87" s="50" t="s">
        <v>181</v>
      </c>
      <c r="B87" s="27">
        <f>IF(632.19098="","-",632.19098)</f>
        <v>632.19098</v>
      </c>
      <c r="C87" s="27">
        <f>IF(OR(424.77488="",632.19098=""),"-",632.19098/424.77488*100)</f>
        <v>148.82965301526306</v>
      </c>
      <c r="D87" s="27">
        <f>IF(424.77488="","-",424.77488/2182440.05753*100)</f>
        <v>0.019463301112642863</v>
      </c>
      <c r="E87" s="27">
        <f>IF(632.19098="","-",632.19098/2578307.19892*100)</f>
        <v>0.024519614275010048</v>
      </c>
      <c r="F87" s="27">
        <f>IF(OR(2326210.82237="",241.05106="",424.77488=""),"-",(424.77488-241.05106)/2326210.82237*100)</f>
        <v>0.007897986641331919</v>
      </c>
      <c r="G87" s="27">
        <f>IF(OR(2182440.05753="",632.19098="",424.77488=""),"-",(632.19098-424.77488)/2182440.05753*100)</f>
        <v>0.00950386239861934</v>
      </c>
    </row>
    <row r="88" spans="1:7" s="16" customFormat="1" ht="15">
      <c r="A88" s="50" t="s">
        <v>182</v>
      </c>
      <c r="B88" s="27">
        <f>IF(537.95958="","-",537.95958)</f>
        <v>537.95958</v>
      </c>
      <c r="C88" s="27" t="s">
        <v>189</v>
      </c>
      <c r="D88" s="27">
        <f>IF(214.30528="","-",214.30528/2182440.05753*100)</f>
        <v>0.00981952650935771</v>
      </c>
      <c r="E88" s="27">
        <f>IF(537.95958="","-",537.95958/2578307.19892*100)</f>
        <v>0.020864836440953983</v>
      </c>
      <c r="F88" s="27">
        <f>IF(OR(2326210.82237="",590.81783="",214.30528=""),"-",(214.30528-590.81783)/2326210.82237*100)</f>
        <v>-0.0161856589428296</v>
      </c>
      <c r="G88" s="27">
        <f>IF(OR(2182440.05753="",537.95958="",214.30528=""),"-",(537.95958-214.30528)/2182440.05753*100)</f>
        <v>0.014829928496010983</v>
      </c>
    </row>
    <row r="89" spans="1:7" s="16" customFormat="1" ht="15">
      <c r="A89" s="50" t="s">
        <v>177</v>
      </c>
      <c r="B89" s="27">
        <f>IF(525.02283="","-",525.02283)</f>
        <v>525.02283</v>
      </c>
      <c r="C89" s="27">
        <f>IF(OR(690.2717="",525.02283=""),"-",525.02283/690.2717*100)</f>
        <v>76.06031509042019</v>
      </c>
      <c r="D89" s="27">
        <f>IF(690.2717="","-",690.2717/2182440.05753*100)</f>
        <v>0.03162843797786696</v>
      </c>
      <c r="E89" s="27">
        <f>IF(525.02283="","-",525.02283/2578307.19892*100)</f>
        <v>0.020363082809524067</v>
      </c>
      <c r="F89" s="27">
        <f>IF(OR(2326210.82237="",1286.79668="",690.2717=""),"-",(690.2717-1286.79668)/2326210.82237*100)</f>
        <v>-0.025643633597759886</v>
      </c>
      <c r="G89" s="27">
        <f>IF(OR(2182440.05753="",525.02283="",690.2717=""),"-",(525.02283-690.2717)/2182440.05753*100)</f>
        <v>-0.007571748393723226</v>
      </c>
    </row>
    <row r="90" spans="1:7" s="16" customFormat="1" ht="15">
      <c r="A90" s="50" t="s">
        <v>120</v>
      </c>
      <c r="B90" s="27">
        <f>IF(487.28641="","-",487.28641)</f>
        <v>487.28641</v>
      </c>
      <c r="C90" s="27">
        <f>IF(OR(2156.77232="",487.28641=""),"-",487.28641/2156.77232*100)</f>
        <v>22.59331712862487</v>
      </c>
      <c r="D90" s="27">
        <f>IF(2156.77232="","-",2156.77232/2182440.05753*100)</f>
        <v>0.09882389725017009</v>
      </c>
      <c r="E90" s="27">
        <f>IF(487.28641="","-",487.28641/2578307.19892*100)</f>
        <v>0.018899470559757745</v>
      </c>
      <c r="F90" s="27">
        <f>IF(OR(2326210.82237="",2271.98002="",2156.77232=""),"-",(2156.77232-2271.98002)/2326210.82237*100)</f>
        <v>-0.004952590663413023</v>
      </c>
      <c r="G90" s="27">
        <f>IF(OR(2182440.05753="",487.28641="",2156.77232=""),"-",(487.28641-2156.77232)/2182440.05753*100)</f>
        <v>-0.07649630074557277</v>
      </c>
    </row>
    <row r="91" spans="1:7" ht="15">
      <c r="A91" s="50" t="s">
        <v>143</v>
      </c>
      <c r="B91" s="27">
        <f>IF(471.64926="","-",471.64926)</f>
        <v>471.64926</v>
      </c>
      <c r="C91" s="27">
        <f>IF(OR(811.49799="",471.64926=""),"-",471.64926/811.49799*100)</f>
        <v>58.120816787235675</v>
      </c>
      <c r="D91" s="27">
        <f>IF(811.49799="","-",811.49799/2182440.05753*100)</f>
        <v>0.03718305972253926</v>
      </c>
      <c r="E91" s="27">
        <f>IF(471.64926="","-",471.64926/2578307.19892*100)</f>
        <v>0.018292981542213597</v>
      </c>
      <c r="F91" s="27">
        <f>IF(OR(2326210.82237="",439.36192="",811.49799=""),"-",(811.49799-439.36192)/2326210.82237*100)</f>
        <v>0.015997521222984368</v>
      </c>
      <c r="G91" s="27">
        <f>IF(OR(2182440.05753="",471.64926="",811.49799=""),"-",(471.64926-811.49799)/2182440.05753*100)</f>
        <v>-0.015571961705313796</v>
      </c>
    </row>
    <row r="92" spans="1:7" ht="15">
      <c r="A92" s="50" t="s">
        <v>119</v>
      </c>
      <c r="B92" s="27">
        <f>IF(454.31288="","-",454.31288)</f>
        <v>454.31288</v>
      </c>
      <c r="C92" s="27" t="s">
        <v>212</v>
      </c>
      <c r="D92" s="27">
        <f>IF(153.79869="","-",153.79869/2182440.05753*100)</f>
        <v>0.007047098016248076</v>
      </c>
      <c r="E92" s="27">
        <f>IF(454.31288="","-",454.31288/2578307.19892*100)</f>
        <v>0.017620587654966113</v>
      </c>
      <c r="F92" s="27">
        <f>IF(OR(2326210.82237="",198.85592="",153.79869=""),"-",(153.79869-198.85592)/2326210.82237*100)</f>
        <v>-0.0019369366510854165</v>
      </c>
      <c r="G92" s="27">
        <f>IF(OR(2182440.05753="",454.31288="",153.79869=""),"-",(454.31288-153.79869)/2182440.05753*100)</f>
        <v>0.013769642330525685</v>
      </c>
    </row>
    <row r="93" spans="1:7" ht="15">
      <c r="A93" s="50" t="s">
        <v>183</v>
      </c>
      <c r="B93" s="27">
        <f>IF(451.95546="","-",451.95546)</f>
        <v>451.95546</v>
      </c>
      <c r="C93" s="27">
        <f>IF(OR(334.81765="",451.95546=""),"-",451.95546/334.81765*100)</f>
        <v>134.98555407697296</v>
      </c>
      <c r="D93" s="27">
        <f>IF(334.81765="","-",334.81765/2182440.05753*100)</f>
        <v>0.015341436244481945</v>
      </c>
      <c r="E93" s="27">
        <f>IF(451.95546="","-",451.95546/2578307.19892*100)</f>
        <v>0.017529154795414406</v>
      </c>
      <c r="F93" s="27">
        <f>IF(OR(2326210.82237="",1456.11324="",334.81765=""),"-",(334.81765-1456.11324)/2326210.82237*100)</f>
        <v>-0.04820266414449902</v>
      </c>
      <c r="G93" s="27">
        <f>IF(OR(2182440.05753="",451.95546="",334.81765=""),"-",(451.95546-334.81765)/2182440.05753*100)</f>
        <v>0.005367286473497558</v>
      </c>
    </row>
    <row r="94" spans="1:7" ht="15">
      <c r="A94" s="50" t="s">
        <v>178</v>
      </c>
      <c r="B94" s="27">
        <f>IF(414.1538="","-",414.1538)</f>
        <v>414.1538</v>
      </c>
      <c r="C94" s="27">
        <f>IF(OR(579.47073="",414.1538=""),"-",414.1538/579.47073*100)</f>
        <v>71.47104738146135</v>
      </c>
      <c r="D94" s="27">
        <f>IF(579.47073="","-",579.47073/2182440.05753*100)</f>
        <v>0.026551507245327153</v>
      </c>
      <c r="E94" s="27">
        <f>IF(414.1538="","-",414.1538/2578307.19892*100)</f>
        <v>0.016063012203258033</v>
      </c>
      <c r="F94" s="27">
        <f>IF(OR(2326210.82237="",1402.82643="",579.47073=""),"-",(579.47073-1402.82643)/2326210.82237*100)</f>
        <v>-0.035394715392182086</v>
      </c>
      <c r="G94" s="27">
        <f>IF(OR(2182440.05753="",414.1538="",579.47073=""),"-",(414.1538-579.47073)/2182440.05753*100)</f>
        <v>-0.0075748669215272395</v>
      </c>
    </row>
    <row r="95" spans="1:7" ht="15">
      <c r="A95" s="50" t="s">
        <v>191</v>
      </c>
      <c r="B95" s="27">
        <f>IF(400.57304="","-",400.57304)</f>
        <v>400.57304</v>
      </c>
      <c r="C95" s="27">
        <f>IF(OR(282.01522="",400.57304=""),"-",400.57304/282.01522*100)</f>
        <v>142.03951120084938</v>
      </c>
      <c r="D95" s="27">
        <f>IF(282.01522="","-",282.01522/2182440.05753*100)</f>
        <v>0.012922014468483217</v>
      </c>
      <c r="E95" s="27">
        <f>IF(400.57304="","-",400.57304/2578307.19892*100)</f>
        <v>0.015536280555233754</v>
      </c>
      <c r="F95" s="27">
        <f>IF(OR(2326210.82237="",210.52018="",282.01522=""),"-",(282.01522-210.52018)/2326210.82237*100)</f>
        <v>0.0030734548783140432</v>
      </c>
      <c r="G95" s="27">
        <f>IF(OR(2182440.05753="",400.57304="",282.01522=""),"-",(400.57304-282.01522)/2182440.05753*100)</f>
        <v>0.005432351719853378</v>
      </c>
    </row>
    <row r="96" spans="1:7" ht="15">
      <c r="A96" s="50" t="s">
        <v>205</v>
      </c>
      <c r="B96" s="27">
        <f>IF(396.65052="","-",396.65052)</f>
        <v>396.65052</v>
      </c>
      <c r="C96" s="27" t="s">
        <v>259</v>
      </c>
      <c r="D96" s="27">
        <f>IF(5.24822="","-",5.24822/2182440.05753*100)</f>
        <v>0.00024047487498647408</v>
      </c>
      <c r="E96" s="27">
        <f>IF(396.65052="","-",396.65052/2578307.19892*100)</f>
        <v>0.01538414507651178</v>
      </c>
      <c r="F96" s="27">
        <f>IF(OR(2326210.82237="",758.48931="",5.24822=""),"-",(5.24822-758.48931)/2326210.82237*100)</f>
        <v>-0.03238060294262494</v>
      </c>
      <c r="G96" s="27">
        <f>IF(OR(2182440.05753="",396.65052="",5.24822=""),"-",(396.65052-5.24822)/2182440.05753*100)</f>
        <v>0.017934160374740087</v>
      </c>
    </row>
    <row r="97" spans="1:7" ht="15">
      <c r="A97" s="50" t="s">
        <v>165</v>
      </c>
      <c r="B97" s="27">
        <f>IF(370.41153="","-",370.41153)</f>
        <v>370.41153</v>
      </c>
      <c r="C97" s="27">
        <f>IF(OR(509.68145="",370.41153=""),"-",370.41153/509.68145*100)</f>
        <v>72.67510520541802</v>
      </c>
      <c r="D97" s="27">
        <f>IF(509.68145="","-",509.68145/2182440.05753*100)</f>
        <v>0.023353743359019786</v>
      </c>
      <c r="E97" s="27">
        <f>IF(370.41153="","-",370.41153/2578307.19892*100)</f>
        <v>0.014366462233637552</v>
      </c>
      <c r="F97" s="27">
        <f>IF(OR(2326210.82237="",369.74487="",509.68145=""),"-",(509.68145-369.74487)/2326210.82237*100)</f>
        <v>0.006015644783967999</v>
      </c>
      <c r="G97" s="27">
        <f>IF(OR(2182440.05753="",370.41153="",509.68145=""),"-",(370.41153-509.68145)/2182440.05753*100)</f>
        <v>-0.006381385803448833</v>
      </c>
    </row>
    <row r="98" spans="1:7" ht="15">
      <c r="A98" s="50" t="s">
        <v>164</v>
      </c>
      <c r="B98" s="27">
        <f>IF(348.1686="","-",348.1686)</f>
        <v>348.1686</v>
      </c>
      <c r="C98" s="27">
        <f>IF(OR(768.32983="",348.1686=""),"-",348.1686/768.32983*100)</f>
        <v>45.31499187009309</v>
      </c>
      <c r="D98" s="27">
        <f>IF(768.32983="","-",768.32983/2182440.05753*100)</f>
        <v>0.035205082831441685</v>
      </c>
      <c r="E98" s="27">
        <f>IF(348.1686="","-",348.1686/2578307.19892*100)</f>
        <v>0.01350376712851908</v>
      </c>
      <c r="F98" s="27">
        <f>IF(OR(2326210.82237="",1277.05196="",768.32983=""),"-",(768.32983-1277.05196)/2326210.82237*100)</f>
        <v>-0.021869132630107084</v>
      </c>
      <c r="G98" s="27">
        <f>IF(OR(2182440.05753="",348.1686="",768.32983=""),"-",(348.1686-768.32983)/2182440.05753*100)</f>
        <v>-0.01925190240851435</v>
      </c>
    </row>
    <row r="99" spans="1:7" ht="15">
      <c r="A99" s="50" t="s">
        <v>179</v>
      </c>
      <c r="B99" s="27">
        <f>IF(343.6729="","-",343.6729)</f>
        <v>343.6729</v>
      </c>
      <c r="C99" s="27">
        <f>IF(OR(489.11742="",343.6729=""),"-",343.6729/489.11742*100)</f>
        <v>70.26388469255502</v>
      </c>
      <c r="D99" s="27">
        <f>IF(489.11742="","-",489.11742/2182440.05753*100)</f>
        <v>0.022411493883298855</v>
      </c>
      <c r="E99" s="27">
        <f>IF(343.6729="","-",343.6729/2578307.19892*100)</f>
        <v>0.013329400784513093</v>
      </c>
      <c r="F99" s="27">
        <f>IF(OR(2326210.82237="",610.84723="",489.11742=""),"-",(489.11742-610.84723)/2326210.82237*100)</f>
        <v>-0.005232965508946377</v>
      </c>
      <c r="G99" s="27">
        <f>IF(OR(2182440.05753="",343.6729="",489.11742=""),"-",(343.6729-489.11742)/2182440.05753*100)</f>
        <v>-0.006664307663258727</v>
      </c>
    </row>
    <row r="100" spans="1:7" ht="15">
      <c r="A100" s="50" t="s">
        <v>211</v>
      </c>
      <c r="B100" s="27">
        <f>IF(224.64823="","-",224.64823)</f>
        <v>224.64823</v>
      </c>
      <c r="C100" s="27">
        <f>IF(OR(148.44698="",224.64823=""),"-",224.64823/148.44698*100)</f>
        <v>151.33230059648233</v>
      </c>
      <c r="D100" s="27">
        <f>IF(148.44698="","-",148.44698/2182440.05753*100)</f>
        <v>0.006801881201172896</v>
      </c>
      <c r="E100" s="27">
        <f>IF(224.64823="","-",224.64823/2578307.19892*100)</f>
        <v>0.008713012557002539</v>
      </c>
      <c r="F100" s="27">
        <f>IF(OR(2326210.82237="",60.78252="",148.44698=""),"-",(148.44698-60.78252)/2326210.82237*100)</f>
        <v>0.0037685518078144488</v>
      </c>
      <c r="G100" s="27">
        <f>IF(OR(2182440.05753="",224.64823="",148.44698=""),"-",(224.64823-148.44698)/2182440.05753*100)</f>
        <v>0.003491562104401695</v>
      </c>
    </row>
    <row r="101" spans="1:7" ht="15">
      <c r="A101" s="50" t="s">
        <v>190</v>
      </c>
      <c r="B101" s="27">
        <f>IF(197.88314="","-",197.88314)</f>
        <v>197.88314</v>
      </c>
      <c r="C101" s="27" t="s">
        <v>26</v>
      </c>
      <c r="D101" s="27">
        <f>IF(100.67771="","-",100.67771/2182440.05753*100)</f>
        <v>0.004613080192174583</v>
      </c>
      <c r="E101" s="27">
        <f>IF(197.88314="","-",197.88314/2578307.19892*100)</f>
        <v>0.0076749248531319</v>
      </c>
      <c r="F101" s="27">
        <f>IF(OR(2326210.82237="",51.11157="",100.67771=""),"-",(100.67771-51.11157)/2326210.82237*100)</f>
        <v>0.002130767320113351</v>
      </c>
      <c r="G101" s="27">
        <f>IF(OR(2182440.05753="",197.88314="",100.67771=""),"-",(197.88314-100.67771)/2182440.05753*100)</f>
        <v>0.004453979373436414</v>
      </c>
    </row>
    <row r="102" spans="1:7" ht="15">
      <c r="A102" s="50" t="s">
        <v>192</v>
      </c>
      <c r="B102" s="27">
        <f>IF(162.84882="","-",162.84882)</f>
        <v>162.84882</v>
      </c>
      <c r="C102" s="27" t="s">
        <v>208</v>
      </c>
      <c r="D102" s="27">
        <f>IF(53.06927="","-",53.06927/2182440.05753*100)</f>
        <v>0.0024316484577387074</v>
      </c>
      <c r="E102" s="27">
        <f>IF(162.84882="","-",162.84882/2578307.19892*100)</f>
        <v>0.006316113924214074</v>
      </c>
      <c r="F102" s="27">
        <f>IF(OR(2326210.82237="",61.52469="",53.06927=""),"-",(53.06927-61.52469)/2326210.82237*100)</f>
        <v>-0.00036348468155544947</v>
      </c>
      <c r="G102" s="27">
        <f>IF(OR(2182440.05753="",162.84882="",53.06927=""),"-",(162.84882-53.06927)/2182440.05753*100)</f>
        <v>0.005030128988937463</v>
      </c>
    </row>
    <row r="103" spans="1:7" ht="15">
      <c r="A103" s="50" t="s">
        <v>232</v>
      </c>
      <c r="B103" s="27">
        <f>IF(113.13609="","-",113.13609)</f>
        <v>113.13609</v>
      </c>
      <c r="C103" s="27">
        <f>IF(OR(92.03895="",113.13609=""),"-",113.13609/92.03895*100)</f>
        <v>122.921969448804</v>
      </c>
      <c r="D103" s="27">
        <f>IF(92.03895="","-",92.03895/2182440.05753*100)</f>
        <v>0.004217249847593344</v>
      </c>
      <c r="E103" s="27">
        <f>IF(113.13609="","-",113.13609/2578307.19892*100)</f>
        <v>0.004387998840766159</v>
      </c>
      <c r="F103" s="27">
        <f>IF(OR(2326210.82237="",54.35442="",92.03895=""),"-",(92.03895-54.35442)/2326210.82237*100)</f>
        <v>0.0016199963321297803</v>
      </c>
      <c r="G103" s="27">
        <f>IF(OR(2182440.05753="",113.13609="",92.03895=""),"-",(113.13609-92.03895)/2182440.05753*100)</f>
        <v>0.0009666767216450798</v>
      </c>
    </row>
    <row r="104" spans="1:7" ht="15">
      <c r="A104" s="50" t="s">
        <v>224</v>
      </c>
      <c r="B104" s="27">
        <f>IF(74.10322="","-",74.10322)</f>
        <v>74.10322</v>
      </c>
      <c r="C104" s="27" t="s">
        <v>184</v>
      </c>
      <c r="D104" s="27">
        <f>IF(35.06564="","-",35.06564/2182440.05753*100)</f>
        <v>0.001606717209896061</v>
      </c>
      <c r="E104" s="27">
        <f>IF(74.10322="","-",74.10322/2578307.19892*100)</f>
        <v>0.0028741035990994526</v>
      </c>
      <c r="F104" s="27">
        <f>IF(OR(2326210.82237="",11.86321="",35.06564=""),"-",(35.06564-11.86321)/2326210.82237*100)</f>
        <v>0.0009974345307344412</v>
      </c>
      <c r="G104" s="27">
        <f>IF(OR(2182440.05753="",74.10322="",35.06564=""),"-",(74.10322-35.06564)/2182440.05753*100)</f>
        <v>0.0017887125864149136</v>
      </c>
    </row>
    <row r="105" spans="1:7" ht="15">
      <c r="A105" s="50" t="s">
        <v>225</v>
      </c>
      <c r="B105" s="27">
        <f>IF(61.11134="","-",61.11134)</f>
        <v>61.11134</v>
      </c>
      <c r="C105" s="27">
        <f>IF(OR(102.18415="",61.11134=""),"-",61.11134/102.18415*100)</f>
        <v>59.80510676068646</v>
      </c>
      <c r="D105" s="27">
        <f>IF(102.18415="","-",102.18415/2182440.05753*100)</f>
        <v>0.004682105684755806</v>
      </c>
      <c r="E105" s="27">
        <f>IF(61.11134="","-",61.11134/2578307.19892*100)</f>
        <v>0.0023702117430226427</v>
      </c>
      <c r="F105" s="27">
        <f>IF(OR(2326210.82237="",200.53455="",102.18415=""),"-",(102.18415-200.53455)/2326210.82237*100)</f>
        <v>-0.004227922897366551</v>
      </c>
      <c r="G105" s="27">
        <f>IF(OR(2182440.05753="",61.11134="",102.18415=""),"-",(61.11134-102.18415)/2182440.05753*100)</f>
        <v>-0.0018819673813394262</v>
      </c>
    </row>
    <row r="106" spans="1:7" ht="15">
      <c r="A106" s="50" t="s">
        <v>233</v>
      </c>
      <c r="B106" s="27">
        <f>IF(61.02817="","-",61.02817)</f>
        <v>61.02817</v>
      </c>
      <c r="C106" s="27">
        <f>IF(OR(60.78231="",61.02817=""),"-",61.02817/60.78231*100)</f>
        <v>100.40449268874447</v>
      </c>
      <c r="D106" s="27">
        <f>IF(60.78231="","-",60.78231/2182440.05753*100)</f>
        <v>0.002785062058876936</v>
      </c>
      <c r="E106" s="27">
        <f>IF(61.02817="","-",61.02817/2578307.19892*100)</f>
        <v>0.002366985983111844</v>
      </c>
      <c r="F106" s="27">
        <f>IF(OR(2326210.82237="",18.93126="",60.78231=""),"-",(60.78231-18.93126)/2326210.82237*100)</f>
        <v>0.0017991082148504979</v>
      </c>
      <c r="G106" s="27">
        <f>IF(OR(2182440.05753="",61.02817="",60.78231=""),"-",(61.02817-60.78231)/2182440.05753*100)</f>
        <v>1.1265372405153484E-05</v>
      </c>
    </row>
    <row r="107" spans="1:7" ht="15">
      <c r="A107" s="50" t="s">
        <v>226</v>
      </c>
      <c r="B107" s="27">
        <f>IF(54.8964="","-",54.8964)</f>
        <v>54.8964</v>
      </c>
      <c r="C107" s="27" t="str">
        <f>IF(OR(""="",54.8964=""),"-",54.8964/""*100)</f>
        <v>-</v>
      </c>
      <c r="D107" s="27" t="str">
        <f>IF(""="","-",""/2182440.05753*100)</f>
        <v>-</v>
      </c>
      <c r="E107" s="27">
        <f>IF(54.8964="","-",54.8964/2578307.19892*100)</f>
        <v>0.0021291644387059455</v>
      </c>
      <c r="F107" s="27" t="str">
        <f>IF(OR(2326210.82237="",""="",""=""),"-",(""-"")/2326210.82237*100)</f>
        <v>-</v>
      </c>
      <c r="G107" s="27" t="str">
        <f>IF(OR(2182440.05753="",54.8964="",""=""),"-",(54.8964-"")/2182440.05753*100)</f>
        <v>-</v>
      </c>
    </row>
    <row r="108" spans="1:7" ht="15">
      <c r="A108" s="50" t="s">
        <v>148</v>
      </c>
      <c r="B108" s="27">
        <f>IF(53.64395="","-",53.64395)</f>
        <v>53.64395</v>
      </c>
      <c r="C108" s="27">
        <f>IF(OR(44.64538="",53.64395=""),"-",53.64395/44.64538*100)</f>
        <v>120.15565776346845</v>
      </c>
      <c r="D108" s="27">
        <f>IF(44.64538="","-",44.64538/2182440.05753*100)</f>
        <v>0.0020456635152915903</v>
      </c>
      <c r="E108" s="27">
        <f>IF(53.64395="","-",53.64395/2578307.19892*100)</f>
        <v>0.0020805879928687456</v>
      </c>
      <c r="F108" s="27">
        <f>IF(OR(2326210.82237="",12.2413="",44.64538=""),"-",(44.64538-12.2413)/2326210.82237*100)</f>
        <v>0.0013929984199362437</v>
      </c>
      <c r="G108" s="27">
        <f>IF(OR(2182440.05753="",53.64395="",44.64538=""),"-",(53.64395-44.64538)/2182440.05753*100)</f>
        <v>0.00041231693713431115</v>
      </c>
    </row>
    <row r="109" spans="1:7" ht="15">
      <c r="A109" s="50" t="s">
        <v>256</v>
      </c>
      <c r="B109" s="27">
        <f>IF(50.12997="","-",50.12997)</f>
        <v>50.12997</v>
      </c>
      <c r="C109" s="27" t="s">
        <v>214</v>
      </c>
      <c r="D109" s="27">
        <f>IF(29.69526="","-",29.69526/2182440.05753*100)</f>
        <v>0.0013606449303174876</v>
      </c>
      <c r="E109" s="27">
        <f>IF(50.12997="","-",50.12997/2578307.19892*100)</f>
        <v>0.001944297794343452</v>
      </c>
      <c r="F109" s="27">
        <f>IF(OR(2326210.82237="",44.3797="",29.69526=""),"-",(29.69526-44.3797)/2326210.82237*100)</f>
        <v>-0.0006312600671782247</v>
      </c>
      <c r="G109" s="27">
        <f>IF(OR(2182440.05753="",50.12997="",29.69526=""),"-",(50.12997-29.69526)/2182440.05753*100)</f>
        <v>0.0009363239979716649</v>
      </c>
    </row>
    <row r="110" spans="1:7" ht="15">
      <c r="A110" s="65" t="s">
        <v>27</v>
      </c>
      <c r="B110" s="65"/>
      <c r="C110" s="65"/>
      <c r="D110" s="65"/>
      <c r="E110" s="65"/>
      <c r="F110" s="65"/>
      <c r="G110" s="65"/>
    </row>
  </sheetData>
  <sheetProtection/>
  <mergeCells count="10">
    <mergeCell ref="A110:G110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4"/>
  <sheetViews>
    <sheetView zoomScalePageLayoutView="0" workbookViewId="0" topLeftCell="A1">
      <selection activeCell="L16" sqref="L16"/>
    </sheetView>
  </sheetViews>
  <sheetFormatPr defaultColWidth="9.00390625" defaultRowHeight="15.75"/>
  <cols>
    <col min="1" max="1" width="45.875" style="0" customWidth="1"/>
    <col min="2" max="3" width="14.125" style="0" customWidth="1"/>
    <col min="4" max="4" width="14.875" style="0" customWidth="1"/>
  </cols>
  <sheetData>
    <row r="1" spans="1:4" ht="15.75">
      <c r="A1" s="66" t="s">
        <v>34</v>
      </c>
      <c r="B1" s="66"/>
      <c r="C1" s="66"/>
      <c r="D1" s="66"/>
    </row>
    <row r="2" ht="10.5" customHeight="1">
      <c r="A2" s="4"/>
    </row>
    <row r="3" spans="1:5" ht="21.75" customHeight="1">
      <c r="A3" s="76"/>
      <c r="B3" s="80" t="s">
        <v>246</v>
      </c>
      <c r="C3" s="71"/>
      <c r="D3" s="72" t="s">
        <v>247</v>
      </c>
      <c r="E3" s="1"/>
    </row>
    <row r="4" spans="1:5" ht="23.25" customHeight="1">
      <c r="A4" s="77"/>
      <c r="B4" s="20">
        <v>2016</v>
      </c>
      <c r="C4" s="19">
        <v>2017</v>
      </c>
      <c r="D4" s="81"/>
      <c r="E4" s="1"/>
    </row>
    <row r="5" spans="1:4" ht="17.25" customHeight="1">
      <c r="A5" s="7" t="s">
        <v>199</v>
      </c>
      <c r="B5" s="34">
        <f>IF(-1111426.67039="","-",-1111426.67039)</f>
        <v>-1111426.67039</v>
      </c>
      <c r="C5" s="34">
        <f>IF(-1358444.91125="","-",-1358444.91125)</f>
        <v>-1358444.91125</v>
      </c>
      <c r="D5" s="46">
        <f>IF(-1111426.67039="","-",-1358444.91125/-1111426.67039*100)</f>
        <v>122.22532960931385</v>
      </c>
    </row>
    <row r="6" spans="1:4" ht="15">
      <c r="A6" s="8" t="s">
        <v>32</v>
      </c>
      <c r="B6" s="40"/>
      <c r="C6" s="39"/>
      <c r="D6" s="43"/>
    </row>
    <row r="7" spans="1:4" ht="15">
      <c r="A7" s="42" t="s">
        <v>4</v>
      </c>
      <c r="B7" s="26">
        <f>IF(-406390.49294="","-",-406390.49294)</f>
        <v>-406390.49294</v>
      </c>
      <c r="C7" s="26">
        <f>IF(-503605.1274="","-",-503605.1274)</f>
        <v>-503605.1274</v>
      </c>
      <c r="D7" s="47">
        <f>IF(-406390.49294="","-",-503605.1274/-406390.49294*100)</f>
        <v>123.92148343744667</v>
      </c>
    </row>
    <row r="8" spans="1:4" ht="15">
      <c r="A8" s="50" t="s">
        <v>7</v>
      </c>
      <c r="B8" s="27">
        <f>IF(-108278.09184="","-",-108278.09184)</f>
        <v>-108278.09184</v>
      </c>
      <c r="C8" s="27">
        <f>IF(-124306.069="","-",-124306.069)</f>
        <v>-124306.069</v>
      </c>
      <c r="D8" s="48">
        <f>IF(OR(-108278.09184="",-124306.069="",-108278.09184=0),"-",-124306.069/-108278.09184*100)</f>
        <v>114.8026040056969</v>
      </c>
    </row>
    <row r="9" spans="1:4" ht="15">
      <c r="A9" s="50" t="s">
        <v>6</v>
      </c>
      <c r="B9" s="27">
        <f>IF(-55493.81027="","-",-55493.81027)</f>
        <v>-55493.81027</v>
      </c>
      <c r="C9" s="27">
        <f>IF(-79692.25775="","-",-79692.25775)</f>
        <v>-79692.25775</v>
      </c>
      <c r="D9" s="48">
        <f>IF(OR(-55493.81027="",-79692.25775="",-55493.81027=0),"-",-79692.25775/-55493.81027*100)</f>
        <v>143.6056694652335</v>
      </c>
    </row>
    <row r="10" spans="1:4" ht="15">
      <c r="A10" s="50" t="s">
        <v>5</v>
      </c>
      <c r="B10" s="27">
        <f>IF(-34552.25444="","-",-34552.25444)</f>
        <v>-34552.25444</v>
      </c>
      <c r="C10" s="27">
        <f>IF(-60050.58006="","-",-60050.58006)</f>
        <v>-60050.58006</v>
      </c>
      <c r="D10" s="48" t="s">
        <v>214</v>
      </c>
    </row>
    <row r="11" spans="1:4" ht="15">
      <c r="A11" s="50" t="s">
        <v>125</v>
      </c>
      <c r="B11" s="27">
        <f>IF(-41209.72083="","-",-41209.72083)</f>
        <v>-41209.72083</v>
      </c>
      <c r="C11" s="27">
        <f>IF(-48670.49861="","-",-48670.49861)</f>
        <v>-48670.49861</v>
      </c>
      <c r="D11" s="48">
        <f>IF(OR(-41209.72083="",-48670.49861="",-41209.72083=0),"-",-48670.49861/-41209.72083*100)</f>
        <v>118.10441233217159</v>
      </c>
    </row>
    <row r="12" spans="1:4" ht="15">
      <c r="A12" s="50" t="s">
        <v>200</v>
      </c>
      <c r="B12" s="27">
        <f>IF(-28384.70318="","-",-28384.70318)</f>
        <v>-28384.70318</v>
      </c>
      <c r="C12" s="27">
        <f>IF(-46709.63302="","-",-46709.63302)</f>
        <v>-46709.63302</v>
      </c>
      <c r="D12" s="48" t="s">
        <v>215</v>
      </c>
    </row>
    <row r="13" spans="1:4" ht="15">
      <c r="A13" s="50" t="s">
        <v>8</v>
      </c>
      <c r="B13" s="27">
        <f>IF(-28421.33297="","-",-28421.33297)</f>
        <v>-28421.33297</v>
      </c>
      <c r="C13" s="27">
        <f>IF(-44449.07092="","-",-44449.07092)</f>
        <v>-44449.07092</v>
      </c>
      <c r="D13" s="48" t="s">
        <v>215</v>
      </c>
    </row>
    <row r="14" spans="1:4" ht="15">
      <c r="A14" s="50" t="s">
        <v>11</v>
      </c>
      <c r="B14" s="27">
        <f>IF(-30892.30168="","-",-30892.30168)</f>
        <v>-30892.30168</v>
      </c>
      <c r="C14" s="27">
        <f>IF(-25394.28515="","-",-25394.28515)</f>
        <v>-25394.28515</v>
      </c>
      <c r="D14" s="48">
        <f>IF(OR(-30892.30168="",-25394.28515="",-30892.30168=0),"-",-25394.28515/-30892.30168*100)</f>
        <v>82.20263227081111</v>
      </c>
    </row>
    <row r="15" spans="1:4" ht="15">
      <c r="A15" s="50" t="s">
        <v>123</v>
      </c>
      <c r="B15" s="27">
        <f>IF(-25656.90001="","-",-25656.90001)</f>
        <v>-25656.90001</v>
      </c>
      <c r="C15" s="27">
        <f>IF(-22074.25439="","-",-22074.25439)</f>
        <v>-22074.25439</v>
      </c>
      <c r="D15" s="48">
        <f>IF(OR(-25656.90001="",-22074.25439="",-25656.90001=0),"-",-22074.25439/-25656.90001*100)</f>
        <v>86.03632699740173</v>
      </c>
    </row>
    <row r="16" spans="1:4" ht="15">
      <c r="A16" s="50" t="s">
        <v>10</v>
      </c>
      <c r="B16" s="27">
        <f>IF(-13226.95463="","-",-13226.95463)</f>
        <v>-13226.95463</v>
      </c>
      <c r="C16" s="27">
        <f>IF(-18772.03689="","-",-18772.03689)</f>
        <v>-18772.03689</v>
      </c>
      <c r="D16" s="48">
        <f>IF(OR(-13226.95463="",-18772.03689="",-13226.95463=0),"-",-18772.03689/-13226.95463*100)</f>
        <v>141.92259227549795</v>
      </c>
    </row>
    <row r="17" spans="1:4" ht="15">
      <c r="A17" s="50" t="s">
        <v>124</v>
      </c>
      <c r="B17" s="27">
        <f>IF(-13202.06407="","-",-13202.06407)</f>
        <v>-13202.06407</v>
      </c>
      <c r="C17" s="27">
        <f>IF(-14104.48666="","-",-14104.48666)</f>
        <v>-14104.48666</v>
      </c>
      <c r="D17" s="48">
        <f>IF(OR(-13202.06407="",-14104.48666="",-13202.06407=0),"-",-14104.48666/-13202.06407*100)</f>
        <v>106.8354659181714</v>
      </c>
    </row>
    <row r="18" spans="1:4" ht="15">
      <c r="A18" s="50" t="s">
        <v>13</v>
      </c>
      <c r="B18" s="27">
        <f>IF(-11434.66206="","-",-11434.66206)</f>
        <v>-11434.66206</v>
      </c>
      <c r="C18" s="27">
        <f>IF(-12979.4317="","-",-12979.4317)</f>
        <v>-12979.4317</v>
      </c>
      <c r="D18" s="48">
        <f>IF(OR(-11434.66206="",-12979.4317="",-11434.66206=0),"-",-12979.4317/-11434.66206*100)</f>
        <v>113.50953471028944</v>
      </c>
    </row>
    <row r="19" spans="1:4" ht="15">
      <c r="A19" s="50" t="s">
        <v>133</v>
      </c>
      <c r="B19" s="27">
        <f>IF(-9763.21493="","-",-9763.21493)</f>
        <v>-9763.21493</v>
      </c>
      <c r="C19" s="27">
        <f>IF(-9484.73014="","-",-9484.73014)</f>
        <v>-9484.73014</v>
      </c>
      <c r="D19" s="48">
        <f>IF(OR(-9763.21493="",-9484.73014="",-9763.21493=0),"-",-9484.73014/-9763.21493*100)</f>
        <v>97.14761180618605</v>
      </c>
    </row>
    <row r="20" spans="1:4" ht="15">
      <c r="A20" s="50" t="s">
        <v>135</v>
      </c>
      <c r="B20" s="27">
        <f>IF(-7698.62339="","-",-7698.62339)</f>
        <v>-7698.62339</v>
      </c>
      <c r="C20" s="27">
        <f>IF(-8877.1192="","-",-8877.1192)</f>
        <v>-8877.1192</v>
      </c>
      <c r="D20" s="48">
        <f>IF(OR(-7698.62339="",-8877.1192="",-7698.62339=0),"-",-8877.1192/-7698.62339*100)</f>
        <v>115.30787713983759</v>
      </c>
    </row>
    <row r="21" spans="1:4" ht="15">
      <c r="A21" s="50" t="s">
        <v>131</v>
      </c>
      <c r="B21" s="27">
        <f>IF(-5447.3259="","-",-5447.3259)</f>
        <v>-5447.3259</v>
      </c>
      <c r="C21" s="27">
        <f>IF(-7313.78143="","-",-7313.78143)</f>
        <v>-7313.78143</v>
      </c>
      <c r="D21" s="48">
        <f>IF(OR(-5447.3259="",-7313.78143="",-5447.3259=0),"-",-7313.78143/-5447.3259*100)</f>
        <v>134.2637023057497</v>
      </c>
    </row>
    <row r="22" spans="1:6" ht="15">
      <c r="A22" s="50" t="s">
        <v>127</v>
      </c>
      <c r="B22" s="27">
        <f>IF(-5755.95603="","-",-5755.95603)</f>
        <v>-5755.95603</v>
      </c>
      <c r="C22" s="27">
        <f>IF(-7292.60279="","-",-7292.60279)</f>
        <v>-7292.60279</v>
      </c>
      <c r="D22" s="48">
        <f>IF(OR(-5755.95603="",-7292.60279="",-5755.95603=0),"-",-7292.60279/-5755.95603*100)</f>
        <v>126.69663826462552</v>
      </c>
      <c r="F22" t="s">
        <v>227</v>
      </c>
    </row>
    <row r="23" spans="1:4" ht="15">
      <c r="A23" s="50" t="s">
        <v>132</v>
      </c>
      <c r="B23" s="27">
        <f>IF(-6086.07437="","-",-6086.07437)</f>
        <v>-6086.07437</v>
      </c>
      <c r="C23" s="27">
        <f>IF(-7189.88045="","-",-7189.88045)</f>
        <v>-7189.88045</v>
      </c>
      <c r="D23" s="48">
        <f>IF(OR(-6086.07437="",-7189.88045="",-6086.07437=0),"-",-7189.88045/-6086.07437*100)</f>
        <v>118.13658547192547</v>
      </c>
    </row>
    <row r="24" spans="1:4" ht="15">
      <c r="A24" s="50" t="s">
        <v>134</v>
      </c>
      <c r="B24" s="27">
        <f>IF(-7165.07636="","-",-7165.07636)</f>
        <v>-7165.07636</v>
      </c>
      <c r="C24" s="27">
        <f>IF(-7131.14841="","-",-7131.14841)</f>
        <v>-7131.14841</v>
      </c>
      <c r="D24" s="48">
        <f>IF(OR(-7165.07636="",-7131.14841="",-7165.07636=0),"-",-7131.14841/-7165.07636*100)</f>
        <v>99.52648166892669</v>
      </c>
    </row>
    <row r="25" spans="1:4" ht="15">
      <c r="A25" s="50" t="s">
        <v>136</v>
      </c>
      <c r="B25" s="27">
        <f>IF(-2696.97508="","-",-2696.97508)</f>
        <v>-2696.97508</v>
      </c>
      <c r="C25" s="27">
        <f>IF(-3356.65244="","-",-3356.65244)</f>
        <v>-3356.65244</v>
      </c>
      <c r="D25" s="48">
        <f>IF(OR(-2696.97508="",-3356.65244="",-2696.97508=0),"-",-3356.65244/-2696.97508*100)</f>
        <v>124.4598982353222</v>
      </c>
    </row>
    <row r="26" spans="1:4" ht="15">
      <c r="A26" s="50" t="s">
        <v>126</v>
      </c>
      <c r="B26" s="27">
        <f>IF(-2943.33984="","-",-2943.33984)</f>
        <v>-2943.33984</v>
      </c>
      <c r="C26" s="27">
        <f>IF(-1771.37831="","-",-1771.37831)</f>
        <v>-1771.37831</v>
      </c>
      <c r="D26" s="48">
        <f>IF(OR(-2943.33984="",-1771.37831="",-2943.33984=0),"-",-1771.37831/-2943.33984*100)</f>
        <v>60.182595496685835</v>
      </c>
    </row>
    <row r="27" spans="1:4" ht="15">
      <c r="A27" s="50" t="s">
        <v>128</v>
      </c>
      <c r="B27" s="27">
        <f>IF(-1843.98147="","-",-1843.98147)</f>
        <v>-1843.98147</v>
      </c>
      <c r="C27" s="27">
        <f>IF(-1664.03962="","-",-1664.03962)</f>
        <v>-1664.03962</v>
      </c>
      <c r="D27" s="48">
        <f>IF(OR(-1843.98147="",-1664.03962="",-1843.98147=0),"-",-1664.03962/-1843.98147*100)</f>
        <v>90.24166712477864</v>
      </c>
    </row>
    <row r="28" spans="1:4" ht="15">
      <c r="A28" s="50" t="s">
        <v>137</v>
      </c>
      <c r="B28" s="27">
        <f>IF(-1178.09169="","-",-1178.09169)</f>
        <v>-1178.09169</v>
      </c>
      <c r="C28" s="27">
        <f>IF(-1384.65832="","-",-1384.65832)</f>
        <v>-1384.65832</v>
      </c>
      <c r="D28" s="48">
        <f>IF(OR(-1178.09169="",-1384.65832="",-1178.09169=0),"-",-1384.65832/-1178.09169*100)</f>
        <v>117.53400280754039</v>
      </c>
    </row>
    <row r="29" spans="1:4" ht="15">
      <c r="A29" s="50" t="s">
        <v>129</v>
      </c>
      <c r="B29" s="27">
        <f>IF(-41.12106="","-",-41.12106)</f>
        <v>-41.12106</v>
      </c>
      <c r="C29" s="27">
        <f>IF(-1092.8512="","-",-1092.8512)</f>
        <v>-1092.8512</v>
      </c>
      <c r="D29" s="48" t="s">
        <v>260</v>
      </c>
    </row>
    <row r="30" spans="1:4" ht="15">
      <c r="A30" s="50" t="s">
        <v>201</v>
      </c>
      <c r="B30" s="27">
        <f>IF(-724.63494="","-",-724.63494)</f>
        <v>-724.63494</v>
      </c>
      <c r="C30" s="27">
        <f>IF(-1005.97141="","-",-1005.97141)</f>
        <v>-1005.97141</v>
      </c>
      <c r="D30" s="48">
        <f>IF(OR(-724.63494="",-1005.97141="",-724.63494=0),"-",-1005.97141/-724.63494*100)</f>
        <v>138.8245797256202</v>
      </c>
    </row>
    <row r="31" spans="1:4" ht="15">
      <c r="A31" s="50" t="s">
        <v>138</v>
      </c>
      <c r="B31" s="27">
        <f>IF(-199.04847="","-",-199.04847)</f>
        <v>-199.04847</v>
      </c>
      <c r="C31" s="27">
        <f>IF(-205.22795="","-",-205.22795)</f>
        <v>-205.22795</v>
      </c>
      <c r="D31" s="48">
        <f>IF(OR(-199.04847="",-205.22795="",-199.04847=0),"-",-205.22795/-199.04847*100)</f>
        <v>103.10451017282372</v>
      </c>
    </row>
    <row r="32" spans="1:4" ht="15">
      <c r="A32" s="50" t="s">
        <v>12</v>
      </c>
      <c r="B32" s="27">
        <f>IF(687.84837="","-",687.84837)</f>
        <v>687.84837</v>
      </c>
      <c r="C32" s="27">
        <f>IF(30.6941="","-",30.6941)</f>
        <v>30.6941</v>
      </c>
      <c r="D32" s="48">
        <f>IF(OR(687.84837="",30.6941="",687.84837=0),"-",30.6941/687.84837*100)</f>
        <v>4.462335209139188</v>
      </c>
    </row>
    <row r="33" spans="1:4" ht="15">
      <c r="A33" s="50" t="s">
        <v>130</v>
      </c>
      <c r="B33" s="27">
        <f>IF(1390.25598="","-",1390.25598)</f>
        <v>1390.25598</v>
      </c>
      <c r="C33" s="27">
        <f>IF(4204.8472="","-",4204.8472)</f>
        <v>4204.8472</v>
      </c>
      <c r="D33" s="48" t="s">
        <v>212</v>
      </c>
    </row>
    <row r="34" spans="1:4" ht="15">
      <c r="A34" s="50" t="s">
        <v>9</v>
      </c>
      <c r="B34" s="27">
        <f>IF(2195.69086="","-",2195.69086)</f>
        <v>2195.69086</v>
      </c>
      <c r="C34" s="27">
        <f>IF(5954.31052="","-",5954.31052)</f>
        <v>5954.31052</v>
      </c>
      <c r="D34" s="48" t="s">
        <v>242</v>
      </c>
    </row>
    <row r="35" spans="1:4" ht="15">
      <c r="A35" s="50" t="s">
        <v>209</v>
      </c>
      <c r="B35" s="27">
        <f>IF(31631.97136="","-",31631.97136)</f>
        <v>31631.97136</v>
      </c>
      <c r="C35" s="27">
        <f>IF(41177.6666="","-",41177.6666)</f>
        <v>41177.6666</v>
      </c>
      <c r="D35" s="48">
        <f>IF(OR(31631.97136="",41177.6666="",31631.97136=0),"-",41177.6666/31631.97136*100)</f>
        <v>130.17736432346086</v>
      </c>
    </row>
    <row r="36" spans="1:4" ht="15">
      <c r="A36" s="42" t="s">
        <v>14</v>
      </c>
      <c r="B36" s="26">
        <f>IF(-325209.25224="","-",-325209.25224)</f>
        <v>-325209.25224</v>
      </c>
      <c r="C36" s="26">
        <f>IF(-379990.7501="","-",-379990.7501)</f>
        <v>-379990.7501</v>
      </c>
      <c r="D36" s="47">
        <f>IF(-325209.25224="","-",-379990.7501/-325209.25224*100)</f>
        <v>116.84499979095675</v>
      </c>
    </row>
    <row r="37" spans="1:4" ht="15">
      <c r="A37" s="50" t="s">
        <v>16</v>
      </c>
      <c r="B37" s="27">
        <f>IF(-177911.29988="","-",-177911.29988)</f>
        <v>-177911.29988</v>
      </c>
      <c r="C37" s="27">
        <f>IF(-235726.49147="","-",-235726.49147)</f>
        <v>-235726.49147</v>
      </c>
      <c r="D37" s="48">
        <f>IF(OR(-177911.29988="",-235726.49147="",-177911.29988=0),"-",-235726.49147/-177911.29988*100)</f>
        <v>132.49663828491836</v>
      </c>
    </row>
    <row r="38" spans="1:4" ht="15">
      <c r="A38" s="50" t="s">
        <v>210</v>
      </c>
      <c r="B38" s="27">
        <f>IF(-165095.12612="","-",-165095.12612)</f>
        <v>-165095.12612</v>
      </c>
      <c r="C38" s="27">
        <f>IF(-159577.41972="","-",-159577.41972)</f>
        <v>-159577.41972</v>
      </c>
      <c r="D38" s="48">
        <f>IF(OR(-165095.12612="",-159577.41972="",-165095.12612=0),"-",-159577.41972/-165095.12612*100)</f>
        <v>96.65786233084226</v>
      </c>
    </row>
    <row r="39" spans="1:4" ht="15">
      <c r="A39" s="50" t="s">
        <v>22</v>
      </c>
      <c r="B39" s="27">
        <f>IF(325.32083="","-",325.32083)</f>
        <v>325.32083</v>
      </c>
      <c r="C39" s="27">
        <f>IF(167.4337="","-",167.4337)</f>
        <v>167.4337</v>
      </c>
      <c r="D39" s="48">
        <f>IF(OR(325.32083="",167.4337="",325.32083=0),"-",167.4337/325.32083*100)</f>
        <v>51.467254648280594</v>
      </c>
    </row>
    <row r="40" spans="1:4" ht="15">
      <c r="A40" s="50" t="s">
        <v>23</v>
      </c>
      <c r="B40" s="27">
        <f>IF(261.05322="","-",261.05322)</f>
        <v>261.05322</v>
      </c>
      <c r="C40" s="27">
        <f>IF(293.92405="","-",293.92405)</f>
        <v>293.92405</v>
      </c>
      <c r="D40" s="48">
        <f>IF(OR(261.05322="",293.92405="",261.05322=0),"-",293.92405/261.05322*100)</f>
        <v>112.59162020679156</v>
      </c>
    </row>
    <row r="41" spans="1:4" ht="15">
      <c r="A41" s="50" t="s">
        <v>21</v>
      </c>
      <c r="B41" s="27">
        <f>IF(471.43409="","-",471.43409)</f>
        <v>471.43409</v>
      </c>
      <c r="C41" s="27">
        <f>IF(462.73269="","-",462.73269)</f>
        <v>462.73269</v>
      </c>
      <c r="D41" s="48">
        <f>IF(OR(471.43409="",462.73269="",471.43409=0),"-",462.73269/471.43409*100)</f>
        <v>98.15427009107466</v>
      </c>
    </row>
    <row r="42" spans="1:4" ht="15">
      <c r="A42" s="50" t="s">
        <v>20</v>
      </c>
      <c r="B42" s="27">
        <f>IF(408.89755="","-",408.89755)</f>
        <v>408.89755</v>
      </c>
      <c r="C42" s="27">
        <f>IF(486.28893="","-",486.28893)</f>
        <v>486.28893</v>
      </c>
      <c r="D42" s="48">
        <f>IF(OR(408.89755="",486.28893="",408.89755=0),"-",486.28893/408.89755*100)</f>
        <v>118.92683876437997</v>
      </c>
    </row>
    <row r="43" spans="1:4" ht="15">
      <c r="A43" s="50" t="s">
        <v>19</v>
      </c>
      <c r="B43" s="27">
        <f>IF(447.7414="","-",447.7414)</f>
        <v>447.7414</v>
      </c>
      <c r="C43" s="27">
        <f>IF(1267.59261="","-",1267.59261)</f>
        <v>1267.59261</v>
      </c>
      <c r="D43" s="48" t="s">
        <v>185</v>
      </c>
    </row>
    <row r="44" spans="1:4" ht="15">
      <c r="A44" s="50" t="s">
        <v>15</v>
      </c>
      <c r="B44" s="27">
        <f>IF(8525.44288="","-",8525.44288)</f>
        <v>8525.44288</v>
      </c>
      <c r="C44" s="27">
        <f>IF(2161.02777="","-",2161.02777)</f>
        <v>2161.02777</v>
      </c>
      <c r="D44" s="48">
        <f>IF(OR(8525.44288="",2161.02777="",8525.44288=0),"-",2161.02777/8525.44288*100)</f>
        <v>25.347982508563828</v>
      </c>
    </row>
    <row r="45" spans="1:4" ht="15">
      <c r="A45" s="50" t="s">
        <v>18</v>
      </c>
      <c r="B45" s="27">
        <f>IF(1720.12178="","-",1720.12178)</f>
        <v>1720.12178</v>
      </c>
      <c r="C45" s="27">
        <f>IF(2643.32545="","-",2643.32545)</f>
        <v>2643.32545</v>
      </c>
      <c r="D45" s="48">
        <f>IF(OR(1720.12178="",2643.32545="",1720.12178=0),"-",2643.32545/1720.12178*100)</f>
        <v>153.67083195702574</v>
      </c>
    </row>
    <row r="46" spans="1:4" ht="15">
      <c r="A46" s="50" t="s">
        <v>17</v>
      </c>
      <c r="B46" s="27">
        <f>IF(5637.16201="","-",5637.16201)</f>
        <v>5637.16201</v>
      </c>
      <c r="C46" s="27">
        <f>IF(7830.83589="","-",7830.83589)</f>
        <v>7830.83589</v>
      </c>
      <c r="D46" s="48">
        <f>IF(OR(5637.16201="",7830.83589="",5637.16201=0),"-",7830.83589/5637.16201*100)</f>
        <v>138.914508330762</v>
      </c>
    </row>
    <row r="47" spans="1:4" ht="15">
      <c r="A47" s="9" t="s">
        <v>24</v>
      </c>
      <c r="B47" s="26">
        <f>IF(-379826.92521="","-",-379826.92521)</f>
        <v>-379826.92521</v>
      </c>
      <c r="C47" s="26">
        <f>IF(-474849.03375="","-",-474849.03375)</f>
        <v>-474849.03375</v>
      </c>
      <c r="D47" s="47">
        <f>IF(-379826.92521="","-",-474849.03375/-379826.92521*100)</f>
        <v>125.0172123757324</v>
      </c>
    </row>
    <row r="48" spans="1:4" ht="15">
      <c r="A48" s="50" t="s">
        <v>142</v>
      </c>
      <c r="B48" s="27">
        <f>IF(-193843.73682="","-",-193843.73682)</f>
        <v>-193843.73682</v>
      </c>
      <c r="C48" s="27">
        <f>IF(-251928.16047="","-",-251928.16047)</f>
        <v>-251928.16047</v>
      </c>
      <c r="D48" s="48">
        <f>IF(OR(-193843.73682="",-251928.16047="",-193843.73682=0),"-",-251928.16047/-193843.73682*100)</f>
        <v>129.9645604252544</v>
      </c>
    </row>
    <row r="49" spans="1:4" ht="15">
      <c r="A49" s="50" t="s">
        <v>139</v>
      </c>
      <c r="B49" s="27">
        <f>IF(-111644.04966="","-",-111644.04966)</f>
        <v>-111644.04966</v>
      </c>
      <c r="C49" s="27">
        <f>IF(-112171.96147="","-",-112171.96147)</f>
        <v>-112171.96147</v>
      </c>
      <c r="D49" s="48">
        <f>IF(OR(-111644.04966="",-112171.96147="",-111644.04966=0),"-",-112171.96147/-111644.04966*100)</f>
        <v>100.47285261651444</v>
      </c>
    </row>
    <row r="50" spans="1:4" ht="15">
      <c r="A50" s="50" t="s">
        <v>25</v>
      </c>
      <c r="B50" s="27">
        <f>IF(-22873.1052="","-",-22873.1052)</f>
        <v>-22873.1052</v>
      </c>
      <c r="C50" s="27">
        <f>IF(-35361.94458="","-",-35361.94458)</f>
        <v>-35361.94458</v>
      </c>
      <c r="D50" s="48">
        <f>IF(OR(-22873.1052="",-35361.94458="",-22873.1052=0),"-",-35361.94458/-22873.1052*100)</f>
        <v>154.60054186258893</v>
      </c>
    </row>
    <row r="51" spans="1:4" ht="15">
      <c r="A51" s="50" t="s">
        <v>161</v>
      </c>
      <c r="B51" s="27">
        <f>IF(-14933.4817="","-",-14933.4817)</f>
        <v>-14933.4817</v>
      </c>
      <c r="C51" s="27">
        <f>IF(-17654.52752="","-",-17654.52752)</f>
        <v>-17654.52752</v>
      </c>
      <c r="D51" s="48">
        <f>IF(OR(-14933.4817="",-17654.52752="",-14933.4817=0),"-",-17654.52752/-14933.4817*100)</f>
        <v>118.22110794162623</v>
      </c>
    </row>
    <row r="52" spans="1:4" ht="15">
      <c r="A52" s="50" t="s">
        <v>157</v>
      </c>
      <c r="B52" s="27">
        <f>IF(-9380.7142="","-",-9380.7142)</f>
        <v>-9380.7142</v>
      </c>
      <c r="C52" s="27">
        <f>IF(-15940.1149="","-",-15940.1149)</f>
        <v>-15940.1149</v>
      </c>
      <c r="D52" s="48" t="s">
        <v>214</v>
      </c>
    </row>
    <row r="53" spans="1:4" ht="15">
      <c r="A53" s="50" t="s">
        <v>154</v>
      </c>
      <c r="B53" s="27">
        <f>IF(-12441.91986="","-",-12441.91986)</f>
        <v>-12441.91986</v>
      </c>
      <c r="C53" s="27">
        <f>IF(-15466.1522="","-",-15466.1522)</f>
        <v>-15466.1522</v>
      </c>
      <c r="D53" s="48">
        <f>IF(OR(-12441.91986="",-15466.1522="",-12441.91986=0),"-",-15466.1522/-12441.91986*100)</f>
        <v>124.30679809892298</v>
      </c>
    </row>
    <row r="54" spans="1:4" ht="15">
      <c r="A54" s="50" t="s">
        <v>114</v>
      </c>
      <c r="B54" s="27">
        <f>IF(-11844.18882="","-",-11844.18882)</f>
        <v>-11844.18882</v>
      </c>
      <c r="C54" s="27">
        <f>IF(-13588.94005="","-",-13588.94005)</f>
        <v>-13588.94005</v>
      </c>
      <c r="D54" s="48">
        <f>IF(OR(-11844.18882="",-13588.94005="",-11844.18882=0),"-",-13588.94005/-11844.18882*100)</f>
        <v>114.73086301236457</v>
      </c>
    </row>
    <row r="55" spans="1:4" ht="15">
      <c r="A55" s="50" t="s">
        <v>155</v>
      </c>
      <c r="B55" s="27">
        <f>IF(-7148.63663="","-",-7148.63663)</f>
        <v>-7148.63663</v>
      </c>
      <c r="C55" s="27">
        <f>IF(-9538.13818="","-",-9538.13818)</f>
        <v>-9538.13818</v>
      </c>
      <c r="D55" s="48">
        <f>IF(OR(-7148.63663="",-9538.13818="",-7148.63663=0),"-",-9538.13818/-7148.63663*100)</f>
        <v>133.4259758003674</v>
      </c>
    </row>
    <row r="56" spans="1:4" ht="15">
      <c r="A56" s="50" t="s">
        <v>166</v>
      </c>
      <c r="B56" s="27">
        <f>IF(-5872.59492="","-",-5872.59492)</f>
        <v>-5872.59492</v>
      </c>
      <c r="C56" s="27">
        <f>IF(-7667.48865="","-",-7667.48865)</f>
        <v>-7667.48865</v>
      </c>
      <c r="D56" s="48">
        <f>IF(OR(-5872.59492="",-7667.48865="",-5872.59492=0),"-",-7667.48865/-5872.59492*100)</f>
        <v>130.56389474246254</v>
      </c>
    </row>
    <row r="57" spans="1:4" ht="15">
      <c r="A57" s="50" t="s">
        <v>156</v>
      </c>
      <c r="B57" s="27">
        <f>IF(-2382.65769="","-",-2382.65769)</f>
        <v>-2382.65769</v>
      </c>
      <c r="C57" s="27">
        <f>IF(-5270.15822="","-",-5270.15822)</f>
        <v>-5270.15822</v>
      </c>
      <c r="D57" s="48" t="s">
        <v>193</v>
      </c>
    </row>
    <row r="58" spans="1:4" ht="15">
      <c r="A58" s="50" t="s">
        <v>151</v>
      </c>
      <c r="B58" s="27">
        <f>IF(-8140.66086="","-",-8140.66086)</f>
        <v>-8140.66086</v>
      </c>
      <c r="C58" s="27">
        <f>IF(-5259.89388="","-",-5259.89388)</f>
        <v>-5259.89388</v>
      </c>
      <c r="D58" s="48">
        <f>IF(OR(-8140.66086="",-5259.89388="",-8140.66086=0),"-",-5259.89388/-8140.66086*100)</f>
        <v>64.61261524657102</v>
      </c>
    </row>
    <row r="59" spans="1:4" ht="15">
      <c r="A59" s="50" t="s">
        <v>147</v>
      </c>
      <c r="B59" s="27">
        <f>IF(-622.83384="","-",-622.83384)</f>
        <v>-622.83384</v>
      </c>
      <c r="C59" s="27">
        <f>IF(-5253.10941="","-",-5253.10941)</f>
        <v>-5253.10941</v>
      </c>
      <c r="D59" s="48" t="s">
        <v>261</v>
      </c>
    </row>
    <row r="60" spans="1:4" ht="15">
      <c r="A60" s="50" t="s">
        <v>163</v>
      </c>
      <c r="B60" s="27">
        <f>IF(-2942.20898="","-",-2942.20898)</f>
        <v>-2942.20898</v>
      </c>
      <c r="C60" s="27">
        <f>IF(-4361.88828="","-",-4361.88828)</f>
        <v>-4361.88828</v>
      </c>
      <c r="D60" s="48">
        <f>IF(OR(-2942.20898="",-4361.88828="",-2942.20898=0),"-",-4361.88828/-2942.20898*100)</f>
        <v>148.2521571258341</v>
      </c>
    </row>
    <row r="61" spans="1:7" ht="15">
      <c r="A61" s="50" t="s">
        <v>167</v>
      </c>
      <c r="B61" s="27">
        <f>IF(-2742.67059="","-",-2742.67059)</f>
        <v>-2742.67059</v>
      </c>
      <c r="C61" s="27">
        <f>IF(-3702.91798="","-",-3702.91798)</f>
        <v>-3702.91798</v>
      </c>
      <c r="D61" s="48">
        <f>IF(OR(-2742.67059="",-3702.91798="",-2742.67059=0),"-",-3702.91798/-2742.67059*100)</f>
        <v>135.01140069467837</v>
      </c>
      <c r="E61" s="1"/>
      <c r="F61" s="1"/>
      <c r="G61" s="1"/>
    </row>
    <row r="62" spans="1:4" ht="15">
      <c r="A62" s="50" t="s">
        <v>145</v>
      </c>
      <c r="B62" s="27">
        <f>IF(-3811.99815="","-",-3811.99815)</f>
        <v>-3811.99815</v>
      </c>
      <c r="C62" s="27">
        <f>IF(-3524.80108="","-",-3524.80108)</f>
        <v>-3524.80108</v>
      </c>
      <c r="D62" s="48">
        <f>IF(OR(-3811.99815="",-3524.80108="",-3811.99815=0),"-",-3524.80108/-3811.99815*100)</f>
        <v>92.4659703730444</v>
      </c>
    </row>
    <row r="63" spans="1:4" ht="15">
      <c r="A63" s="50" t="s">
        <v>206</v>
      </c>
      <c r="B63" s="27">
        <f>IF(-673.53414="","-",-673.53414)</f>
        <v>-673.53414</v>
      </c>
      <c r="C63" s="27">
        <f>IF(-3427.17172="","-",-3427.17172)</f>
        <v>-3427.17172</v>
      </c>
      <c r="D63" s="48" t="s">
        <v>262</v>
      </c>
    </row>
    <row r="64" spans="1:4" ht="15">
      <c r="A64" s="50" t="s">
        <v>169</v>
      </c>
      <c r="B64" s="27">
        <f>IF(-2529.81391="","-",-2529.81391)</f>
        <v>-2529.81391</v>
      </c>
      <c r="C64" s="27">
        <f>IF(-3305.6605="","-",-3305.6605)</f>
        <v>-3305.6605</v>
      </c>
      <c r="D64" s="48">
        <f>IF(OR(-2529.81391="",-3305.6605="",-2529.81391=0),"-",-3305.6605/-2529.81391*100)</f>
        <v>130.668128866443</v>
      </c>
    </row>
    <row r="65" spans="1:4" ht="15">
      <c r="A65" s="50" t="s">
        <v>149</v>
      </c>
      <c r="B65" s="27">
        <f>IF(-1636.28095="","-",-1636.28095)</f>
        <v>-1636.28095</v>
      </c>
      <c r="C65" s="27">
        <f>IF(-3172.45931="","-",-3172.45931)</f>
        <v>-3172.45931</v>
      </c>
      <c r="D65" s="48" t="s">
        <v>216</v>
      </c>
    </row>
    <row r="66" spans="1:4" ht="15">
      <c r="A66" s="50" t="s">
        <v>170</v>
      </c>
      <c r="B66" s="27">
        <f>IF(-2253.53412="","-",-2253.53412)</f>
        <v>-2253.53412</v>
      </c>
      <c r="C66" s="27">
        <f>IF(-2990.76211="","-",-2990.76211)</f>
        <v>-2990.76211</v>
      </c>
      <c r="D66" s="48">
        <f>IF(OR(-2253.53412="",-2990.76211="",-2253.53412=0),"-",-2990.76211/-2253.53412*100)</f>
        <v>132.714303433755</v>
      </c>
    </row>
    <row r="67" spans="1:4" ht="15">
      <c r="A67" s="50" t="s">
        <v>168</v>
      </c>
      <c r="B67" s="27">
        <f>IF(-3322.86591="","-",-3322.86591)</f>
        <v>-3322.86591</v>
      </c>
      <c r="C67" s="27">
        <f>IF(-2549.99774="","-",-2549.99774)</f>
        <v>-2549.99774</v>
      </c>
      <c r="D67" s="48">
        <f>IF(OR(-3322.86591="",-2549.99774="",-3322.86591=0),"-",-2549.99774/-3322.86591*100)</f>
        <v>76.74091609673168</v>
      </c>
    </row>
    <row r="68" spans="1:7" ht="15">
      <c r="A68" s="50" t="s">
        <v>174</v>
      </c>
      <c r="B68" s="27">
        <f>IF(-725.20526="","-",-725.20526)</f>
        <v>-725.20526</v>
      </c>
      <c r="C68" s="27">
        <f>IF(-2090.73728="","-",-2090.73728)</f>
        <v>-2090.73728</v>
      </c>
      <c r="D68" s="48" t="s">
        <v>251</v>
      </c>
      <c r="E68" s="1"/>
      <c r="F68" s="1"/>
      <c r="G68" s="1"/>
    </row>
    <row r="69" spans="1:4" ht="15">
      <c r="A69" s="50" t="s">
        <v>171</v>
      </c>
      <c r="B69" s="27">
        <f>IF(-1962.37104="","-",-1962.37104)</f>
        <v>-1962.37104</v>
      </c>
      <c r="C69" s="27">
        <f>IF(-2019.19653="","-",-2019.19653)</f>
        <v>-2019.19653</v>
      </c>
      <c r="D69" s="48">
        <f>IF(OR(-1962.37104="",-2019.19653="",-1962.37104=0),"-",-2019.19653/-1962.37104*100)</f>
        <v>102.89575665568323</v>
      </c>
    </row>
    <row r="70" spans="1:4" ht="15">
      <c r="A70" s="50" t="s">
        <v>172</v>
      </c>
      <c r="B70" s="27">
        <f>IF(-1669.82739="","-",-1669.82739)</f>
        <v>-1669.82739</v>
      </c>
      <c r="C70" s="27">
        <f>IF(-1686.8048="","-",-1686.8048)</f>
        <v>-1686.8048</v>
      </c>
      <c r="D70" s="48">
        <f>IF(OR(-1669.82739="",-1686.8048="",-1669.82739=0),"-",-1686.8048/-1669.82739*100)</f>
        <v>101.01671646432868</v>
      </c>
    </row>
    <row r="71" spans="1:4" ht="15">
      <c r="A71" s="50" t="s">
        <v>159</v>
      </c>
      <c r="B71" s="27">
        <f>IF(-1274.97631="","-",-1274.97631)</f>
        <v>-1274.97631</v>
      </c>
      <c r="C71" s="27">
        <f>IF(-1385.59432="","-",-1385.59432)</f>
        <v>-1385.59432</v>
      </c>
      <c r="D71" s="48">
        <f>IF(OR(-1274.97631="",-1385.59432="",-1274.97631=0),"-",-1385.59432/-1274.97631*100)</f>
        <v>108.67608355797607</v>
      </c>
    </row>
    <row r="72" spans="1:4" ht="15">
      <c r="A72" s="50" t="s">
        <v>121</v>
      </c>
      <c r="B72" s="27">
        <f>IF(-1664.36912="","-",-1664.36912)</f>
        <v>-1664.36912</v>
      </c>
      <c r="C72" s="27">
        <f>IF(-1270.98358="","-",-1270.98358)</f>
        <v>-1270.98358</v>
      </c>
      <c r="D72" s="48">
        <f>IF(OR(-1664.36912="",-1270.98358="",-1664.36912=0),"-",-1270.98358/-1664.36912*100)</f>
        <v>76.36428510521752</v>
      </c>
    </row>
    <row r="73" spans="1:4" ht="15">
      <c r="A73" s="50" t="s">
        <v>158</v>
      </c>
      <c r="B73" s="27">
        <f>IF(27.48973="","-",27.48973)</f>
        <v>27.48973</v>
      </c>
      <c r="C73" s="27">
        <f>IF(-1119.76019="","-",-1119.76019)</f>
        <v>-1119.76019</v>
      </c>
      <c r="D73" s="48" t="s">
        <v>33</v>
      </c>
    </row>
    <row r="74" spans="1:4" ht="15">
      <c r="A74" s="50" t="s">
        <v>180</v>
      </c>
      <c r="B74" s="27">
        <f>IF(-474.74669="","-",-474.74669)</f>
        <v>-474.74669</v>
      </c>
      <c r="C74" s="27">
        <f>IF(-1039.67488="","-",-1039.67488)</f>
        <v>-1039.67488</v>
      </c>
      <c r="D74" s="48" t="s">
        <v>193</v>
      </c>
    </row>
    <row r="75" spans="1:4" ht="15">
      <c r="A75" s="50" t="s">
        <v>150</v>
      </c>
      <c r="B75" s="27">
        <f>IF(73.61266="","-",73.61266)</f>
        <v>73.61266</v>
      </c>
      <c r="C75" s="27">
        <f>IF(-941.7031="","-",-941.7031)</f>
        <v>-941.7031</v>
      </c>
      <c r="D75" s="48" t="s">
        <v>33</v>
      </c>
    </row>
    <row r="76" spans="1:7" ht="15">
      <c r="A76" s="50" t="s">
        <v>175</v>
      </c>
      <c r="B76" s="27">
        <f>IF(-941.24437="","-",-941.24437)</f>
        <v>-941.24437</v>
      </c>
      <c r="C76" s="27">
        <f>IF(-926.57686="","-",-926.57686)</f>
        <v>-926.57686</v>
      </c>
      <c r="D76" s="48">
        <f>IF(OR(-941.24437="",-926.57686="",-941.24437=0),"-",-926.57686/-941.24437*100)</f>
        <v>98.44168948389034</v>
      </c>
      <c r="E76" s="24"/>
      <c r="F76" s="24"/>
      <c r="G76" s="24"/>
    </row>
    <row r="77" spans="1:4" ht="15">
      <c r="A77" s="50" t="s">
        <v>173</v>
      </c>
      <c r="B77" s="27">
        <f>IF(-538.32324="","-",-538.32324)</f>
        <v>-538.32324</v>
      </c>
      <c r="C77" s="27">
        <f>IF(-777.36551="","-",-777.36551)</f>
        <v>-777.36551</v>
      </c>
      <c r="D77" s="48">
        <f>IF(OR(-538.32324="",-777.36551="",-538.32324=0),"-",-777.36551/-538.32324*100)</f>
        <v>144.40496940091234</v>
      </c>
    </row>
    <row r="78" spans="1:4" ht="15">
      <c r="A78" s="50" t="s">
        <v>176</v>
      </c>
      <c r="B78" s="27">
        <f>IF(-718.57827="","-",-718.57827)</f>
        <v>-718.57827</v>
      </c>
      <c r="C78" s="27">
        <f>IF(-639.33818="","-",-639.33818)</f>
        <v>-639.33818</v>
      </c>
      <c r="D78" s="48">
        <f>IF(OR(-718.57827="",-639.33818="",-718.57827=0),"-",-639.33818/-718.57827*100)</f>
        <v>88.97265707742595</v>
      </c>
    </row>
    <row r="79" spans="1:4" ht="15">
      <c r="A79" s="50" t="s">
        <v>181</v>
      </c>
      <c r="B79" s="27">
        <f>IF(-423.52868="","-",-423.52868)</f>
        <v>-423.52868</v>
      </c>
      <c r="C79" s="27">
        <f>IF(-631.84377="","-",-631.84377)</f>
        <v>-631.84377</v>
      </c>
      <c r="D79" s="48">
        <f>IF(OR(-423.52868="",-631.84377="",-423.52868=0),"-",-631.84377/-423.52868*100)</f>
        <v>149.18559234288452</v>
      </c>
    </row>
    <row r="80" spans="1:4" ht="15">
      <c r="A80" s="50" t="s">
        <v>144</v>
      </c>
      <c r="B80" s="27">
        <f>IF(1042.20326="","-",1042.20326)</f>
        <v>1042.20326</v>
      </c>
      <c r="C80" s="27">
        <f>IF(-525.69119="","-",-525.69119)</f>
        <v>-525.69119</v>
      </c>
      <c r="D80" s="48" t="s">
        <v>33</v>
      </c>
    </row>
    <row r="81" spans="1:4" ht="15">
      <c r="A81" s="50" t="s">
        <v>177</v>
      </c>
      <c r="B81" s="27">
        <f>IF(-690.2717="","-",-690.2717)</f>
        <v>-690.2717</v>
      </c>
      <c r="C81" s="27">
        <f>IF(-525.02283="","-",-525.02283)</f>
        <v>-525.02283</v>
      </c>
      <c r="D81" s="48">
        <f>IF(OR(-690.2717="",-525.02283="",-690.2717=0),"-",-525.02283/-690.2717*100)</f>
        <v>76.06031509042019</v>
      </c>
    </row>
    <row r="82" spans="1:4" ht="15">
      <c r="A82" s="50" t="s">
        <v>183</v>
      </c>
      <c r="B82" s="27">
        <f>IF(-312.78551="","-",-312.78551)</f>
        <v>-312.78551</v>
      </c>
      <c r="C82" s="27">
        <f>IF(-451.79346="","-",-451.79346)</f>
        <v>-451.79346</v>
      </c>
      <c r="D82" s="48">
        <f>IF(OR(-312.78551="",-451.79346="",-312.78551=0),"-",-451.79346/-312.78551*100)</f>
        <v>144.44194042108919</v>
      </c>
    </row>
    <row r="83" spans="1:4" ht="15">
      <c r="A83" s="50" t="s">
        <v>178</v>
      </c>
      <c r="B83" s="27">
        <f>IF(-579.47073="","-",-579.47073)</f>
        <v>-579.47073</v>
      </c>
      <c r="C83" s="27">
        <f>IF(-414.1538="","-",-414.1538)</f>
        <v>-414.1538</v>
      </c>
      <c r="D83" s="48">
        <f>IF(OR(-579.47073="",-414.1538="",-579.47073=0),"-",-414.1538/-579.47073*100)</f>
        <v>71.47104738146135</v>
      </c>
    </row>
    <row r="84" spans="1:4" ht="15">
      <c r="A84" s="50" t="s">
        <v>191</v>
      </c>
      <c r="B84" s="27">
        <f>IF(-280.37476="","-",-280.37476)</f>
        <v>-280.37476</v>
      </c>
      <c r="C84" s="27">
        <f>IF(-400.57304="","-",-400.57304)</f>
        <v>-400.57304</v>
      </c>
      <c r="D84" s="48">
        <f>IF(OR(-280.37476="",-400.57304="",-280.37476=0),"-",-400.57304/-280.37476*100)</f>
        <v>142.8705779364733</v>
      </c>
    </row>
    <row r="85" spans="1:4" ht="15">
      <c r="A85" s="50" t="s">
        <v>165</v>
      </c>
      <c r="B85" s="27">
        <f>IF(-104.34733="","-",-104.34733)</f>
        <v>-104.34733</v>
      </c>
      <c r="C85" s="27">
        <f>IF(-367.86153="","-",-367.86153)</f>
        <v>-367.86153</v>
      </c>
      <c r="D85" s="48" t="s">
        <v>263</v>
      </c>
    </row>
    <row r="86" spans="1:4" ht="15">
      <c r="A86" s="50" t="s">
        <v>179</v>
      </c>
      <c r="B86" s="27">
        <f>IF(-489.11742="","-",-489.11742)</f>
        <v>-489.11742</v>
      </c>
      <c r="C86" s="27">
        <f>IF(-290.99699="","-",-290.99699)</f>
        <v>-290.99699</v>
      </c>
      <c r="D86" s="48">
        <f>IF(OR(-489.11742="",-290.99699="",-489.11742=0),"-",-290.99699/-489.11742*100)</f>
        <v>59.49430097991603</v>
      </c>
    </row>
    <row r="87" spans="1:4" ht="15">
      <c r="A87" s="50" t="s">
        <v>120</v>
      </c>
      <c r="B87" s="27">
        <f>IF(-1938.42858="","-",-1938.42858)</f>
        <v>-1938.42858</v>
      </c>
      <c r="C87" s="27">
        <f>IF(-242.94765="","-",-242.94765)</f>
        <v>-242.94765</v>
      </c>
      <c r="D87" s="48">
        <f>IF(OR(-1938.42858="",-242.94765="",-1938.42858=0),"-",-242.94765/-1938.42858*100)</f>
        <v>12.533226785172555</v>
      </c>
    </row>
    <row r="88" spans="1:4" ht="15">
      <c r="A88" s="50" t="s">
        <v>153</v>
      </c>
      <c r="B88" s="27">
        <f>IF(33.64704="","-",33.64704)</f>
        <v>33.64704</v>
      </c>
      <c r="C88" s="27">
        <f>IF(-237.19566="","-",-237.19566)</f>
        <v>-237.19566</v>
      </c>
      <c r="D88" s="48" t="s">
        <v>33</v>
      </c>
    </row>
    <row r="89" spans="1:4" ht="15">
      <c r="A89" s="50" t="s">
        <v>182</v>
      </c>
      <c r="B89" s="27">
        <f>IF(-123.00695="","-",-123.00695)</f>
        <v>-123.00695</v>
      </c>
      <c r="C89" s="27">
        <f>IF(-232.16107="","-",-232.16107)</f>
        <v>-232.16107</v>
      </c>
      <c r="D89" s="48" t="s">
        <v>216</v>
      </c>
    </row>
    <row r="90" spans="1:4" ht="15">
      <c r="A90" s="50" t="s">
        <v>211</v>
      </c>
      <c r="B90" s="27">
        <f>IF(142.23431="","-",142.23431)</f>
        <v>142.23431</v>
      </c>
      <c r="C90" s="27">
        <f>IF(-203.47562="","-",-203.47562)</f>
        <v>-203.47562</v>
      </c>
      <c r="D90" s="48" t="s">
        <v>33</v>
      </c>
    </row>
    <row r="91" spans="1:4" ht="15">
      <c r="A91" s="50" t="s">
        <v>190</v>
      </c>
      <c r="B91" s="27">
        <f>IF(-100.67771="","-",-100.67771)</f>
        <v>-100.67771</v>
      </c>
      <c r="C91" s="27">
        <f>IF(-197.88314="","-",-197.88314)</f>
        <v>-197.88314</v>
      </c>
      <c r="D91" s="48" t="s">
        <v>26</v>
      </c>
    </row>
    <row r="92" spans="1:4" ht="15">
      <c r="A92" s="50" t="s">
        <v>205</v>
      </c>
      <c r="B92" s="27">
        <f>IF(258.31444="","-",258.31444)</f>
        <v>258.31444</v>
      </c>
      <c r="C92" s="27">
        <f>IF(-146.69135="","-",-146.69135)</f>
        <v>-146.69135</v>
      </c>
      <c r="D92" s="48" t="s">
        <v>33</v>
      </c>
    </row>
    <row r="93" spans="1:4" ht="15">
      <c r="A93" s="50" t="s">
        <v>192</v>
      </c>
      <c r="B93" s="27">
        <f>IF(-42.32769="","-",-42.32769)</f>
        <v>-42.32769</v>
      </c>
      <c r="C93" s="27">
        <f>IF(-142.10443="","-",-142.10443)</f>
        <v>-142.10443</v>
      </c>
      <c r="D93" s="48" t="s">
        <v>234</v>
      </c>
    </row>
    <row r="94" spans="1:4" ht="15">
      <c r="A94" s="50" t="s">
        <v>232</v>
      </c>
      <c r="B94" s="27">
        <f>IF(-92.03895="","-",-92.03895)</f>
        <v>-92.03895</v>
      </c>
      <c r="C94" s="27">
        <f>IF(-113.13609="","-",-113.13609)</f>
        <v>-113.13609</v>
      </c>
      <c r="D94" s="48">
        <f>IF(OR(-92.03895="",-113.13609="",-92.03895=0),"-",-113.13609/-92.03895*100)</f>
        <v>122.921969448804</v>
      </c>
    </row>
    <row r="95" spans="1:4" ht="15">
      <c r="A95" s="50" t="s">
        <v>164</v>
      </c>
      <c r="B95" s="27">
        <f>IF(-532.42252="","-",-532.42252)</f>
        <v>-532.42252</v>
      </c>
      <c r="C95" s="27">
        <f>IF(-89.98="","-",-89.98)</f>
        <v>-89.98</v>
      </c>
      <c r="D95" s="48">
        <f>IF(OR(-532.42252="",-89.98="",-532.42252=0),"-",-89.98/-532.42252*100)</f>
        <v>16.90011158806731</v>
      </c>
    </row>
    <row r="96" spans="1:7" ht="15">
      <c r="A96" s="50" t="s">
        <v>224</v>
      </c>
      <c r="B96" s="27">
        <f>IF(-35.06564="","-",-35.06564)</f>
        <v>-35.06564</v>
      </c>
      <c r="C96" s="27">
        <f>IF(-74.10322="","-",-74.10322)</f>
        <v>-74.10322</v>
      </c>
      <c r="D96" s="48" t="s">
        <v>184</v>
      </c>
      <c r="E96" s="24"/>
      <c r="F96" s="24"/>
      <c r="G96" s="24"/>
    </row>
    <row r="97" spans="1:7" ht="15">
      <c r="A97" s="50" t="s">
        <v>241</v>
      </c>
      <c r="B97" s="27">
        <f>IF(-60.78231="","-",-60.78231)</f>
        <v>-60.78231</v>
      </c>
      <c r="C97" s="27">
        <f>IF(-61.02817="","-",-61.02817)</f>
        <v>-61.02817</v>
      </c>
      <c r="D97" s="48">
        <f>IF(OR(-60.78231="",-61.02817="",-60.78231=0),"-",-61.02817/-60.78231*100)</f>
        <v>100.40449268874447</v>
      </c>
      <c r="E97" s="24"/>
      <c r="F97" s="24"/>
      <c r="G97" s="24"/>
    </row>
    <row r="98" spans="1:4" ht="15">
      <c r="A98" s="50" t="s">
        <v>226</v>
      </c>
      <c r="B98" s="27">
        <f>IF(17.99841="","-",17.99841)</f>
        <v>17.99841</v>
      </c>
      <c r="C98" s="27">
        <f>IF(-54.3378="","-",-54.3378)</f>
        <v>-54.3378</v>
      </c>
      <c r="D98" s="48" t="s">
        <v>33</v>
      </c>
    </row>
    <row r="99" spans="1:4" ht="15">
      <c r="A99" s="50" t="s">
        <v>256</v>
      </c>
      <c r="B99" s="27">
        <f>IF(-29.69526="","-",-29.69526)</f>
        <v>-29.69526</v>
      </c>
      <c r="C99" s="27">
        <f>IF(-50.12997="","-",-50.12997)</f>
        <v>-50.12997</v>
      </c>
      <c r="D99" s="48" t="s">
        <v>214</v>
      </c>
    </row>
    <row r="100" spans="1:7" ht="15">
      <c r="A100" s="50" t="s">
        <v>223</v>
      </c>
      <c r="B100" s="27">
        <f>IF(14.606="","-",14.606)</f>
        <v>14.606</v>
      </c>
      <c r="C100" s="27">
        <f>IF(45.4372="","-",45.4372)</f>
        <v>45.4372</v>
      </c>
      <c r="D100" s="48" t="s">
        <v>208</v>
      </c>
      <c r="E100" s="23"/>
      <c r="F100" s="23"/>
      <c r="G100" s="23"/>
    </row>
    <row r="101" spans="1:4" ht="15">
      <c r="A101" s="50" t="s">
        <v>225</v>
      </c>
      <c r="B101" s="27">
        <f>IF(-62.69317="","-",-62.69317)</f>
        <v>-62.69317</v>
      </c>
      <c r="C101" s="27">
        <f>IF(65.82311="","-",65.82311)</f>
        <v>65.82311</v>
      </c>
      <c r="D101" s="48" t="s">
        <v>33</v>
      </c>
    </row>
    <row r="102" spans="1:7" ht="15">
      <c r="A102" s="50" t="s">
        <v>207</v>
      </c>
      <c r="B102" s="27">
        <f>IF(33.20382="","-",33.20382)</f>
        <v>33.20382</v>
      </c>
      <c r="C102" s="27">
        <f>IF(67.28772="","-",67.28772)</f>
        <v>67.28772</v>
      </c>
      <c r="D102" s="48" t="s">
        <v>26</v>
      </c>
      <c r="E102" s="23"/>
      <c r="F102" s="23"/>
      <c r="G102" s="23"/>
    </row>
    <row r="103" spans="1:7" ht="15">
      <c r="A103" s="50" t="s">
        <v>249</v>
      </c>
      <c r="B103" s="27">
        <f>IF(74.49687="","-",74.49687)</f>
        <v>74.49687</v>
      </c>
      <c r="C103" s="27">
        <f>IF(114.92595="","-",114.92595)</f>
        <v>114.92595</v>
      </c>
      <c r="D103" s="48">
        <f>IF(OR(74.49687="",114.92595="",74.49687=0),"-",114.92595/74.49687*100)</f>
        <v>154.26950152402378</v>
      </c>
      <c r="E103" s="1"/>
      <c r="F103" s="1"/>
      <c r="G103" s="1"/>
    </row>
    <row r="104" spans="1:4" ht="15">
      <c r="A104" s="50" t="s">
        <v>204</v>
      </c>
      <c r="B104" s="27">
        <f>IF(0.2121="","-",0.2121)</f>
        <v>0.2121</v>
      </c>
      <c r="C104" s="27">
        <f>IF(116.25016="","-",116.25016)</f>
        <v>116.25016</v>
      </c>
      <c r="D104" s="48" t="s">
        <v>240</v>
      </c>
    </row>
    <row r="105" spans="1:4" ht="15">
      <c r="A105" s="50" t="s">
        <v>248</v>
      </c>
      <c r="B105" s="27">
        <f>IF(39.17167="","-",39.17167)</f>
        <v>39.17167</v>
      </c>
      <c r="C105" s="27">
        <f>IF(143.08186="","-",143.08186)</f>
        <v>143.08186</v>
      </c>
      <c r="D105" s="48" t="s">
        <v>230</v>
      </c>
    </row>
    <row r="106" spans="1:4" ht="15">
      <c r="A106" s="50" t="s">
        <v>188</v>
      </c>
      <c r="B106" s="27">
        <f>IF(87.13294="","-",87.13294)</f>
        <v>87.13294</v>
      </c>
      <c r="C106" s="27">
        <f>IF(150.64701="","-",150.64701)</f>
        <v>150.64701</v>
      </c>
      <c r="D106" s="48" t="s">
        <v>214</v>
      </c>
    </row>
    <row r="107" spans="1:7" ht="15">
      <c r="A107" s="50" t="s">
        <v>238</v>
      </c>
      <c r="B107" s="27">
        <f>IF(-0.0213="","-",-0.0213)</f>
        <v>-0.0213</v>
      </c>
      <c r="C107" s="27">
        <f>IF(177.88058="","-",177.88058)</f>
        <v>177.88058</v>
      </c>
      <c r="D107" s="48" t="s">
        <v>33</v>
      </c>
      <c r="E107" s="24"/>
      <c r="F107" s="24"/>
      <c r="G107" s="24"/>
    </row>
    <row r="108" spans="1:7" ht="15">
      <c r="A108" s="50" t="s">
        <v>187</v>
      </c>
      <c r="B108" s="27">
        <f>IF(-0.6022="","-",-0.6022)</f>
        <v>-0.6022</v>
      </c>
      <c r="C108" s="27">
        <f>IF(186.33116="","-",186.33116)</f>
        <v>186.33116</v>
      </c>
      <c r="D108" s="48" t="s">
        <v>33</v>
      </c>
      <c r="E108" s="17"/>
      <c r="F108" s="17"/>
      <c r="G108" s="17"/>
    </row>
    <row r="109" spans="1:4" ht="15">
      <c r="A109" s="50" t="s">
        <v>162</v>
      </c>
      <c r="B109" s="27">
        <f>IF(466.5352="","-",466.5352)</f>
        <v>466.5352</v>
      </c>
      <c r="C109" s="27">
        <f>IF(309.9207="","-",309.9207)</f>
        <v>309.9207</v>
      </c>
      <c r="D109" s="48">
        <f>IF(OR(466.5352="",309.9207="",466.5352=0),"-",309.9207/466.5352*100)</f>
        <v>66.43029293395226</v>
      </c>
    </row>
    <row r="110" spans="1:7" ht="15">
      <c r="A110" s="50" t="s">
        <v>237</v>
      </c>
      <c r="B110" s="27">
        <f>IF(85.7034="","-",85.7034)</f>
        <v>85.7034</v>
      </c>
      <c r="C110" s="27">
        <f>IF(345.50369="","-",345.50369)</f>
        <v>345.50369</v>
      </c>
      <c r="D110" s="48" t="s">
        <v>231</v>
      </c>
      <c r="E110" s="24"/>
      <c r="F110" s="24"/>
      <c r="G110" s="24"/>
    </row>
    <row r="111" spans="1:4" ht="15">
      <c r="A111" s="50" t="s">
        <v>152</v>
      </c>
      <c r="B111" s="27">
        <f>IF(1141.60431="","-",1141.60431)</f>
        <v>1141.60431</v>
      </c>
      <c r="C111" s="27">
        <f>IF(350.90021="","-",350.90021)</f>
        <v>350.90021</v>
      </c>
      <c r="D111" s="48">
        <f>IF(OR(1141.60431="",350.90021="",1141.60431=0),"-",350.90021/1141.60431*100)</f>
        <v>30.73746366637316</v>
      </c>
    </row>
    <row r="112" spans="1:4" ht="15">
      <c r="A112" s="50" t="s">
        <v>222</v>
      </c>
      <c r="B112" s="27">
        <f>IF(128.71547="","-",128.71547)</f>
        <v>128.71547</v>
      </c>
      <c r="C112" s="27">
        <f>IF(374.52052="","-",374.52052)</f>
        <v>374.52052</v>
      </c>
      <c r="D112" s="48" t="s">
        <v>251</v>
      </c>
    </row>
    <row r="113" spans="1:4" ht="15">
      <c r="A113" s="50" t="s">
        <v>148</v>
      </c>
      <c r="B113" s="27">
        <f>IF(1927.15445="","-",1927.15445)</f>
        <v>1927.15445</v>
      </c>
      <c r="C113" s="27">
        <f>IF(405.86473="","-",405.86473)</f>
        <v>405.86473</v>
      </c>
      <c r="D113" s="48">
        <f>IF(OR(1927.15445="",405.86473="",1927.15445=0),"-",405.86473/1927.15445*100)</f>
        <v>21.06031148671037</v>
      </c>
    </row>
    <row r="114" spans="1:4" ht="15">
      <c r="A114" s="50" t="s">
        <v>203</v>
      </c>
      <c r="B114" s="27">
        <f>IF(164.49522="","-",164.49522)</f>
        <v>164.49522</v>
      </c>
      <c r="C114" s="27">
        <f>IF(471.43227="","-",471.43227)</f>
        <v>471.43227</v>
      </c>
      <c r="D114" s="48" t="s">
        <v>251</v>
      </c>
    </row>
    <row r="115" spans="1:4" ht="15">
      <c r="A115" s="50" t="s">
        <v>160</v>
      </c>
      <c r="B115" s="27">
        <f>IF(44.71179="","-",44.71179)</f>
        <v>44.71179</v>
      </c>
      <c r="C115" s="27">
        <f>IF(960.78976="","-",960.78976)</f>
        <v>960.78976</v>
      </c>
      <c r="D115" s="48" t="s">
        <v>264</v>
      </c>
    </row>
    <row r="116" spans="1:4" ht="15">
      <c r="A116" s="50" t="s">
        <v>221</v>
      </c>
      <c r="B116" s="27">
        <f>IF(73.746="","-",73.746)</f>
        <v>73.746</v>
      </c>
      <c r="C116" s="27">
        <f>IF(964.18936="","-",964.18936)</f>
        <v>964.18936</v>
      </c>
      <c r="D116" s="48" t="s">
        <v>265</v>
      </c>
    </row>
    <row r="117" spans="1:4" ht="15">
      <c r="A117" s="50" t="s">
        <v>229</v>
      </c>
      <c r="B117" s="27">
        <f>IF(419.56893="","-",419.56893)</f>
        <v>419.56893</v>
      </c>
      <c r="C117" s="27">
        <f>IF(1034.79823="","-",1034.79823)</f>
        <v>1034.79823</v>
      </c>
      <c r="D117" s="48" t="s">
        <v>189</v>
      </c>
    </row>
    <row r="118" spans="1:4" ht="15">
      <c r="A118" s="50" t="s">
        <v>228</v>
      </c>
      <c r="B118" s="27">
        <f>IF(691.83172="","-",691.83172)</f>
        <v>691.83172</v>
      </c>
      <c r="C118" s="27">
        <f>IF(1895.71884="","-",1895.71884)</f>
        <v>1895.71884</v>
      </c>
      <c r="D118" s="48" t="s">
        <v>242</v>
      </c>
    </row>
    <row r="119" spans="1:7" s="1" customFormat="1" ht="15">
      <c r="A119" s="50" t="s">
        <v>146</v>
      </c>
      <c r="B119" s="27">
        <f>IF(3253.17065="","-",3253.17065)</f>
        <v>3253.17065</v>
      </c>
      <c r="C119" s="27">
        <f>IF(3576.02664="","-",3576.02664)</f>
        <v>3576.02664</v>
      </c>
      <c r="D119" s="48">
        <f>IF(OR(3253.17065="",3576.02664="",3253.17065=0),"-",3576.02664/3253.17065*100)</f>
        <v>109.92434841990229</v>
      </c>
      <c r="E119" s="24"/>
      <c r="F119" s="24"/>
      <c r="G119" s="24"/>
    </row>
    <row r="120" spans="1:7" ht="15">
      <c r="A120" s="50" t="s">
        <v>143</v>
      </c>
      <c r="B120" s="27">
        <f>IF(6471.79368="","-",6471.79368)</f>
        <v>6471.79368</v>
      </c>
      <c r="C120" s="27">
        <f>IF(4982.02064="","-",4982.02064)</f>
        <v>4982.02064</v>
      </c>
      <c r="D120" s="48">
        <f>IF(OR(6471.79368="",4982.02064="",6471.79368=0),"-",4982.02064/6471.79368*100)</f>
        <v>76.9805232728</v>
      </c>
      <c r="E120" s="1"/>
      <c r="F120" s="1"/>
      <c r="G120" s="1"/>
    </row>
    <row r="121" spans="1:7" ht="15">
      <c r="A121" s="50" t="s">
        <v>141</v>
      </c>
      <c r="B121" s="27">
        <f>IF(7325.02473="","-",7325.02473)</f>
        <v>7325.02473</v>
      </c>
      <c r="C121" s="27">
        <f>IF(8893.19875="","-",8893.19875)</f>
        <v>8893.19875</v>
      </c>
      <c r="D121" s="48">
        <f>IF(OR(7325.02473="",8893.19875="",7325.02473=0),"-",8893.19875/7325.02473*100)</f>
        <v>121.40844676711417</v>
      </c>
      <c r="E121" s="24"/>
      <c r="F121" s="24"/>
      <c r="G121" s="24"/>
    </row>
    <row r="122" spans="1:7" ht="15">
      <c r="A122" s="50" t="s">
        <v>140</v>
      </c>
      <c r="B122" s="27">
        <f>IF(23477.08836="","-",23477.08836)</f>
        <v>23477.08836</v>
      </c>
      <c r="C122" s="27">
        <f>IF(10445.73782="","-",10445.73782)</f>
        <v>10445.73782</v>
      </c>
      <c r="D122" s="48">
        <f>IF(OR(23477.08836="",10445.73782="",23477.08836=0),"-",10445.73782/23477.08836*100)</f>
        <v>44.493327536294196</v>
      </c>
      <c r="E122" s="1"/>
      <c r="F122" s="1"/>
      <c r="G122" s="1"/>
    </row>
    <row r="123" spans="1:4" ht="15">
      <c r="A123" s="50" t="s">
        <v>202</v>
      </c>
      <c r="B123" s="27">
        <f>IF(-289.06041="","-",-289.06041)</f>
        <v>-289.06041</v>
      </c>
      <c r="C123" s="27">
        <f>IF(10636.661="","-",10636.661)</f>
        <v>10636.661</v>
      </c>
      <c r="D123" s="48" t="s">
        <v>33</v>
      </c>
    </row>
    <row r="124" spans="1:9" ht="15">
      <c r="A124" s="79" t="s">
        <v>27</v>
      </c>
      <c r="B124" s="79"/>
      <c r="C124" s="79"/>
      <c r="D124" s="79"/>
      <c r="E124" s="24"/>
      <c r="F124" s="24"/>
      <c r="G124" s="24"/>
      <c r="H124" s="1"/>
      <c r="I124" s="1"/>
    </row>
  </sheetData>
  <sheetProtection/>
  <mergeCells count="5">
    <mergeCell ref="A124:D124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27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6" t="s">
        <v>115</v>
      </c>
      <c r="B1" s="66"/>
      <c r="C1" s="66"/>
      <c r="D1" s="66"/>
      <c r="E1" s="66"/>
      <c r="F1" s="66"/>
      <c r="G1" s="66"/>
    </row>
    <row r="2" spans="1:7" ht="15.75">
      <c r="A2" s="66" t="s">
        <v>35</v>
      </c>
      <c r="B2" s="66"/>
      <c r="C2" s="66"/>
      <c r="D2" s="66"/>
      <c r="E2" s="66"/>
      <c r="F2" s="66"/>
      <c r="G2" s="66"/>
    </row>
    <row r="3" ht="15">
      <c r="A3" s="6"/>
    </row>
    <row r="4" spans="1:7" ht="57" customHeight="1">
      <c r="A4" s="67"/>
      <c r="B4" s="70" t="s">
        <v>243</v>
      </c>
      <c r="C4" s="71"/>
      <c r="D4" s="70" t="s">
        <v>0</v>
      </c>
      <c r="E4" s="71"/>
      <c r="F4" s="72" t="s">
        <v>218</v>
      </c>
      <c r="G4" s="73"/>
    </row>
    <row r="5" spans="1:7" ht="21.75" customHeight="1">
      <c r="A5" s="68"/>
      <c r="B5" s="74" t="s">
        <v>195</v>
      </c>
      <c r="C5" s="76" t="s">
        <v>244</v>
      </c>
      <c r="D5" s="78" t="s">
        <v>245</v>
      </c>
      <c r="E5" s="78"/>
      <c r="F5" s="78" t="s">
        <v>245</v>
      </c>
      <c r="G5" s="70"/>
    </row>
    <row r="6" spans="1:7" ht="21.75" customHeight="1">
      <c r="A6" s="69"/>
      <c r="B6" s="75"/>
      <c r="C6" s="77"/>
      <c r="D6" s="18">
        <v>2016</v>
      </c>
      <c r="E6" s="18">
        <v>2017</v>
      </c>
      <c r="F6" s="18" t="s">
        <v>2</v>
      </c>
      <c r="G6" s="19" t="s">
        <v>186</v>
      </c>
    </row>
    <row r="7" spans="1:7" ht="16.5" customHeight="1">
      <c r="A7" s="7" t="s">
        <v>196</v>
      </c>
      <c r="B7" s="34">
        <f>IF(1219862.28767="","-",1219862.28767)</f>
        <v>1219862.28767</v>
      </c>
      <c r="C7" s="34">
        <f>IF(1071013.38714="","-",1219862.28767/1071013.38714*100)</f>
        <v>113.89794957908803</v>
      </c>
      <c r="D7" s="34">
        <v>100</v>
      </c>
      <c r="E7" s="34">
        <v>100</v>
      </c>
      <c r="F7" s="34">
        <f>IF(1157424.09208="","-",(1071013.38714-1157424.09208)/1157424.09208*100)</f>
        <v>-7.465777283477132</v>
      </c>
      <c r="G7" s="34">
        <f>IF(1071013.38714="","-",(1219862.28767-1071013.38714)/1071013.38714*100)</f>
        <v>13.89794957908802</v>
      </c>
    </row>
    <row r="8" spans="1:7" ht="13.5" customHeight="1">
      <c r="A8" s="8" t="s">
        <v>108</v>
      </c>
      <c r="B8" s="28"/>
      <c r="C8" s="28"/>
      <c r="D8" s="28"/>
      <c r="E8" s="28"/>
      <c r="F8" s="28"/>
      <c r="G8" s="28"/>
    </row>
    <row r="9" spans="1:10" ht="13.5" customHeight="1">
      <c r="A9" s="9" t="s">
        <v>36</v>
      </c>
      <c r="B9" s="26">
        <f>IF(241817.19749="","-",241817.19749)</f>
        <v>241817.19749</v>
      </c>
      <c r="C9" s="26">
        <f>IF(228834.06979="","-",241817.19749/228834.06979*100)</f>
        <v>105.67359908946887</v>
      </c>
      <c r="D9" s="26">
        <f>IF(228834.06979="","-",228834.06979/1071013.38714*100)</f>
        <v>21.36612600156859</v>
      </c>
      <c r="E9" s="26">
        <f>IF(241817.19749="","-",241817.19749/1219862.28767*100)</f>
        <v>19.823319397133208</v>
      </c>
      <c r="F9" s="26">
        <f>IF(1157424.09208="","-",(228834.06979-292090.40379)/1157424.09208*100)</f>
        <v>-5.4652684727101555</v>
      </c>
      <c r="G9" s="26">
        <f>IF(1071013.38714="","-",(241817.19749-228834.06979)/1071013.38714*100)</f>
        <v>1.2122283302797654</v>
      </c>
      <c r="J9" s="32"/>
    </row>
    <row r="10" spans="1:10" s="16" customFormat="1" ht="13.5" customHeight="1">
      <c r="A10" s="14" t="s">
        <v>37</v>
      </c>
      <c r="B10" s="27">
        <f>IF(3447.3914="","-",3447.3914)</f>
        <v>3447.3914</v>
      </c>
      <c r="C10" s="27">
        <f>IF(OR(5267.33292="",3447.3914=""),"-",3447.3914/5267.33292*100)</f>
        <v>65.44851924795367</v>
      </c>
      <c r="D10" s="27">
        <f>IF(5267.33292="","-",5267.33292/1071013.38714*100)</f>
        <v>0.4918083175473388</v>
      </c>
      <c r="E10" s="27">
        <f>IF(3447.3914="","-",3447.3914/1219862.28767*100)</f>
        <v>0.2826049657281148</v>
      </c>
      <c r="F10" s="27">
        <f>IF(OR(1157424.09208="",1713.1887="",5267.33292=""),"-",(5267.33292-1713.1887)/1157424.09208*100)</f>
        <v>0.3070736339704895</v>
      </c>
      <c r="G10" s="27">
        <f>IF(OR(1071013.38714="",3447.3914="",5267.33292=""),"-",(3447.3914-5267.33292)/1071013.38714*100)</f>
        <v>-0.16992705617433165</v>
      </c>
      <c r="J10" s="32"/>
    </row>
    <row r="11" spans="1:10" s="16" customFormat="1" ht="14.25" customHeight="1">
      <c r="A11" s="14" t="s">
        <v>38</v>
      </c>
      <c r="B11" s="27">
        <f>IF(5216.95542="","-",5216.95542)</f>
        <v>5216.95542</v>
      </c>
      <c r="C11" s="27" t="s">
        <v>215</v>
      </c>
      <c r="D11" s="27">
        <f>IF(3352.87751="","-",3352.87751/1071013.38714*100)</f>
        <v>0.3130565453484589</v>
      </c>
      <c r="E11" s="27">
        <f>IF(5216.95542="","-",5216.95542/1219862.28767*100)</f>
        <v>0.42766757139157524</v>
      </c>
      <c r="F11" s="27">
        <f>IF(OR(1157424.09208="",3289.57999="",3352.87751=""),"-",(3352.87751-3289.57999)/1157424.09208*100)</f>
        <v>0.005468826891813529</v>
      </c>
      <c r="G11" s="27">
        <f>IF(OR(1071013.38714="",5216.95542="",3352.87751=""),"-",(5216.95542-3352.87751)/1071013.38714*100)</f>
        <v>0.17404804948122776</v>
      </c>
      <c r="J11" s="32"/>
    </row>
    <row r="12" spans="1:10" s="16" customFormat="1" ht="15">
      <c r="A12" s="14" t="s">
        <v>39</v>
      </c>
      <c r="B12" s="27">
        <f>IF(14291.68228="","-",14291.68228)</f>
        <v>14291.68228</v>
      </c>
      <c r="C12" s="27">
        <f>IF(OR(10332.05182="",14291.68228=""),"-",14291.68228/10332.05182*100)</f>
        <v>138.3237572650889</v>
      </c>
      <c r="D12" s="27">
        <f>IF(10332.05182="","-",10332.05182/1071013.38714*100)</f>
        <v>0.9646986624126503</v>
      </c>
      <c r="E12" s="27">
        <f>IF(14291.68228="","-",14291.68228/1219862.28767*100)</f>
        <v>1.1715816141261202</v>
      </c>
      <c r="F12" s="27">
        <f>IF(OR(1157424.09208="",8089.12918="",10332.05182=""),"-",(10332.05182-8089.12918)/1157424.09208*100)</f>
        <v>0.19378572256684734</v>
      </c>
      <c r="G12" s="27">
        <f>IF(OR(1071013.38714="",14291.68228="",10332.05182=""),"-",(14291.68228-10332.05182)/1071013.38714*100)</f>
        <v>0.36970877372258354</v>
      </c>
      <c r="J12" s="32"/>
    </row>
    <row r="13" spans="1:10" s="16" customFormat="1" ht="15">
      <c r="A13" s="14" t="s">
        <v>41</v>
      </c>
      <c r="B13" s="27">
        <f>IF(76779.93474="","-",76779.93474)</f>
        <v>76779.93474</v>
      </c>
      <c r="C13" s="27">
        <f>IF(OR(73173.70288="",76779.93474=""),"-",76779.93474/73173.70288*100)</f>
        <v>104.92831675597172</v>
      </c>
      <c r="D13" s="27">
        <f>IF(73173.70288="","-",73173.70288/1071013.38714*100)</f>
        <v>6.832193113421366</v>
      </c>
      <c r="E13" s="27">
        <f>IF(76779.93474="","-",76779.93474/1219862.28767*100)</f>
        <v>6.294147750616477</v>
      </c>
      <c r="F13" s="27">
        <f>IF(OR(1157424.09208="",79082.72851="",73173.70288=""),"-",(73173.70288-79082.72851)/1157424.09208*100)</f>
        <v>-0.5105324548222362</v>
      </c>
      <c r="G13" s="27">
        <f>IF(OR(1071013.38714="",76779.93474="",73173.70288=""),"-",(76779.93474-73173.70288)/1071013.38714*100)</f>
        <v>0.336712118009091</v>
      </c>
      <c r="J13" s="32"/>
    </row>
    <row r="14" spans="1:10" s="16" customFormat="1" ht="15" customHeight="1">
      <c r="A14" s="14" t="s">
        <v>42</v>
      </c>
      <c r="B14" s="27">
        <f>IF(104754.10642="","-",104754.10642)</f>
        <v>104754.10642</v>
      </c>
      <c r="C14" s="27">
        <f>IF(OR(93834.781="",104754.10642=""),"-",104754.10642/93834.781*100)</f>
        <v>111.63675697180983</v>
      </c>
      <c r="D14" s="27">
        <f>IF(93834.781="","-",93834.781/1071013.38714*100)</f>
        <v>8.761307946913103</v>
      </c>
      <c r="E14" s="27">
        <f>IF(104754.10642="","-",104754.10642/1219862.28767*100)</f>
        <v>8.58737149912928</v>
      </c>
      <c r="F14" s="27">
        <f>IF(OR(1157424.09208="",147344.2183="",93834.781=""),"-",(93834.781-147344.2183)/1157424.09208*100)</f>
        <v>-4.623148737455301</v>
      </c>
      <c r="G14" s="27">
        <f>IF(OR(1071013.38714="",104754.10642="",93834.781=""),"-",(104754.10642-93834.781)/1071013.38714*100)</f>
        <v>1.0195321133341397</v>
      </c>
      <c r="J14" s="32"/>
    </row>
    <row r="15" spans="1:10" s="16" customFormat="1" ht="15.75" customHeight="1">
      <c r="A15" s="14" t="s">
        <v>43</v>
      </c>
      <c r="B15" s="27">
        <f>IF(24145.2227="","-",24145.2227)</f>
        <v>24145.2227</v>
      </c>
      <c r="C15" s="27">
        <f>IF(OR(27950.12315="",24145.2227=""),"-",24145.2227/27950.12315*100)</f>
        <v>86.38682044590563</v>
      </c>
      <c r="D15" s="27">
        <f>IF(27950.12315="","-",27950.12315/1071013.38714*100)</f>
        <v>2.6096894292458024</v>
      </c>
      <c r="E15" s="27">
        <f>IF(24145.2227="","-",24145.2227/1219862.28767*100)</f>
        <v>1.9793400405974204</v>
      </c>
      <c r="F15" s="27">
        <f>IF(OR(1157424.09208="",37439.45185="",27950.12315=""),"-",(27950.12315-37439.45185)/1157424.09208*100)</f>
        <v>-0.819866180852239</v>
      </c>
      <c r="G15" s="27">
        <f>IF(OR(1071013.38714="",24145.2227="",27950.12315=""),"-",(24145.2227-27950.12315)/1071013.38714*100)</f>
        <v>-0.355261707807452</v>
      </c>
      <c r="J15" s="32"/>
    </row>
    <row r="16" spans="1:10" s="16" customFormat="1" ht="26.25">
      <c r="A16" s="14" t="s">
        <v>44</v>
      </c>
      <c r="B16" s="27">
        <f>IF(4984.07829="","-",4984.07829)</f>
        <v>4984.07829</v>
      </c>
      <c r="C16" s="27">
        <f>IF(OR(4042.35665="",4984.07829=""),"-",4984.07829/4042.35665*100)</f>
        <v>123.29635214151627</v>
      </c>
      <c r="D16" s="27">
        <f>IF(4042.35665="","-",4042.35665/1071013.38714*100)</f>
        <v>0.37743287792084285</v>
      </c>
      <c r="E16" s="27">
        <f>IF(4984.07829="","-",4984.07829/1219862.28767*100)</f>
        <v>0.40857712713783845</v>
      </c>
      <c r="F16" s="27">
        <f>IF(OR(1157424.09208="",3707.01742="",4042.35665=""),"-",(4042.35665-3707.01742)/1157424.09208*100)</f>
        <v>0.028972891811623158</v>
      </c>
      <c r="G16" s="27">
        <f>IF(OR(1071013.38714="",4984.07829="",4042.35665=""),"-",(4984.07829-4042.35665)/1071013.38714*100)</f>
        <v>0.08792809233829875</v>
      </c>
      <c r="J16" s="32"/>
    </row>
    <row r="17" spans="1:10" s="16" customFormat="1" ht="26.25">
      <c r="A17" s="14" t="s">
        <v>45</v>
      </c>
      <c r="B17" s="27">
        <f>IF(6589.83795="","-",6589.83795)</f>
        <v>6589.83795</v>
      </c>
      <c r="C17" s="27">
        <f>IF(OR(6735.29404="",6589.83795=""),"-",6589.83795/6735.29404*100)</f>
        <v>97.84038990523419</v>
      </c>
      <c r="D17" s="27">
        <f>IF(6735.29404="","-",6735.29404/1071013.38714*100)</f>
        <v>0.6288711346536681</v>
      </c>
      <c r="E17" s="27">
        <f>IF(6589.83795="","-",6589.83795/1219862.28767*100)</f>
        <v>0.5402116301658059</v>
      </c>
      <c r="F17" s="27">
        <f>IF(OR(1157424.09208="",10160.58207="",6735.29404=""),"-",(6735.29404-10160.58207)/1157424.09208*100)</f>
        <v>-0.2959406196430934</v>
      </c>
      <c r="G17" s="27">
        <f>IF(OR(1071013.38714="",6589.83795="",6735.29404=""),"-",(6589.83795-6735.29404)/1071013.38714*100)</f>
        <v>-0.013581164507048878</v>
      </c>
      <c r="J17" s="32"/>
    </row>
    <row r="18" spans="1:10" s="16" customFormat="1" ht="26.25">
      <c r="A18" s="14" t="s">
        <v>46</v>
      </c>
      <c r="B18" s="27">
        <f>IF(1595.8306="","-",1595.8306)</f>
        <v>1595.8306</v>
      </c>
      <c r="C18" s="27">
        <f>IF(OR(4140.42672="",1595.8306=""),"-",1595.8306/4140.42672*100)</f>
        <v>38.542660163298336</v>
      </c>
      <c r="D18" s="27">
        <f>IF(4140.42672="","-",4140.42672/1071013.38714*100)</f>
        <v>0.3865896327455312</v>
      </c>
      <c r="E18" s="27">
        <f>IF(1595.8306="","-",1595.8306/1219862.28767*100)</f>
        <v>0.13082055377317375</v>
      </c>
      <c r="F18" s="27">
        <f>IF(OR(1157424.09208="",1256.01965="",4140.42672=""),"-",(4140.42672-1256.01965)/1157424.09208*100)</f>
        <v>0.24920917835885453</v>
      </c>
      <c r="G18" s="27">
        <f>IF(OR(1071013.38714="",1595.8306="",4140.42672=""),"-",(1595.8306-4140.42672)/1071013.38714*100)</f>
        <v>-0.237587704369878</v>
      </c>
      <c r="J18" s="32"/>
    </row>
    <row r="19" spans="1:7" s="16" customFormat="1" ht="15">
      <c r="A19" s="15" t="s">
        <v>47</v>
      </c>
      <c r="B19" s="26">
        <f>IF(102619.40055="","-",102619.40055)</f>
        <v>102619.40055</v>
      </c>
      <c r="C19" s="26">
        <f>IF(93406.01197="","-",102619.40055/93406.01197*100)</f>
        <v>109.86380682108465</v>
      </c>
      <c r="D19" s="26">
        <f>IF(93406.01197="","-",93406.01197/1071013.38714*100)</f>
        <v>8.721273990741464</v>
      </c>
      <c r="E19" s="26">
        <f>IF(102619.40055="","-",102619.40055/1219862.28767*100)</f>
        <v>8.41237585481951</v>
      </c>
      <c r="F19" s="26">
        <f>IF(1157424.09208="","-",(93406.01197-88078.54233)/1157424.09208*100)</f>
        <v>0.4602867416061857</v>
      </c>
      <c r="G19" s="26">
        <f>IF(1071013.38714="","-",(102619.40055-93406.01197)/1071013.38714*100)</f>
        <v>0.8602496187842374</v>
      </c>
    </row>
    <row r="20" spans="1:7" s="16" customFormat="1" ht="15">
      <c r="A20" s="14" t="s">
        <v>48</v>
      </c>
      <c r="B20" s="27">
        <f>IF(93027.26896="","-",93027.26896)</f>
        <v>93027.26896</v>
      </c>
      <c r="C20" s="27">
        <f>IF(OR(86775.13537="",93027.26896=""),"-",93027.26896/86775.13537*100)</f>
        <v>107.20498281373064</v>
      </c>
      <c r="D20" s="27">
        <f>IF(86775.13537="","-",86775.13537/1071013.38714*100)</f>
        <v>8.102152261767854</v>
      </c>
      <c r="E20" s="27">
        <f>IF(93027.26896="","-",93027.26896/1219862.28767*100)</f>
        <v>7.6260468005521265</v>
      </c>
      <c r="F20" s="27">
        <f>IF(OR(1157424.09208="",81640.1529="",86775.13537=""),"-",(86775.13537-81640.1529)/1157424.09208*100)</f>
        <v>0.4436560898582952</v>
      </c>
      <c r="G20" s="27">
        <f>IF(OR(1071013.38714="",93027.26896="",86775.13537=""),"-",(93027.26896-86775.13537)/1071013.38714*100)</f>
        <v>0.5837586780026621</v>
      </c>
    </row>
    <row r="21" spans="1:7" s="16" customFormat="1" ht="15">
      <c r="A21" s="14" t="s">
        <v>49</v>
      </c>
      <c r="B21" s="27">
        <f>IF(9592.13159="","-",9592.13159)</f>
        <v>9592.13159</v>
      </c>
      <c r="C21" s="27">
        <f>IF(OR(6630.8766="",9592.13159=""),"-",9592.13159/6630.8766*100)</f>
        <v>144.6585748556986</v>
      </c>
      <c r="D21" s="27">
        <f>IF(6630.8766="","-",6630.8766/1071013.38714*100)</f>
        <v>0.6191217289736108</v>
      </c>
      <c r="E21" s="27">
        <f>IF(9592.13159="","-",9592.13159/1219862.28767*100)</f>
        <v>0.7863290542673852</v>
      </c>
      <c r="F21" s="27">
        <f>IF(OR(1157424.09208="",6438.38943="",6630.8766=""),"-",(6630.8766-6438.38943)/1157424.09208*100)</f>
        <v>0.016630651747889733</v>
      </c>
      <c r="G21" s="27">
        <f>IF(OR(1071013.38714="",9592.13159="",6630.8766=""),"-",(9592.13159-6630.8766)/1071013.38714*100)</f>
        <v>0.2764909407815753</v>
      </c>
    </row>
    <row r="22" spans="1:7" s="16" customFormat="1" ht="26.25">
      <c r="A22" s="15" t="s">
        <v>50</v>
      </c>
      <c r="B22" s="26">
        <f>IF(146206.38928="","-",146206.38928)</f>
        <v>146206.38928</v>
      </c>
      <c r="C22" s="26">
        <f>IF(112084.02267="","-",146206.38928/112084.02267*100)</f>
        <v>130.4435599268807</v>
      </c>
      <c r="D22" s="26">
        <f>IF(112084.02267="","-",112084.02267/1071013.38714*100)</f>
        <v>10.465230781970487</v>
      </c>
      <c r="E22" s="26">
        <f>IF(146206.38928="","-",146206.38928/1219862.28767*100)</f>
        <v>11.985483177716869</v>
      </c>
      <c r="F22" s="26">
        <f>IF(1157424.09208="","-",(112084.02267-138135.00985)/1157424.09208*100)</f>
        <v>-2.2507728462074708</v>
      </c>
      <c r="G22" s="26">
        <f>IF(1071013.38714="","-",(146206.38928-112084.02267)/1071013.38714*100)</f>
        <v>3.18598880459555</v>
      </c>
    </row>
    <row r="23" spans="1:8" s="16" customFormat="1" ht="26.25">
      <c r="A23" s="14" t="s">
        <v>51</v>
      </c>
      <c r="B23" s="27">
        <f>IF(2425.46153="","-",2425.46153)</f>
        <v>2425.46153</v>
      </c>
      <c r="C23" s="27">
        <f>IF(OR(2319.55375="",2425.46153=""),"-",2425.46153/2319.55375*100)</f>
        <v>104.56586875816092</v>
      </c>
      <c r="D23" s="27">
        <f>IF(2319.55375="","-",2319.55375/1071013.38714*100)</f>
        <v>0.2165756075369013</v>
      </c>
      <c r="E23" s="27">
        <f>IF(2425.46153="","-",2425.46153/1219862.28767*100)</f>
        <v>0.19883076594102742</v>
      </c>
      <c r="F23" s="27">
        <f>IF(OR(1157424.09208="",2406.79878="",2319.55375=""),"-",(2319.55375-2406.79878)/1157424.09208*100)</f>
        <v>-0.007537861929520795</v>
      </c>
      <c r="G23" s="27">
        <f>IF(OR(1071013.38714="",2425.46153="",2319.55375=""),"-",(2425.46153-2319.55375)/1071013.38714*100)</f>
        <v>0.00988855800232458</v>
      </c>
      <c r="H23" s="12"/>
    </row>
    <row r="24" spans="1:8" s="16" customFormat="1" ht="15">
      <c r="A24" s="14" t="s">
        <v>52</v>
      </c>
      <c r="B24" s="27">
        <f>IF(125268.09814="","-",125268.09814)</f>
        <v>125268.09814</v>
      </c>
      <c r="C24" s="27">
        <f>IF(OR(95185.33636="",125268.09814=""),"-",125268.09814/95185.33636*100)</f>
        <v>131.6044077064813</v>
      </c>
      <c r="D24" s="27">
        <f>IF(95185.33636="","-",95185.33636/1071013.38714*100)</f>
        <v>8.887408645206564</v>
      </c>
      <c r="E24" s="27">
        <f>IF(125268.09814="","-",125268.09814/1219862.28767*100)</f>
        <v>10.269036054821282</v>
      </c>
      <c r="F24" s="27">
        <f>IF(OR(1157424.09208="",109794.68323="",95185.33636=""),"-",(95185.33636-109794.68323)/1157424.09208*100)</f>
        <v>-1.2622293738283625</v>
      </c>
      <c r="G24" s="27">
        <f>IF(OR(1071013.38714="",125268.09814="",95185.33636=""),"-",(125268.09814-95185.33636)/1071013.38714*100)</f>
        <v>2.80881286277215</v>
      </c>
      <c r="H24" s="13"/>
    </row>
    <row r="25" spans="1:8" s="16" customFormat="1" ht="15">
      <c r="A25" s="14" t="s">
        <v>54</v>
      </c>
      <c r="B25" s="27">
        <f>IF(303.1241="","-",303.1241)</f>
        <v>303.1241</v>
      </c>
      <c r="C25" s="27">
        <f>IF(OR(1347.53285="",303.1241=""),"-",303.1241/1347.53285*100)</f>
        <v>22.494746603023444</v>
      </c>
      <c r="D25" s="27">
        <f>IF(1347.53285="","-",1347.53285/1071013.38714*100)</f>
        <v>0.12581848800213494</v>
      </c>
      <c r="E25" s="27">
        <f>IF(303.1241="","-",303.1241/1219862.28767*100)</f>
        <v>0.024849042638983677</v>
      </c>
      <c r="F25" s="27">
        <f>IF(OR(1157424.09208="",1512.1967="",1347.53285=""),"-",(1347.53285-1512.1967)/1157424.09208*100)</f>
        <v>-0.014226751553450339</v>
      </c>
      <c r="G25" s="27">
        <f>IF(OR(1071013.38714="",303.1241="",1347.53285=""),"-",(303.1241-1347.53285)/1071013.38714*100)</f>
        <v>-0.09751593794629923</v>
      </c>
      <c r="H25" s="13"/>
    </row>
    <row r="26" spans="1:8" s="16" customFormat="1" ht="15">
      <c r="A26" s="14" t="s">
        <v>55</v>
      </c>
      <c r="B26" s="27">
        <f>IF(1583.21746="","-",1583.21746)</f>
        <v>1583.21746</v>
      </c>
      <c r="C26" s="27">
        <f>IF(OR(1449.38105="",1583.21746=""),"-",1583.21746/1449.38105*100)</f>
        <v>109.23403890233007</v>
      </c>
      <c r="D26" s="27">
        <f>IF(1449.38105="","-",1449.38105/1071013.38714*100)</f>
        <v>0.1353280049907108</v>
      </c>
      <c r="E26" s="27">
        <f>IF(1583.21746="","-",1583.21746/1219862.28767*100)</f>
        <v>0.12978657312408823</v>
      </c>
      <c r="F26" s="27">
        <f>IF(OR(1157424.09208="",1014.91855="",1449.38105=""),"-",(1449.38105-1014.91855)/1157424.09208*100)</f>
        <v>0.037537018882960176</v>
      </c>
      <c r="G26" s="27">
        <f>IF(OR(1071013.38714="",1583.21746="",1449.38105=""),"-",(1583.21746-1449.38105)/1071013.38714*100)</f>
        <v>0.012496240626589421</v>
      </c>
      <c r="H26" s="13"/>
    </row>
    <row r="27" spans="1:8" s="16" customFormat="1" ht="39">
      <c r="A27" s="14" t="s">
        <v>56</v>
      </c>
      <c r="B27" s="27">
        <f>IF(286.0684="","-",286.0684)</f>
        <v>286.0684</v>
      </c>
      <c r="C27" s="27">
        <f>IF(OR(710.70479="",286.0684=""),"-",286.0684/710.70479*100)</f>
        <v>40.251367941392374</v>
      </c>
      <c r="D27" s="27">
        <f>IF(710.70479="","-",710.70479/1071013.38714*100)</f>
        <v>0.066358161208222</v>
      </c>
      <c r="E27" s="27">
        <f>IF(286.0684="","-",286.0684/1219862.28767*100)</f>
        <v>0.023450876618737466</v>
      </c>
      <c r="F27" s="27">
        <f>IF(OR(1157424.09208="",2852.71272="",710.70479=""),"-",(710.70479-2852.71272)/1157424.09208*100)</f>
        <v>-0.185066817310724</v>
      </c>
      <c r="G27" s="27">
        <f>IF(OR(1071013.38714="",286.0684="",710.70479=""),"-",(286.0684-710.70479)/1071013.38714*100)</f>
        <v>-0.039648093581158256</v>
      </c>
      <c r="H27" s="13"/>
    </row>
    <row r="28" spans="1:8" s="16" customFormat="1" ht="39">
      <c r="A28" s="14" t="s">
        <v>57</v>
      </c>
      <c r="B28" s="27">
        <f>IF(6165.20068="","-",6165.20068)</f>
        <v>6165.20068</v>
      </c>
      <c r="C28" s="27" t="s">
        <v>215</v>
      </c>
      <c r="D28" s="27">
        <f>IF(3797.97185="","-",3797.97185/1071013.38714*100)</f>
        <v>0.35461478778915945</v>
      </c>
      <c r="E28" s="27">
        <f>IF(6165.20068="","-",6165.20068/1219862.28767*100)</f>
        <v>0.5054013672130033</v>
      </c>
      <c r="F28" s="27">
        <f>IF(OR(1157424.09208="",4438.75417="",3797.97185=""),"-",(3797.97185-4438.75417)/1157424.09208*100)</f>
        <v>-0.055362794362475556</v>
      </c>
      <c r="G28" s="27">
        <f>IF(OR(1071013.38714="",6165.20068="",3797.97185=""),"-",(6165.20068-3797.97185)/1071013.38714*100)</f>
        <v>0.2210270066111286</v>
      </c>
      <c r="H28" s="13"/>
    </row>
    <row r="29" spans="1:8" s="16" customFormat="1" ht="14.25" customHeight="1">
      <c r="A29" s="14" t="s">
        <v>58</v>
      </c>
      <c r="B29" s="27">
        <f>IF(9058.72041="","-",9058.72041)</f>
        <v>9058.72041</v>
      </c>
      <c r="C29" s="27">
        <f>IF(OR(6306.70516="",9058.72041=""),"-",9058.72041/6306.70516*100)</f>
        <v>143.63633910547358</v>
      </c>
      <c r="D29" s="27">
        <f>IF(6306.70516="","-",6306.70516/1071013.38714*100)</f>
        <v>0.5888539990000708</v>
      </c>
      <c r="E29" s="27">
        <f>IF(9058.72041="","-",9058.72041/1219862.28767*100)</f>
        <v>0.7426018905218084</v>
      </c>
      <c r="F29" s="27">
        <f>IF(OR(1157424.09208="",12311.52331="",6306.70516=""),"-",(6306.70516-12311.52331)/1157424.09208*100)</f>
        <v>-0.518808809241976</v>
      </c>
      <c r="G29" s="27">
        <f>IF(OR(1071013.38714="",9058.72041="",6306.70516=""),"-",(9058.72041-6306.70516)/1071013.38714*100)</f>
        <v>0.25695432783981287</v>
      </c>
      <c r="H29" s="13"/>
    </row>
    <row r="30" spans="1:8" s="16" customFormat="1" ht="26.25">
      <c r="A30" s="14" t="s">
        <v>59</v>
      </c>
      <c r="B30" s="27">
        <f>IF(1116.10412="","-",1116.10412)</f>
        <v>1116.10412</v>
      </c>
      <c r="C30" s="27">
        <f>IF(OR(966.37571="",1116.10412=""),"-",1116.10412/966.37571*100)</f>
        <v>115.49380933839903</v>
      </c>
      <c r="D30" s="27">
        <f>IF(966.37571="","-",966.37571/1071013.38714*100)</f>
        <v>0.09023003088510209</v>
      </c>
      <c r="E30" s="27">
        <f>IF(1116.10412="","-",1116.10412/1219862.28767*100)</f>
        <v>0.09149427204047897</v>
      </c>
      <c r="F30" s="27">
        <f>IF(OR(1157424.09208="",2315.36872="",966.37571=""),"-",(966.37571-2315.36872)/1157424.09208*100)</f>
        <v>-0.11655131591184806</v>
      </c>
      <c r="G30" s="27">
        <f>IF(OR(1071013.38714="",1116.10412="",966.37571=""),"-",(1116.10412-966.37571)/1071013.38714*100)</f>
        <v>0.013980068951316277</v>
      </c>
      <c r="H30" s="13"/>
    </row>
    <row r="31" spans="1:8" s="16" customFormat="1" ht="26.25">
      <c r="A31" s="15" t="s">
        <v>60</v>
      </c>
      <c r="B31" s="26">
        <f>IF(8157.26211="","-",8157.26211)</f>
        <v>8157.26211</v>
      </c>
      <c r="C31" s="26" t="s">
        <v>198</v>
      </c>
      <c r="D31" s="26">
        <f>IF(3179.73316="","-",3179.73316/1071013.38714*100)</f>
        <v>0.29689014144735004</v>
      </c>
      <c r="E31" s="26">
        <f>IF(8157.26211="","-",8157.26211/1219862.28767*100)</f>
        <v>0.6687035243609991</v>
      </c>
      <c r="F31" s="26">
        <f>IF(1157424.09208="","-",(3179.73316-5886.86698)/1157424.09208*100)</f>
        <v>-0.23389299035023758</v>
      </c>
      <c r="G31" s="26">
        <f>IF(1071013.38714="","-",(8157.26211-3179.73316)/1071013.38714*100)</f>
        <v>0.46474946156292546</v>
      </c>
      <c r="H31" s="13"/>
    </row>
    <row r="32" spans="1:8" s="16" customFormat="1" ht="26.25">
      <c r="A32" s="14" t="s">
        <v>62</v>
      </c>
      <c r="B32" s="27">
        <f>IF(8153.22965="","-",8153.22965)</f>
        <v>8153.22965</v>
      </c>
      <c r="C32" s="27" t="s">
        <v>198</v>
      </c>
      <c r="D32" s="27">
        <f>IF(3175.74887="","-",3175.74887/1071013.38714*100)</f>
        <v>0.2965181302243493</v>
      </c>
      <c r="E32" s="27">
        <f>IF(8153.22965="","-",8153.22965/1219862.28767*100)</f>
        <v>0.6683729575387637</v>
      </c>
      <c r="F32" s="27">
        <f>IF(OR(1157424.09208="",5820.4231="",3175.74887=""),"-",(3175.74887-5820.4231)/1157424.09208*100)</f>
        <v>-0.22849655956679385</v>
      </c>
      <c r="G32" s="27">
        <f>IF(OR(1071013.38714="",8153.22965="",3175.74887=""),"-",(8153.22965-3175.74887)/1071013.38714*100)</f>
        <v>0.464744963953411</v>
      </c>
      <c r="H32" s="13"/>
    </row>
    <row r="33" spans="1:7" s="16" customFormat="1" ht="26.25">
      <c r="A33" s="15" t="s">
        <v>65</v>
      </c>
      <c r="B33" s="26">
        <f>IF(25074.60696="","-",25074.60696)</f>
        <v>25074.60696</v>
      </c>
      <c r="C33" s="26">
        <f>IF(25305.37394="","-",25074.60696/25305.37394*100)</f>
        <v>99.08807125100321</v>
      </c>
      <c r="D33" s="26">
        <f>IF(25305.37394="","-",25305.37394/1071013.38714*100)</f>
        <v>2.362750479485104</v>
      </c>
      <c r="E33" s="26">
        <f>IF(25074.60696="","-",25074.60696/1219862.28767*100)</f>
        <v>2.0555276782835707</v>
      </c>
      <c r="F33" s="26">
        <f>IF(1157424.09208="","-",(25305.37394-49056.70971)/1157424.09208*100)</f>
        <v>-2.052085828567523</v>
      </c>
      <c r="G33" s="26">
        <f>IF(1071013.38714="","-",(25074.60696-25305.37394)/1071013.38714*100)</f>
        <v>-0.021546600889484034</v>
      </c>
    </row>
    <row r="34" spans="1:7" s="16" customFormat="1" ht="26.25">
      <c r="A34" s="14" t="s">
        <v>67</v>
      </c>
      <c r="B34" s="27">
        <f>IF(24980.98555="","-",24980.98555)</f>
        <v>24980.98555</v>
      </c>
      <c r="C34" s="27">
        <f>IF(OR(25270.1652="",24980.98555=""),"-",24980.98555/25270.1652*100)</f>
        <v>98.85564796386849</v>
      </c>
      <c r="D34" s="27">
        <f>IF(25270.1652="","-",25270.1652/1071013.38714*100)</f>
        <v>2.3594630565244983</v>
      </c>
      <c r="E34" s="27">
        <f>IF(24980.98555="","-",24980.98555/1219862.28767*100)</f>
        <v>2.047852925899937</v>
      </c>
      <c r="F34" s="27">
        <f>IF(OR(1157424.09208="",49041.77392="",25270.1652=""),"-",(25270.1652-49041.77392)/1157424.09208*100)</f>
        <v>-2.053837386197844</v>
      </c>
      <c r="G34" s="27">
        <f>IF(OR(1071013.38714="",24980.98555="",25270.1652=""),"-",(24980.98555-25270.1652)/1071013.38714*100)</f>
        <v>-0.02700056352910904</v>
      </c>
    </row>
    <row r="35" spans="1:7" s="16" customFormat="1" ht="26.25">
      <c r="A35" s="15" t="s">
        <v>69</v>
      </c>
      <c r="B35" s="26">
        <f>IF(73722.48447="","-",73722.48447)</f>
        <v>73722.48447</v>
      </c>
      <c r="C35" s="26">
        <f>IF(56934.39766="","-",73722.48447/56934.39766*100)</f>
        <v>129.48672068202924</v>
      </c>
      <c r="D35" s="26">
        <f>IF(56934.39766="","-",56934.39766/1071013.38714*100)</f>
        <v>5.315937068913377</v>
      </c>
      <c r="E35" s="26">
        <f>IF(73722.48447="","-",73722.48447/1219862.28767*100)</f>
        <v>6.0435087808816315</v>
      </c>
      <c r="F35" s="26">
        <f>IF(1157424.09208="","-",(56934.39766-70928.54252)/1157424.09208*100)</f>
        <v>-1.209076686389965</v>
      </c>
      <c r="G35" s="26">
        <f>IF(1071013.38714="","-",(73722.48447-56934.39766)/1071013.38714*100)</f>
        <v>1.5674955151429402</v>
      </c>
    </row>
    <row r="36" spans="1:7" s="16" customFormat="1" ht="15">
      <c r="A36" s="14" t="s">
        <v>70</v>
      </c>
      <c r="B36" s="27">
        <f>IF(14179.19776="","-",14179.19776)</f>
        <v>14179.19776</v>
      </c>
      <c r="C36" s="27" t="s">
        <v>215</v>
      </c>
      <c r="D36" s="27">
        <f>IF(8826.57772="","-",8826.57772/1071013.38714*100)</f>
        <v>0.8241332765755816</v>
      </c>
      <c r="E36" s="27">
        <f>IF(14179.19776="","-",14179.19776/1219862.28767*100)</f>
        <v>1.1623605306368638</v>
      </c>
      <c r="F36" s="27">
        <f>IF(OR(1157424.09208="",2059.45942="",8826.57772=""),"-",(8826.57772-2059.45942)/1157424.09208*100)</f>
        <v>0.5846705927676734</v>
      </c>
      <c r="G36" s="27">
        <f>IF(OR(1071013.38714="",14179.19776="",8826.57772=""),"-",(14179.19776-8826.57772)/1071013.38714*100)</f>
        <v>0.4997715345364137</v>
      </c>
    </row>
    <row r="37" spans="1:7" s="16" customFormat="1" ht="15">
      <c r="A37" s="14" t="s">
        <v>71</v>
      </c>
      <c r="B37" s="27">
        <f>IF(664.4592="","-",664.4592)</f>
        <v>664.4592</v>
      </c>
      <c r="C37" s="27">
        <f>IF(OR(466.14954="",664.4592=""),"-",664.4592/466.14954*100)</f>
        <v>142.54206922525333</v>
      </c>
      <c r="D37" s="27">
        <f>IF(466.14954="","-",466.14954/1071013.38714*100)</f>
        <v>0.04352415624278898</v>
      </c>
      <c r="E37" s="27">
        <f>IF(664.4592="","-",664.4592/1219862.28767*100)</f>
        <v>0.0544700173713175</v>
      </c>
      <c r="F37" s="27">
        <f>IF(OR(1157424.09208="",92.06339="",466.14954=""),"-",(466.14954-92.06339)/1157424.09208*100)</f>
        <v>0.03232057744086975</v>
      </c>
      <c r="G37" s="27">
        <f>IF(OR(1071013.38714="",664.4592="",466.14954=""),"-",(664.4592-466.14954)/1071013.38714*100)</f>
        <v>0.01851607667851471</v>
      </c>
    </row>
    <row r="38" spans="1:7" s="16" customFormat="1" ht="15">
      <c r="A38" s="14" t="s">
        <v>72</v>
      </c>
      <c r="B38" s="27">
        <f>IF(560.52989="","-",560.52989)</f>
        <v>560.52989</v>
      </c>
      <c r="C38" s="27">
        <f>IF(OR(957.96139="",560.52989=""),"-",560.52989/957.96139*100)</f>
        <v>58.51278515515119</v>
      </c>
      <c r="D38" s="27">
        <f>IF(957.96139="","-",957.96139/1071013.38714*100)</f>
        <v>0.08944438991169938</v>
      </c>
      <c r="E38" s="27">
        <f>IF(560.52989="","-",560.52989/1219862.28767*100)</f>
        <v>0.045950259768308854</v>
      </c>
      <c r="F38" s="27">
        <f>IF(OR(1157424.09208="",740.86016="",957.96139=""),"-",(957.96139-740.86016)/1157424.09208*100)</f>
        <v>0.01875727587541821</v>
      </c>
      <c r="G38" s="27">
        <f>IF(OR(1071013.38714="",560.52989="",957.96139=""),"-",(560.52989-957.96139)/1071013.38714*100)</f>
        <v>-0.037107986209331</v>
      </c>
    </row>
    <row r="39" spans="1:7" s="16" customFormat="1" ht="15">
      <c r="A39" s="14" t="s">
        <v>73</v>
      </c>
      <c r="B39" s="27">
        <f>IF(34853.17486="","-",34853.17486)</f>
        <v>34853.17486</v>
      </c>
      <c r="C39" s="27" t="s">
        <v>213</v>
      </c>
      <c r="D39" s="27">
        <f>IF(19590.87442="","-",19590.87442/1071013.38714*100)</f>
        <v>1.8291904335869085</v>
      </c>
      <c r="E39" s="27">
        <f>IF(34853.17486="","-",34853.17486/1219862.28767*100)</f>
        <v>2.857140122478199</v>
      </c>
      <c r="F39" s="27">
        <f>IF(OR(1157424.09208="",39431.58698="",19590.87442=""),"-",(19590.87442-39431.58698)/1157424.09208*100)</f>
        <v>-1.7142128538506896</v>
      </c>
      <c r="G39" s="27">
        <f>IF(OR(1071013.38714="",34853.17486="",19590.87442=""),"-",(34853.17486-19590.87442)/1071013.38714*100)</f>
        <v>1.4250335825172045</v>
      </c>
    </row>
    <row r="40" spans="1:7" s="16" customFormat="1" ht="39">
      <c r="A40" s="14" t="s">
        <v>74</v>
      </c>
      <c r="B40" s="27">
        <f>IF(16493.01132="","-",16493.01132)</f>
        <v>16493.01132</v>
      </c>
      <c r="C40" s="27">
        <f>IF(OR(21229.87777="",16493.01132=""),"-",16493.01132/21229.87777*100)</f>
        <v>77.68773564634613</v>
      </c>
      <c r="D40" s="27">
        <f>IF(21229.87777="","-",21229.87777/1071013.38714*100)</f>
        <v>1.9822233806704872</v>
      </c>
      <c r="E40" s="27">
        <f>IF(16493.01132="","-",16493.01132/1219862.28767*100)</f>
        <v>1.3520387905017135</v>
      </c>
      <c r="F40" s="27">
        <f>IF(OR(1157424.09208="",23521.51917="",21229.87777=""),"-",(21229.87777-23521.51917)/1157424.09208*100)</f>
        <v>-0.197994962752305</v>
      </c>
      <c r="G40" s="27">
        <f>IF(OR(1071013.38714="",16493.01132="",21229.87777=""),"-",(16493.01132-21229.87777)/1071013.38714*100)</f>
        <v>-0.44227892077513375</v>
      </c>
    </row>
    <row r="41" spans="1:7" s="16" customFormat="1" ht="15">
      <c r="A41" s="14" t="s">
        <v>76</v>
      </c>
      <c r="B41" s="27">
        <f>IF(2227.27977="","-",2227.27977)</f>
        <v>2227.27977</v>
      </c>
      <c r="C41" s="27">
        <f>IF(OR(2098.1812="",2227.27977=""),"-",2227.27977/2098.1812*100)</f>
        <v>106.15287993239097</v>
      </c>
      <c r="D41" s="27">
        <f>IF(2098.1812="","-",2098.1812/1071013.38714*100)</f>
        <v>0.1959061600156947</v>
      </c>
      <c r="E41" s="27">
        <f>IF(2227.27977="","-",2227.27977/1219862.28767*100)</f>
        <v>0.18258452552494425</v>
      </c>
      <c r="F41" s="27">
        <f>IF(OR(1157424.09208="",3015.36764="",2098.1812=""),"-",(2098.1812-3015.36764)/1157424.09208*100)</f>
        <v>-0.07924376607296375</v>
      </c>
      <c r="G41" s="27">
        <f>IF(OR(1071013.38714="",2227.27977="",2098.1812=""),"-",(2227.27977-2098.1812)/1071013.38714*100)</f>
        <v>0.012053870805923426</v>
      </c>
    </row>
    <row r="42" spans="1:7" s="16" customFormat="1" ht="15">
      <c r="A42" s="14" t="s">
        <v>77</v>
      </c>
      <c r="B42" s="27">
        <f>IF(1927.06157="","-",1927.06157)</f>
        <v>1927.06157</v>
      </c>
      <c r="C42" s="27">
        <f>IF(OR(1816.83288="",1927.06157=""),"-",1927.06157/1816.83288*100)</f>
        <v>106.06707921314151</v>
      </c>
      <c r="D42" s="27">
        <f>IF(1816.83288="","-",1816.83288/1071013.38714*100)</f>
        <v>0.16963680396671907</v>
      </c>
      <c r="E42" s="27">
        <f>IF(1927.06157="","-",1927.06157/1219862.28767*100)</f>
        <v>0.15797369830005872</v>
      </c>
      <c r="F42" s="27">
        <f>IF(OR(1157424.09208="",973.30574="",1816.83288=""),"-",(1816.83288-973.30574)/1157424.09208*100)</f>
        <v>0.07287969429460399</v>
      </c>
      <c r="G42" s="27">
        <f>IF(OR(1071013.38714="",1927.06157="",1816.83288=""),"-",(1927.06157-1816.83288)/1071013.38714*100)</f>
        <v>0.010291999271302418</v>
      </c>
    </row>
    <row r="43" spans="1:7" s="16" customFormat="1" ht="15">
      <c r="A43" s="14" t="s">
        <v>78</v>
      </c>
      <c r="B43" s="27">
        <f>IF(2792.5701="","-",2792.5701)</f>
        <v>2792.5701</v>
      </c>
      <c r="C43" s="27">
        <f>IF(OR(1930.52512="",2792.5701=""),"-",2792.5701/1930.52512*100)</f>
        <v>144.65339358029178</v>
      </c>
      <c r="D43" s="27">
        <f>IF(1930.52512="","-",1930.52512/1071013.38714*100)</f>
        <v>0.1802521932200318</v>
      </c>
      <c r="E43" s="27">
        <f>IF(2792.5701="","-",2792.5701/1219862.28767*100)</f>
        <v>0.22892502934359527</v>
      </c>
      <c r="F43" s="27">
        <f>IF(OR(1157424.09208="",1058.27514="",1930.52512=""),"-",(1930.52512-1058.27514)/1157424.09208*100)</f>
        <v>0.07536131189670371</v>
      </c>
      <c r="G43" s="27">
        <f>IF(OR(1071013.38714="",2792.5701="",1930.52512=""),"-",(2792.5701-1930.52512)/1071013.38714*100)</f>
        <v>0.0804887212756488</v>
      </c>
    </row>
    <row r="44" spans="1:7" s="16" customFormat="1" ht="26.25">
      <c r="A44" s="15" t="s">
        <v>79</v>
      </c>
      <c r="B44" s="26">
        <f>IF(96280.77103="","-",96280.77103)</f>
        <v>96280.77103</v>
      </c>
      <c r="C44" s="26">
        <f>IF(102965.44894="","-",96280.77103/102965.44894*100)</f>
        <v>93.50784367104028</v>
      </c>
      <c r="D44" s="26">
        <f>IF(102965.44894="","-",102965.44894/1071013.38714*100)</f>
        <v>9.613833979699885</v>
      </c>
      <c r="E44" s="26">
        <f>IF(96280.77103="","-",96280.77103/1219862.28767*100)</f>
        <v>7.892757404108397</v>
      </c>
      <c r="F44" s="26">
        <f>IF(1157424.09208="","-",(102965.44894-74576.13356)/1157424.09208*100)</f>
        <v>2.452801490332012</v>
      </c>
      <c r="G44" s="26">
        <f>IF(1071013.38714="","-",(96280.77103-102965.44894)/1071013.38714*100)</f>
        <v>-0.6241451311687662</v>
      </c>
    </row>
    <row r="45" spans="1:7" s="16" customFormat="1" ht="15">
      <c r="A45" s="14" t="s">
        <v>80</v>
      </c>
      <c r="B45" s="27">
        <f>IF(1490.20252="","-",1490.20252)</f>
        <v>1490.20252</v>
      </c>
      <c r="C45" s="27">
        <f>IF(OR(1036.00805="",1490.20252=""),"-",1490.20252/1036.00805*100)</f>
        <v>143.8408244028606</v>
      </c>
      <c r="D45" s="27">
        <f>IF(1036.00805="","-",1036.00805/1071013.38714*100)</f>
        <v>0.09673156866568426</v>
      </c>
      <c r="E45" s="27">
        <f>IF(1490.20252="","-",1490.20252/1219862.28767*100)</f>
        <v>0.12216153700811293</v>
      </c>
      <c r="F45" s="27">
        <f>IF(OR(1157424.09208="",829.15915="",1036.00805=""),"-",(1036.00805-829.15915)/1157424.09208*100)</f>
        <v>0.01787148733255353</v>
      </c>
      <c r="G45" s="27">
        <f>IF(OR(1071013.38714="",1490.20252="",1036.00805=""),"-",(1490.20252-1036.00805)/1071013.38714*100)</f>
        <v>0.04240791716085516</v>
      </c>
    </row>
    <row r="46" spans="1:7" s="16" customFormat="1" ht="15">
      <c r="A46" s="14" t="s">
        <v>81</v>
      </c>
      <c r="B46" s="27">
        <f>IF(1209.62642="","-",1209.62642)</f>
        <v>1209.62642</v>
      </c>
      <c r="C46" s="27">
        <f>IF(OR(7441.01333="",1209.62642=""),"-",1209.62642/7441.01333*100)</f>
        <v>16.256205524093588</v>
      </c>
      <c r="D46" s="27">
        <f>IF(7441.01333="","-",7441.01333/1071013.38714*100)</f>
        <v>0.6947638021472583</v>
      </c>
      <c r="E46" s="27">
        <f>IF(1209.62642="","-",1209.62642/1219862.28767*100)</f>
        <v>0.09916089973651444</v>
      </c>
      <c r="F46" s="27">
        <f>IF(OR(1157424.09208="",5877.32746="",7441.01333=""),"-",(7441.01333-5877.32746)/1157424.09208*100)</f>
        <v>0.13510051161885775</v>
      </c>
      <c r="G46" s="27">
        <f>IF(OR(1071013.38714="",1209.62642="",7441.01333=""),"-",(1209.62642-7441.01333)/1071013.38714*100)</f>
        <v>-0.5818215705631931</v>
      </c>
    </row>
    <row r="47" spans="1:7" s="16" customFormat="1" ht="15">
      <c r="A47" s="14" t="s">
        <v>82</v>
      </c>
      <c r="B47" s="27">
        <f>IF(5296.67357="","-",5296.67357)</f>
        <v>5296.67357</v>
      </c>
      <c r="C47" s="27">
        <f>IF(OR(4874.35442="",5296.67357=""),"-",5296.67357/4874.35442*100)</f>
        <v>108.66410428152658</v>
      </c>
      <c r="D47" s="27">
        <f>IF(4874.35442="","-",4874.35442/1071013.38714*100)</f>
        <v>0.45511610578615835</v>
      </c>
      <c r="E47" s="27">
        <f>IF(5296.67357="","-",5296.67357/1219862.28767*100)</f>
        <v>0.4342025836471197</v>
      </c>
      <c r="F47" s="27">
        <f>IF(OR(1157424.09208="",3661.05852="",4874.35442=""),"-",(4874.35442-3661.05852)/1157424.09208*100)</f>
        <v>0.1048272546167233</v>
      </c>
      <c r="G47" s="27">
        <f>IF(OR(1071013.38714="",5296.67357="",4874.35442=""),"-",(5296.67357-4874.35442)/1071013.38714*100)</f>
        <v>0.0394317340073356</v>
      </c>
    </row>
    <row r="48" spans="1:7" s="16" customFormat="1" ht="26.25">
      <c r="A48" s="14" t="s">
        <v>83</v>
      </c>
      <c r="B48" s="27">
        <f>IF(4204.66025="","-",4204.66025)</f>
        <v>4204.66025</v>
      </c>
      <c r="C48" s="27">
        <f>IF(OR(3992.66505="",4204.66025=""),"-",4204.66025/3992.66505*100)</f>
        <v>105.30961644278175</v>
      </c>
      <c r="D48" s="27">
        <f>IF(3992.66505="","-",3992.66505/1071013.38714*100)</f>
        <v>0.3727931973531989</v>
      </c>
      <c r="E48" s="27">
        <f>IF(4204.66025="","-",4204.66025/1219862.28767*100)</f>
        <v>0.344683190266593</v>
      </c>
      <c r="F48" s="27">
        <f>IF(OR(1157424.09208="",4009.08644="",3992.66505=""),"-",(3992.66505-4009.08644)/1157424.09208*100)</f>
        <v>-0.0014187876433856832</v>
      </c>
      <c r="G48" s="27">
        <f>IF(OR(1071013.38714="",4204.66025="",3992.66505=""),"-",(4204.66025-3992.66505)/1071013.38714*100)</f>
        <v>0.019793888904237233</v>
      </c>
    </row>
    <row r="49" spans="1:7" s="16" customFormat="1" ht="39">
      <c r="A49" s="14" t="s">
        <v>84</v>
      </c>
      <c r="B49" s="27">
        <f>IF(49046.98041="","-",49046.98041)</f>
        <v>49046.98041</v>
      </c>
      <c r="C49" s="27">
        <f>IF(OR(45422.03582="",49046.98041=""),"-",49046.98041/45422.03582*100)</f>
        <v>107.98058590848956</v>
      </c>
      <c r="D49" s="27">
        <f>IF(45422.03582="","-",45422.03582/1071013.38714*100)</f>
        <v>4.24103343295209</v>
      </c>
      <c r="E49" s="27">
        <f>IF(49046.98041="","-",49046.98041/1219862.28767*100)</f>
        <v>4.0206981481231185</v>
      </c>
      <c r="F49" s="27">
        <f>IF(OR(1157424.09208="",27423.25053="",45422.03582=""),"-",(45422.03582-27423.25053)/1157424.09208*100)</f>
        <v>1.5550726318176498</v>
      </c>
      <c r="G49" s="27">
        <f>IF(OR(1071013.38714="",49046.98041="",45422.03582=""),"-",(49046.98041-45422.03582)/1071013.38714*100)</f>
        <v>0.3384593165245054</v>
      </c>
    </row>
    <row r="50" spans="1:7" s="16" customFormat="1" ht="15">
      <c r="A50" s="14" t="s">
        <v>85</v>
      </c>
      <c r="B50" s="27">
        <f>IF(16433.82711="","-",16433.82711)</f>
        <v>16433.82711</v>
      </c>
      <c r="C50" s="27">
        <f>IF(OR(19665.36338="",16433.82711=""),"-",16433.82711/19665.36338*100)</f>
        <v>83.56737067321865</v>
      </c>
      <c r="D50" s="27">
        <f>IF(19665.36338="","-",19665.36338/1071013.38714*100)</f>
        <v>1.836145431619091</v>
      </c>
      <c r="E50" s="27">
        <f>IF(16433.82711="","-",16433.82711/1219862.28767*100)</f>
        <v>1.3471870780913686</v>
      </c>
      <c r="F50" s="27">
        <f>IF(OR(1157424.09208="",18951.85031="",19665.36338=""),"-",(19665.36338-18951.85031)/1157424.09208*100)</f>
        <v>0.06164664057733126</v>
      </c>
      <c r="G50" s="27">
        <f>IF(OR(1071013.38714="",16433.82711="",19665.36338=""),"-",(16433.82711-19665.36338)/1071013.38714*100)</f>
        <v>-0.3017269726785948</v>
      </c>
    </row>
    <row r="51" spans="1:7" s="16" customFormat="1" ht="15">
      <c r="A51" s="14" t="s">
        <v>86</v>
      </c>
      <c r="B51" s="27">
        <f>IF(1477.42871="","-",1477.42871)</f>
        <v>1477.42871</v>
      </c>
      <c r="C51" s="27">
        <f>IF(OR(2207.22214="",1477.42871=""),"-",1477.42871/2207.22214*100)</f>
        <v>66.93611319067323</v>
      </c>
      <c r="D51" s="27">
        <f>IF(2207.22214="","-",2207.22214/1071013.38714*100)</f>
        <v>0.20608725964612779</v>
      </c>
      <c r="E51" s="27">
        <f>IF(1477.42871="","-",1477.42871/1219862.28767*100)</f>
        <v>0.12111438520014953</v>
      </c>
      <c r="F51" s="27">
        <f>IF(OR(1157424.09208="",1575.67547="",2207.22214=""),"-",(2207.22214-1575.67547)/1157424.09208*100)</f>
        <v>0.05456484570534998</v>
      </c>
      <c r="G51" s="27">
        <f>IF(OR(1071013.38714="",1477.42871="",2207.22214=""),"-",(1477.42871-2207.22214)/1071013.38714*100)</f>
        <v>-0.06814045825783906</v>
      </c>
    </row>
    <row r="52" spans="1:7" s="16" customFormat="1" ht="15">
      <c r="A52" s="14" t="s">
        <v>87</v>
      </c>
      <c r="B52" s="27">
        <f>IF(2034.52671="","-",2034.52671)</f>
        <v>2034.52671</v>
      </c>
      <c r="C52" s="27">
        <f>IF(OR(1351.88863="",2034.52671=""),"-",2034.52671/1351.88863*100)</f>
        <v>150.49514174847377</v>
      </c>
      <c r="D52" s="27">
        <f>IF(1351.88863="","-",1351.88863/1071013.38714*100)</f>
        <v>0.12622518506608402</v>
      </c>
      <c r="E52" s="27">
        <f>IF(2034.52671="","-",2034.52671/1219862.28767*100)</f>
        <v>0.1667833107527286</v>
      </c>
      <c r="F52" s="27">
        <f>IF(OR(1157424.09208="",2185.78768="",1351.88863=""),"-",(1351.88863-2185.78768)/1157424.09208*100)</f>
        <v>-0.07204783931025704</v>
      </c>
      <c r="G52" s="27">
        <f>IF(OR(1071013.38714="",2034.52671="",1351.88863=""),"-",(2034.52671-1351.88863)/1071013.38714*100)</f>
        <v>0.06373758612139249</v>
      </c>
    </row>
    <row r="53" spans="1:7" s="16" customFormat="1" ht="15">
      <c r="A53" s="14" t="s">
        <v>88</v>
      </c>
      <c r="B53" s="27">
        <f>IF(15086.84533="","-",15086.84533)</f>
        <v>15086.84533</v>
      </c>
      <c r="C53" s="27">
        <f>IF(OR(16974.89812="",15086.84533=""),"-",15086.84533/16974.89812*100)</f>
        <v>88.87738367174364</v>
      </c>
      <c r="D53" s="27">
        <f>IF(16974.89812="","-",16974.89812/1071013.38714*100)</f>
        <v>1.5849379964641925</v>
      </c>
      <c r="E53" s="27">
        <f>IF(15086.84533="","-",15086.84533/1219862.28767*100)</f>
        <v>1.2367662712826917</v>
      </c>
      <c r="F53" s="27">
        <f>IF(OR(1157424.09208="",10062.938="",16974.89812=""),"-",(16974.89812-10062.938)/1157424.09208*100)</f>
        <v>0.5971847456171885</v>
      </c>
      <c r="G53" s="27">
        <f>IF(OR(1071013.38714="",15086.84533="",16974.89812=""),"-",(15086.84533-16974.89812)/1071013.38714*100)</f>
        <v>-0.17628657238746545</v>
      </c>
    </row>
    <row r="54" spans="1:7" s="16" customFormat="1" ht="14.25" customHeight="1">
      <c r="A54" s="15" t="s">
        <v>89</v>
      </c>
      <c r="B54" s="26">
        <f>IF(231205.94056="","-",231205.94056)</f>
        <v>231205.94056</v>
      </c>
      <c r="C54" s="26">
        <f>IF(177679.79341="","-",231205.94056/177679.79341*100)</f>
        <v>130.12506156312733</v>
      </c>
      <c r="D54" s="26">
        <f>IF(177679.79341="","-",177679.79341/1071013.38714*100)</f>
        <v>16.58987605042645</v>
      </c>
      <c r="E54" s="26">
        <f>IF(231205.94056="","-",231205.94056/1219862.28767*100)</f>
        <v>18.95344604853842</v>
      </c>
      <c r="F54" s="26">
        <f>IF(1157424.09208="","-",(177679.79341-185219.03482)/1157424.09208*100)</f>
        <v>-0.6513810678030091</v>
      </c>
      <c r="G54" s="26">
        <f>IF(1071013.38714="","-",(231205.94056-177679.79341)/1071013.38714*100)</f>
        <v>4.997710373437488</v>
      </c>
    </row>
    <row r="55" spans="1:7" s="16" customFormat="1" ht="26.25">
      <c r="A55" s="14" t="s">
        <v>90</v>
      </c>
      <c r="B55" s="27">
        <f>IF(1681.6547="","-",1681.6547)</f>
        <v>1681.6547</v>
      </c>
      <c r="C55" s="27">
        <f>IF(OR(1326.49628="",1681.6547=""),"-",1681.6547/1326.49628*100)</f>
        <v>126.77417384087953</v>
      </c>
      <c r="D55" s="27">
        <f>IF(1326.49628="","-",1326.49628/1071013.38714*100)</f>
        <v>0.12385431367410202</v>
      </c>
      <c r="E55" s="27">
        <f>IF(1681.6547="","-",1681.6547/1219862.28767*100)</f>
        <v>0.1378561102345452</v>
      </c>
      <c r="F55" s="27">
        <f>IF(OR(1157424.09208="",2306.02145="",1326.49628=""),"-",(1326.49628-2306.02145)/1157424.09208*100)</f>
        <v>-0.08462975470293703</v>
      </c>
      <c r="G55" s="27">
        <f>IF(OR(1071013.38714="",1681.6547="",1326.49628=""),"-",(1681.6547-1326.49628)/1071013.38714*100)</f>
        <v>0.033160969252532285</v>
      </c>
    </row>
    <row r="56" spans="1:7" s="16" customFormat="1" ht="26.25">
      <c r="A56" s="14" t="s">
        <v>91</v>
      </c>
      <c r="B56" s="27">
        <f>IF(4594.15142="","-",4594.15142)</f>
        <v>4594.15142</v>
      </c>
      <c r="C56" s="27">
        <f>IF(OR(4634.51615="",4594.15142=""),"-",4594.15142/4634.51615*100)</f>
        <v>99.12904111899577</v>
      </c>
      <c r="D56" s="27">
        <f>IF(4634.51615="","-",4634.51615/1071013.38714*100)</f>
        <v>0.4327225229533185</v>
      </c>
      <c r="E56" s="27">
        <f>IF(4594.15142="","-",4594.15142/1219862.28767*100)</f>
        <v>0.3766123001289815</v>
      </c>
      <c r="F56" s="27">
        <f>IF(OR(1157424.09208="",6246.92617="",4634.51615=""),"-",(4634.51615-6246.92617)/1157424.09208*100)</f>
        <v>-0.13931021749360226</v>
      </c>
      <c r="G56" s="27">
        <f>IF(OR(1071013.38714="",4594.15142="",4634.51615=""),"-",(4594.15142-4634.51615)/1071013.38714*100)</f>
        <v>-0.0037688352437674866</v>
      </c>
    </row>
    <row r="57" spans="1:7" s="16" customFormat="1" ht="26.25">
      <c r="A57" s="14" t="s">
        <v>92</v>
      </c>
      <c r="B57" s="27">
        <f>IF(874.08851="","-",874.08851)</f>
        <v>874.08851</v>
      </c>
      <c r="C57" s="27">
        <f>IF(OR(1117.96504="",874.08851=""),"-",874.08851/1117.96504*100)</f>
        <v>78.18567475061653</v>
      </c>
      <c r="D57" s="27">
        <f>IF(1117.96504="","-",1117.96504/1071013.38714*100)</f>
        <v>0.10438385303337601</v>
      </c>
      <c r="E57" s="27">
        <f>IF(874.08851="","-",874.08851/1219862.28767*100)</f>
        <v>0.07165468748686003</v>
      </c>
      <c r="F57" s="27">
        <f>IF(OR(1157424.09208="",1326.14295="",1117.96504=""),"-",(1117.96504-1326.14295)/1157424.09208*100)</f>
        <v>-0.017986312141289935</v>
      </c>
      <c r="G57" s="27">
        <f>IF(OR(1071013.38714="",874.08851="",1117.96504=""),"-",(874.08851-1117.96504)/1071013.38714*100)</f>
        <v>-0.022770633208539077</v>
      </c>
    </row>
    <row r="58" spans="1:7" s="16" customFormat="1" ht="39">
      <c r="A58" s="14" t="s">
        <v>93</v>
      </c>
      <c r="B58" s="27">
        <f>IF(17878.71221="","-",17878.71221)</f>
        <v>17878.71221</v>
      </c>
      <c r="C58" s="27">
        <f>IF(OR(17029.92175="",17878.71221=""),"-",17878.71221/17029.92175*100)</f>
        <v>104.98411250773951</v>
      </c>
      <c r="D58" s="27">
        <f>IF(17029.92175="","-",17029.92175/1071013.38714*100)</f>
        <v>1.5900755260843342</v>
      </c>
      <c r="E58" s="27">
        <f>IF(17878.71221="","-",17878.71221/1219862.28767*100)</f>
        <v>1.4656336531354917</v>
      </c>
      <c r="F58" s="27">
        <f>IF(OR(1157424.09208="",19216.4859="",17029.92175=""),"-",(17029.92175-19216.4859)/1157424.09208*100)</f>
        <v>-0.1889164192245676</v>
      </c>
      <c r="G58" s="27">
        <f>IF(OR(1071013.38714="",17878.71221="",17029.92175=""),"-",(17878.71221-17029.92175)/1071013.38714*100)</f>
        <v>0.079251153178074</v>
      </c>
    </row>
    <row r="59" spans="1:7" s="16" customFormat="1" ht="26.25">
      <c r="A59" s="14" t="s">
        <v>94</v>
      </c>
      <c r="B59" s="27">
        <f>IF(500.46248="","-",500.46248)</f>
        <v>500.46248</v>
      </c>
      <c r="C59" s="27">
        <f>IF(OR(1915.93894="",500.46248=""),"-",500.46248/1915.93894*100)</f>
        <v>26.121003626556078</v>
      </c>
      <c r="D59" s="27">
        <f>IF(1915.93894="","-",1915.93894/1071013.38714*100)</f>
        <v>0.1788902886747534</v>
      </c>
      <c r="E59" s="27">
        <f>IF(500.46248="","-",500.46248/1219862.28767*100)</f>
        <v>0.04102614574272225</v>
      </c>
      <c r="F59" s="27">
        <f>IF(OR(1157424.09208="",514.72816="",1915.93894=""),"-",(1915.93894-514.72816)/1157424.09208*100)</f>
        <v>0.12106286620333712</v>
      </c>
      <c r="G59" s="27">
        <f>IF(OR(1071013.38714="",500.46248="",1915.93894=""),"-",(500.46248-1915.93894)/1071013.38714*100)</f>
        <v>-0.1321623498824644</v>
      </c>
    </row>
    <row r="60" spans="1:7" s="16" customFormat="1" ht="39">
      <c r="A60" s="14" t="s">
        <v>95</v>
      </c>
      <c r="B60" s="27">
        <f>IF(2642.44918="","-",2642.44918)</f>
        <v>2642.44918</v>
      </c>
      <c r="C60" s="27" t="s">
        <v>214</v>
      </c>
      <c r="D60" s="27">
        <f>IF(1573.87233="","-",1573.87233/1071013.38714*100)</f>
        <v>0.1469516953660886</v>
      </c>
      <c r="E60" s="27">
        <f>IF(2642.44918="","-",2642.44918/1219862.28767*100)</f>
        <v>0.21661864676931808</v>
      </c>
      <c r="F60" s="27">
        <f>IF(OR(1157424.09208="",2477.35133="",1573.87233=""),"-",(1573.87233-2477.35133)/1157424.09208*100)</f>
        <v>-0.07805946032939087</v>
      </c>
      <c r="G60" s="27">
        <f>IF(OR(1071013.38714="",2642.44918="",1573.87233=""),"-",(2642.44918-1573.87233)/1071013.38714*100)</f>
        <v>0.09977250171013209</v>
      </c>
    </row>
    <row r="61" spans="1:7" s="16" customFormat="1" ht="52.5">
      <c r="A61" s="14" t="s">
        <v>96</v>
      </c>
      <c r="B61" s="27">
        <f>IF(173803.447="","-",173803.447)</f>
        <v>173803.447</v>
      </c>
      <c r="C61" s="27">
        <f>IF(OR(136382.8097="",173803.447=""),"-",173803.447/136382.8097*100)</f>
        <v>127.43794278935432</v>
      </c>
      <c r="D61" s="27">
        <f>IF(136382.8097="","-",136382.8097/1071013.38714*100)</f>
        <v>12.733996730348284</v>
      </c>
      <c r="E61" s="27">
        <f>IF(173803.447="","-",173803.447/1219862.28767*100)</f>
        <v>14.247792456308616</v>
      </c>
      <c r="F61" s="27">
        <f>IF(OR(1157424.09208="",142338.84445="",136382.8097=""),"-",(136382.8097-142338.84445)/1157424.09208*100)</f>
        <v>-0.5145939842410259</v>
      </c>
      <c r="G61" s="27">
        <f>IF(OR(1071013.38714="",173803.447="",136382.8097=""),"-",(173803.447-136382.8097)/1071013.38714*100)</f>
        <v>3.4939467376712114</v>
      </c>
    </row>
    <row r="62" spans="1:7" s="16" customFormat="1" ht="26.25">
      <c r="A62" s="14" t="s">
        <v>97</v>
      </c>
      <c r="B62" s="27">
        <f>IF(16583.75748="","-",16583.75748)</f>
        <v>16583.75748</v>
      </c>
      <c r="C62" s="27">
        <f>IF(OR(13417.79659="",16583.75748=""),"-",16583.75748/13417.79659*100)</f>
        <v>123.5952368838228</v>
      </c>
      <c r="D62" s="27">
        <f>IF(13417.79659="","-",13417.79659/1071013.38714*100)</f>
        <v>1.2528131535153315</v>
      </c>
      <c r="E62" s="27">
        <f>IF(16583.75748="","-",16583.75748/1219862.28767*100)</f>
        <v>1.359477840049948</v>
      </c>
      <c r="F62" s="27">
        <f>IF(OR(1157424.09208="",6804.63109="",13417.79659=""),"-",(13417.79659-6804.63109)/1157424.09208*100)</f>
        <v>0.5713692625937584</v>
      </c>
      <c r="G62" s="27">
        <f>IF(OR(1071013.38714="",16583.75748="",13417.79659=""),"-",(16583.75748-13417.79659)/1071013.38714*100)</f>
        <v>0.2956042312836333</v>
      </c>
    </row>
    <row r="63" spans="1:7" s="16" customFormat="1" ht="15">
      <c r="A63" s="14" t="s">
        <v>98</v>
      </c>
      <c r="B63" s="27">
        <f>IF(12647.21758="","-",12647.21758)</f>
        <v>12647.21758</v>
      </c>
      <c r="C63" s="27" t="s">
        <v>266</v>
      </c>
      <c r="D63" s="27">
        <f>IF(280.47663="","-",280.47663/1071013.38714*100)</f>
        <v>0.026187966776865024</v>
      </c>
      <c r="E63" s="27">
        <f>IF(12647.21758="","-",12647.21758/1219862.28767*100)</f>
        <v>1.0367742086819356</v>
      </c>
      <c r="F63" s="27">
        <f>IF(OR(1157424.09208="",3987.90332="",280.47663=""),"-",(280.47663-3987.90332)/1157424.09208*100)</f>
        <v>-0.32031704846729125</v>
      </c>
      <c r="G63" s="27">
        <f>IF(OR(1071013.38714="",12647.21758="",280.47663=""),"-",(12647.21758-280.47663)/1071013.38714*100)</f>
        <v>1.154676598676675</v>
      </c>
    </row>
    <row r="64" spans="1:7" s="16" customFormat="1" ht="15">
      <c r="A64" s="15" t="s">
        <v>99</v>
      </c>
      <c r="B64" s="26">
        <f>IF(294460.29853="","-",294460.29853)</f>
        <v>294460.29853</v>
      </c>
      <c r="C64" s="26">
        <f>IF(270385.85684="","-",294460.29853/270385.85684*100)</f>
        <v>108.90373556196984</v>
      </c>
      <c r="D64" s="26">
        <f>IF(270385.85684="","-",270385.85684/1071013.38714*100)</f>
        <v>25.245796185800234</v>
      </c>
      <c r="E64" s="26">
        <f>IF(294460.29853="","-",294460.29853/1219862.28767*100)</f>
        <v>24.138814807730007</v>
      </c>
      <c r="F64" s="26">
        <f>IF(1157424.09208="","-",(270385.85684-253188.01901)/1157424.09208*100)</f>
        <v>1.485871768842646</v>
      </c>
      <c r="G64" s="26">
        <f>IF(1071013.38714="","-",(294460.29853-270385.85684)/1071013.38714*100)</f>
        <v>2.2478189328975215</v>
      </c>
    </row>
    <row r="65" spans="1:7" s="16" customFormat="1" ht="39">
      <c r="A65" s="14" t="s">
        <v>100</v>
      </c>
      <c r="B65" s="27">
        <f>IF(5607.72495="","-",5607.72495)</f>
        <v>5607.72495</v>
      </c>
      <c r="C65" s="27" t="s">
        <v>189</v>
      </c>
      <c r="D65" s="27">
        <f>IF(2257.08855="","-",2257.08855/1071013.38714*100)</f>
        <v>0.21074326213860475</v>
      </c>
      <c r="E65" s="27">
        <f>IF(5607.72495="","-",5607.72495/1219862.28767*100)</f>
        <v>0.4597014766897208</v>
      </c>
      <c r="F65" s="27">
        <f>IF(OR(1157424.09208="",1848.53955="",2257.08855=""),"-",(2257.08855-1848.53955)/1157424.09208*100)</f>
        <v>0.03529812475786632</v>
      </c>
      <c r="G65" s="27">
        <f>IF(OR(1071013.38714="",5607.72495="",2257.08855=""),"-",(5607.72495-2257.08855)/1071013.38714*100)</f>
        <v>0.3128472939957765</v>
      </c>
    </row>
    <row r="66" spans="1:7" s="16" customFormat="1" ht="15">
      <c r="A66" s="14" t="s">
        <v>101</v>
      </c>
      <c r="B66" s="27">
        <f>IF(71449.0462="","-",71449.0462)</f>
        <v>71449.0462</v>
      </c>
      <c r="C66" s="27">
        <f>IF(OR(68081.88683="",71449.0462=""),"-",71449.0462/68081.88683*100)</f>
        <v>104.94574919524156</v>
      </c>
      <c r="D66" s="27">
        <f>IF(68081.88683="","-",68081.88683/1071013.38714*100)</f>
        <v>6.356772720815722</v>
      </c>
      <c r="E66" s="27">
        <f>IF(71449.0462="","-",71449.0462/1219862.28767*100)</f>
        <v>5.857140344626226</v>
      </c>
      <c r="F66" s="27">
        <f>IF(OR(1157424.09208="",53676.06391="",68081.88683=""),"-",(68081.88683-53676.06391)/1157424.09208*100)</f>
        <v>1.2446451580346307</v>
      </c>
      <c r="G66" s="27">
        <f>IF(OR(1071013.38714="",71449.0462="",68081.88683=""),"-",(71449.0462-68081.88683)/1071013.38714*100)</f>
        <v>0.31439003568307855</v>
      </c>
    </row>
    <row r="67" spans="1:7" s="16" customFormat="1" ht="15">
      <c r="A67" s="14" t="s">
        <v>102</v>
      </c>
      <c r="B67" s="27">
        <f>IF(7142.24573="","-",7142.24573)</f>
        <v>7142.24573</v>
      </c>
      <c r="C67" s="27">
        <f>IF(OR(8841.3635="",7142.24573=""),"-",7142.24573/8841.3635*100)</f>
        <v>80.78217494394389</v>
      </c>
      <c r="D67" s="27">
        <f>IF(8841.3635="","-",8841.3635/1071013.38714*100)</f>
        <v>0.8255138176759578</v>
      </c>
      <c r="E67" s="27">
        <f>IF(7142.24573="","-",7142.24573/1219862.28767*100)</f>
        <v>0.5854960680555227</v>
      </c>
      <c r="F67" s="27">
        <f>IF(OR(1157424.09208="",8725.18329="",8841.3635=""),"-",(8841.3635-8725.18329)/1157424.09208*100)</f>
        <v>0.010037825443153844</v>
      </c>
      <c r="G67" s="27">
        <f>IF(OR(1071013.38714="",7142.24573="",8841.3635=""),"-",(7142.24573-8841.3635)/1071013.38714*100)</f>
        <v>-0.15864580129453562</v>
      </c>
    </row>
    <row r="68" spans="1:7" s="16" customFormat="1" ht="15">
      <c r="A68" s="14" t="s">
        <v>103</v>
      </c>
      <c r="B68" s="27">
        <f>IF(152466.53797="","-",152466.53797)</f>
        <v>152466.53797</v>
      </c>
      <c r="C68" s="27">
        <f>IF(OR(143240.9888="",152466.53797=""),"-",152466.53797/143240.9888*100)</f>
        <v>106.44057908793214</v>
      </c>
      <c r="D68" s="27">
        <f>IF(143240.9888="","-",143240.9888/1071013.38714*100)</f>
        <v>13.374341583395719</v>
      </c>
      <c r="E68" s="27">
        <f>IF(152466.53797="","-",152466.53797/1219862.28767*100)</f>
        <v>12.498668047294007</v>
      </c>
      <c r="F68" s="27">
        <f>IF(OR(1157424.09208="",137819.63638="",143240.9888=""),"-",(143240.9888-137819.63638)/1157424.09208*100)</f>
        <v>0.468398096868478</v>
      </c>
      <c r="G68" s="27">
        <f>IF(OR(1071013.38714="",152466.53797="",143240.9888=""),"-",(152466.53797-143240.9888)/1071013.38714*100)</f>
        <v>0.8613850471687964</v>
      </c>
    </row>
    <row r="69" spans="1:7" s="16" customFormat="1" ht="14.25" customHeight="1">
      <c r="A69" s="14" t="s">
        <v>104</v>
      </c>
      <c r="B69" s="27">
        <f>IF(18839.21243="","-",18839.21243)</f>
        <v>18839.21243</v>
      </c>
      <c r="C69" s="27">
        <f>IF(OR(17858.17965="",18839.21243=""),"-",18839.21243/17858.17965*100)</f>
        <v>105.49346461524706</v>
      </c>
      <c r="D69" s="27">
        <f>IF(17858.17965="","-",17858.17965/1071013.38714*100)</f>
        <v>1.6674095641033873</v>
      </c>
      <c r="E69" s="27">
        <f>IF(18839.21243="","-",18839.21243/1219862.28767*100)</f>
        <v>1.5443720672752226</v>
      </c>
      <c r="F69" s="27">
        <f>IF(OR(1157424.09208="",14773.91727="",17858.17965=""),"-",(17858.17965-14773.91727)/1157424.09208*100)</f>
        <v>0.2664764282258276</v>
      </c>
      <c r="G69" s="27">
        <f>IF(OR(1071013.38714="",18839.21243="",17858.17965=""),"-",(18839.21243-17858.17965)/1071013.38714*100)</f>
        <v>0.09159855439526485</v>
      </c>
    </row>
    <row r="70" spans="1:7" ht="26.25">
      <c r="A70" s="8" t="s">
        <v>109</v>
      </c>
      <c r="B70" s="27">
        <f>IF(13983.73717="","-",13983.73717)</f>
        <v>13983.73717</v>
      </c>
      <c r="C70" s="27">
        <f>IF(OR(13387.3335="",13983.73717=""),"-",13983.73717/13387.3335*100)</f>
        <v>104.45498478094983</v>
      </c>
      <c r="D70" s="27">
        <f>IF(13387.3335="","-",13387.3335/1071013.38714*100)</f>
        <v>1.2499688295913005</v>
      </c>
      <c r="E70" s="27">
        <f>IF(13983.73717="","-",13983.73717/1219862.28767*100)</f>
        <v>1.1463373621222164</v>
      </c>
      <c r="F70" s="27">
        <f>IF(OR(1157424.09208="",15858.2914="",13387.3335=""),"-",(13387.3335-15858.2914)/1157424.09208*100)</f>
        <v>-0.21348768501608215</v>
      </c>
      <c r="G70" s="27">
        <f>IF(OR(1071013.38714="",13983.73717="",13387.3335=""),"-",(13983.73717-13387.3335)/1071013.38714*100)</f>
        <v>0.055685921124909284</v>
      </c>
    </row>
    <row r="71" spans="1:7" ht="26.25">
      <c r="A71" s="10" t="s">
        <v>106</v>
      </c>
      <c r="B71" s="27">
        <f>IF(1347.72441="","-",1347.72441)</f>
        <v>1347.72441</v>
      </c>
      <c r="C71" s="27">
        <f>IF(OR(1023.89101="",1347.72441=""),"-",1347.72441/1023.89101*100)</f>
        <v>131.62772178261434</v>
      </c>
      <c r="D71" s="27">
        <f>IF(1023.89101="","-",1023.89101/1071013.38714*100)</f>
        <v>0.09560020652348389</v>
      </c>
      <c r="E71" s="27">
        <f>IF(1347.72441="","-",1347.72441/1219862.28767*100)</f>
        <v>0.1104816849920185</v>
      </c>
      <c r="F71" s="27">
        <f>IF(OR(1157424.09208="",816.47561="",1023.89101=""),"-",(1023.89101-816.47561)/1157424.09208*100)</f>
        <v>0.01792043222698562</v>
      </c>
      <c r="G71" s="27">
        <f>IF(OR(1071013.38714="",1347.72441="",1023.89101=""),"-",(1347.72441-1023.89101)/1071013.38714*100)</f>
        <v>0.03023616734285221</v>
      </c>
    </row>
    <row r="72" spans="1:7" ht="15">
      <c r="A72" s="11" t="s">
        <v>107</v>
      </c>
      <c r="B72" s="27">
        <f>IF(23624.06967="","-",23624.06967)</f>
        <v>23624.06967</v>
      </c>
      <c r="C72" s="27">
        <f>IF(OR(15695.125="",23624.06967=""),"-",23624.06967/15695.125*100)</f>
        <v>150.5185187757345</v>
      </c>
      <c r="D72" s="27">
        <f>IF(15695.125="","-",15695.125/1071013.38714*100)</f>
        <v>1.4654462015560572</v>
      </c>
      <c r="E72" s="27">
        <f>IF(23624.06967="","-",23624.06967/1219862.28767*100)</f>
        <v>1.9366177566750749</v>
      </c>
      <c r="F72" s="27">
        <f>IF(OR(1157424.09208="",19669.9116="",15695.125=""),"-",(15695.125-19669.9116)/1157424.09208*100)</f>
        <v>-0.343416611698218</v>
      </c>
      <c r="G72" s="27">
        <f>IF(OR(1071013.38714="",23624.06967="",15695.125=""),"-",(23624.06967-15695.125)/1071013.38714*100)</f>
        <v>0.740321714481385</v>
      </c>
    </row>
    <row r="73" spans="1:7" ht="15">
      <c r="A73" s="82" t="s">
        <v>27</v>
      </c>
      <c r="B73" s="82"/>
      <c r="C73" s="82"/>
      <c r="D73" s="82"/>
      <c r="E73" s="82"/>
      <c r="F73" s="82"/>
      <c r="G73" s="82"/>
    </row>
    <row r="74" spans="2:7" ht="1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51" sqref="A51"/>
    </sheetView>
  </sheetViews>
  <sheetFormatPr defaultColWidth="9.00390625" defaultRowHeight="15.75"/>
  <cols>
    <col min="1" max="1" width="28.125" style="0" customWidth="1"/>
    <col min="2" max="2" width="12.50390625" style="0" customWidth="1"/>
    <col min="3" max="3" width="10.0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6" t="s">
        <v>116</v>
      </c>
      <c r="B1" s="66"/>
      <c r="C1" s="66"/>
      <c r="D1" s="66"/>
      <c r="E1" s="66"/>
      <c r="F1" s="66"/>
      <c r="G1" s="66"/>
    </row>
    <row r="2" spans="1:7" ht="15.75">
      <c r="A2" s="66" t="s">
        <v>35</v>
      </c>
      <c r="B2" s="66"/>
      <c r="C2" s="66"/>
      <c r="D2" s="66"/>
      <c r="E2" s="66"/>
      <c r="F2" s="66"/>
      <c r="G2" s="66"/>
    </row>
    <row r="3" ht="15">
      <c r="A3" s="5"/>
    </row>
    <row r="4" spans="1:7" ht="55.5" customHeight="1">
      <c r="A4" s="67"/>
      <c r="B4" s="70" t="s">
        <v>243</v>
      </c>
      <c r="C4" s="71"/>
      <c r="D4" s="70" t="s">
        <v>0</v>
      </c>
      <c r="E4" s="71"/>
      <c r="F4" s="72" t="s">
        <v>219</v>
      </c>
      <c r="G4" s="73"/>
    </row>
    <row r="5" spans="1:7" ht="18.75" customHeight="1">
      <c r="A5" s="68"/>
      <c r="B5" s="74" t="s">
        <v>195</v>
      </c>
      <c r="C5" s="76" t="s">
        <v>244</v>
      </c>
      <c r="D5" s="78" t="s">
        <v>245</v>
      </c>
      <c r="E5" s="78"/>
      <c r="F5" s="78" t="s">
        <v>245</v>
      </c>
      <c r="G5" s="70"/>
    </row>
    <row r="6" spans="1:7" ht="24" customHeight="1">
      <c r="A6" s="69"/>
      <c r="B6" s="75"/>
      <c r="C6" s="77"/>
      <c r="D6" s="18">
        <v>2016</v>
      </c>
      <c r="E6" s="18">
        <v>2017</v>
      </c>
      <c r="F6" s="18" t="s">
        <v>2</v>
      </c>
      <c r="G6" s="19" t="s">
        <v>186</v>
      </c>
    </row>
    <row r="7" spans="1:7" ht="15">
      <c r="A7" s="7" t="s">
        <v>197</v>
      </c>
      <c r="B7" s="34">
        <f>IF(2578307.19892="","-",2578307.19892)</f>
        <v>2578307.19892</v>
      </c>
      <c r="C7" s="34">
        <f>IF(2182440.05753="","-",2578307.19892/2182440.05753*100)</f>
        <v>118.13874062768197</v>
      </c>
      <c r="D7" s="34">
        <v>100</v>
      </c>
      <c r="E7" s="34">
        <v>100</v>
      </c>
      <c r="F7" s="34">
        <f>IF(2326210.82237="","-",(2182440.05753-2326210.82237)/2326210.82237*100)</f>
        <v>-6.180470121513886</v>
      </c>
      <c r="G7" s="34">
        <f>IF(2182440.05753="","-",(2578307.19892-2182440.05753)/2182440.05753*100)</f>
        <v>18.138740627681976</v>
      </c>
    </row>
    <row r="8" spans="1:7" ht="12" customHeight="1">
      <c r="A8" s="8" t="s">
        <v>110</v>
      </c>
      <c r="B8" s="28"/>
      <c r="C8" s="28"/>
      <c r="D8" s="28"/>
      <c r="E8" s="28"/>
      <c r="F8" s="28"/>
      <c r="G8" s="28"/>
    </row>
    <row r="9" spans="1:7" ht="12.75" customHeight="1">
      <c r="A9" s="9" t="s">
        <v>36</v>
      </c>
      <c r="B9" s="26">
        <f>IF(274744.87455="","-",274744.87455)</f>
        <v>274744.87455</v>
      </c>
      <c r="C9" s="26">
        <f>IF(240403.10055="","-",274744.87455/240403.10055*100)</f>
        <v>114.28507948584358</v>
      </c>
      <c r="D9" s="26">
        <f>IF(240403.10055="","-",240403.10055/2182440.05753*100)</f>
        <v>11.015335780726037</v>
      </c>
      <c r="E9" s="26">
        <f>IF(274744.87455="","-",274744.87455/2578307.19892*100)</f>
        <v>10.656017819175505</v>
      </c>
      <c r="F9" s="26">
        <f>IF(2326210.82237="","-",(240403.10055-242708.92701)/2326210.82237*100)</f>
        <v>-0.0991237095892615</v>
      </c>
      <c r="G9" s="26">
        <f>IF(2182440.05753="","-",(274744.87455-240403.10055)/2182440.05753*100)</f>
        <v>1.5735494719092846</v>
      </c>
    </row>
    <row r="10" spans="1:7" ht="14.25" customHeight="1">
      <c r="A10" s="8" t="s">
        <v>37</v>
      </c>
      <c r="B10" s="27">
        <f>IF(3540.03319="","-",3540.03319)</f>
        <v>3540.03319</v>
      </c>
      <c r="C10" s="27">
        <f>IF(OR(3709.48875="",3540.03319=""),"-",3540.03319/3709.48875*100)</f>
        <v>95.43183518213932</v>
      </c>
      <c r="D10" s="27">
        <f>IF(3709.48875="","-",3709.48875/2182440.05753*100)</f>
        <v>0.16996978850352729</v>
      </c>
      <c r="E10" s="27">
        <f>IF(3540.03319="","-",3540.03319/2578307.19892*100)</f>
        <v>0.13730067508956448</v>
      </c>
      <c r="F10" s="27">
        <f>IF(OR(2326210.82237="",5351.1188="",3709.48875=""),"-",(3709.48875-5351.1188)/2326210.82237*100)</f>
        <v>-0.0705709918556508</v>
      </c>
      <c r="G10" s="27">
        <f>IF(OR(2182440.05753="",3540.03319="",3709.48875=""),"-",(3540.03319-3709.48875)/2182440.05753*100)</f>
        <v>-0.007764500079410338</v>
      </c>
    </row>
    <row r="11" spans="1:7" s="16" customFormat="1" ht="13.5" customHeight="1">
      <c r="A11" s="14" t="s">
        <v>38</v>
      </c>
      <c r="B11" s="27">
        <f>IF(17626.45586="","-",17626.45586)</f>
        <v>17626.45586</v>
      </c>
      <c r="C11" s="27">
        <f>IF(OR(12913.3247="",17626.45586=""),"-",17626.45586/12913.3247*100)</f>
        <v>136.49820065315942</v>
      </c>
      <c r="D11" s="27">
        <f>IF(12913.3247="","-",12913.3247/2182440.05753*100)</f>
        <v>0.5916920675757205</v>
      </c>
      <c r="E11" s="27">
        <f>IF(17626.45586="","-",17626.45586/2578307.19892*100)</f>
        <v>0.6836445194499461</v>
      </c>
      <c r="F11" s="27">
        <f>IF(OR(2326210.82237="",13043.65947="",12913.3247=""),"-",(12913.3247-13043.65947)/2326210.82237*100)</f>
        <v>-0.005602878670610476</v>
      </c>
      <c r="G11" s="27">
        <f>IF(OR(2182440.05753="",17626.45586="",12913.3247=""),"-",(17626.45586-12913.3247)/2182440.05753*100)</f>
        <v>0.21595695807261422</v>
      </c>
    </row>
    <row r="12" spans="1:7" s="16" customFormat="1" ht="13.5" customHeight="1">
      <c r="A12" s="14" t="s">
        <v>39</v>
      </c>
      <c r="B12" s="27">
        <f>IF(29251.60174="","-",29251.60174)</f>
        <v>29251.60174</v>
      </c>
      <c r="C12" s="27">
        <f>IF(OR(21222.79329="",29251.60174=""),"-",29251.60174/21222.79329*100)</f>
        <v>137.83106370725997</v>
      </c>
      <c r="D12" s="27">
        <f>IF(21222.79329="","-",21222.79329/2182440.05753*100)</f>
        <v>0.9724341897398606</v>
      </c>
      <c r="E12" s="27">
        <f>IF(29251.60174="","-",29251.60174/2578307.19892*100)</f>
        <v>1.134527404347042</v>
      </c>
      <c r="F12" s="27">
        <f>IF(OR(2326210.82237="",19082.98844="",21222.79329=""),"-",(21222.79329-19082.98844)/2326210.82237*100)</f>
        <v>0.09198671201348446</v>
      </c>
      <c r="G12" s="27">
        <f>IF(OR(2182440.05753="",29251.60174="",21222.79329=""),"-",(29251.60174-21222.79329)/2182440.05753*100)</f>
        <v>0.36788219783166404</v>
      </c>
    </row>
    <row r="13" spans="1:7" s="16" customFormat="1" ht="14.25" customHeight="1">
      <c r="A13" s="14" t="s">
        <v>40</v>
      </c>
      <c r="B13" s="27">
        <f>IF(23148.47449="","-",23148.47449)</f>
        <v>23148.47449</v>
      </c>
      <c r="C13" s="27">
        <f>IF(OR(21849.46204="",23148.47449=""),"-",23148.47449/21849.46204*100)</f>
        <v>105.94528344735394</v>
      </c>
      <c r="D13" s="27">
        <f>IF(21849.46204="","-",21849.46204/2182440.05753*100)</f>
        <v>1.0011483231630363</v>
      </c>
      <c r="E13" s="27">
        <f>IF(23148.47449="","-",23148.47449/2578307.19892*100)</f>
        <v>0.8978167729468554</v>
      </c>
      <c r="F13" s="27">
        <f>IF(OR(2326210.82237="",18791.0589="",21849.46204=""),"-",(21849.46204-18791.0589)/2326210.82237*100)</f>
        <v>0.1314757506322674</v>
      </c>
      <c r="G13" s="27">
        <f>IF(OR(2182440.05753="",23148.47449="",21849.46204=""),"-",(23148.47449-21849.46204)/2182440.05753*100)</f>
        <v>0.059521105540473504</v>
      </c>
    </row>
    <row r="14" spans="1:7" s="16" customFormat="1" ht="15" customHeight="1">
      <c r="A14" s="14" t="s">
        <v>41</v>
      </c>
      <c r="B14" s="27">
        <f>IF(37747.4015="","-",37747.4015)</f>
        <v>37747.4015</v>
      </c>
      <c r="C14" s="27">
        <f>IF(OR(34657.47682="",37747.4015=""),"-",37747.4015/34657.47682*100)</f>
        <v>108.91560772311293</v>
      </c>
      <c r="D14" s="27">
        <f>IF(34657.47682="","-",34657.47682/2182440.05753*100)</f>
        <v>1.5880150614181805</v>
      </c>
      <c r="E14" s="27">
        <f>IF(37747.4015="","-",37747.4015/2578307.19892*100)</f>
        <v>1.4640381687570672</v>
      </c>
      <c r="F14" s="27">
        <f>IF(OR(2326210.82237="",33788.58078="",34657.47682=""),"-",(34657.47682-33788.58078)/2326210.82237*100)</f>
        <v>0.03735242015230393</v>
      </c>
      <c r="G14" s="27">
        <f>IF(OR(2182440.05753="",37747.4015="",34657.47682=""),"-",(37747.4015-34657.47682)/2182440.05753*100)</f>
        <v>0.14158119345999595</v>
      </c>
    </row>
    <row r="15" spans="1:7" s="16" customFormat="1" ht="14.25" customHeight="1">
      <c r="A15" s="14" t="s">
        <v>42</v>
      </c>
      <c r="B15" s="27">
        <f>IF(62796.15581="","-",62796.15581)</f>
        <v>62796.15581</v>
      </c>
      <c r="C15" s="27">
        <f>IF(OR(58140.4248099999="",62796.15581=""),"-",62796.15581/58140.4248099999*100)</f>
        <v>108.00773474775048</v>
      </c>
      <c r="D15" s="27">
        <f>IF(58140.4248099999="","-",58140.4248099999/2182440.05753*100)</f>
        <v>2.6640101573190953</v>
      </c>
      <c r="E15" s="27">
        <f>IF(62796.15581="","-",62796.15581/2578307.19892*100)</f>
        <v>2.435557556380559</v>
      </c>
      <c r="F15" s="27">
        <f>IF(OR(2326210.82237="",77778.46162="",58140.4248099999=""),"-",(58140.4248099999-77778.46162)/2326210.82237*100)</f>
        <v>-0.8442070951244388</v>
      </c>
      <c r="G15" s="27">
        <f>IF(OR(2182440.05753="",62796.15581="",58140.4248099999=""),"-",(62796.15581-58140.4248099999)/2182440.05753*100)</f>
        <v>0.213326867051243</v>
      </c>
    </row>
    <row r="16" spans="1:7" s="16" customFormat="1" ht="14.25" customHeight="1">
      <c r="A16" s="14" t="s">
        <v>43</v>
      </c>
      <c r="B16" s="27">
        <f>IF(21961.65033="","-",21961.65033)</f>
        <v>21961.65033</v>
      </c>
      <c r="C16" s="27" t="s">
        <v>214</v>
      </c>
      <c r="D16" s="27">
        <f>IF(13195.03674="","-",13195.03674/2182440.05753*100)</f>
        <v>0.6046001902537302</v>
      </c>
      <c r="E16" s="27">
        <f>IF(21961.65033="","-",21961.65033/2578307.19892*100)</f>
        <v>0.8517856343572747</v>
      </c>
      <c r="F16" s="27">
        <f>IF(OR(2326210.82237="",5573.94618="",13195.03674=""),"-",(13195.03674-5573.94618)/2326210.82237*100)</f>
        <v>0.32761822302225585</v>
      </c>
      <c r="G16" s="27">
        <f>IF(OR(2182440.05753="",21961.65033="",13195.03674=""),"-",(21961.65033-13195.03674)/2182440.05753*100)</f>
        <v>0.40168863102346597</v>
      </c>
    </row>
    <row r="17" spans="1:7" s="16" customFormat="1" ht="26.25">
      <c r="A17" s="14" t="s">
        <v>44</v>
      </c>
      <c r="B17" s="27">
        <f>IF(24243.6927="","-",24243.6927)</f>
        <v>24243.6927</v>
      </c>
      <c r="C17" s="27">
        <f>IF(OR(22879.38293="",24243.6927=""),"-",24243.6927/22879.38293*100)</f>
        <v>105.96305317400446</v>
      </c>
      <c r="D17" s="27">
        <f>IF(22879.38293="","-",22879.38293/2182440.05753*100)</f>
        <v>1.0483395798688735</v>
      </c>
      <c r="E17" s="27">
        <f>IF(24243.6927="","-",24243.6927/2578307.19892*100)</f>
        <v>0.9402949621424159</v>
      </c>
      <c r="F17" s="27">
        <f>IF(OR(2326210.82237="",22566.27903="",22879.38293=""),"-",(22879.38293-22566.27903)/2326210.82237*100)</f>
        <v>0.013459824749718961</v>
      </c>
      <c r="G17" s="27">
        <f>IF(OR(2182440.05753="",24243.6927="",22879.38293=""),"-",(24243.6927-22879.38293)/2182440.05753*100)</f>
        <v>0.06251304659171589</v>
      </c>
    </row>
    <row r="18" spans="1:7" s="16" customFormat="1" ht="26.25">
      <c r="A18" s="14" t="s">
        <v>45</v>
      </c>
      <c r="B18" s="27">
        <f>IF(17420.47066="","-",17420.47066)</f>
        <v>17420.47066</v>
      </c>
      <c r="C18" s="27">
        <f>IF(OR(15430.54783="",17420.47066=""),"-",17420.47066/15430.54783*100)</f>
        <v>112.89599599394131</v>
      </c>
      <c r="D18" s="27">
        <f>IF(15430.54783="","-",15430.54783/2182440.05753*100)</f>
        <v>0.7070319194683261</v>
      </c>
      <c r="E18" s="27">
        <f>IF(17420.47066="","-",17420.47066/2578307.19892*100)</f>
        <v>0.675655355083253</v>
      </c>
      <c r="F18" s="27">
        <f>IF(OR(2326210.82237="",13022.99796="",15430.54783=""),"-",(15430.54783-13022.99796)/2326210.82237*100)</f>
        <v>0.10349663267180266</v>
      </c>
      <c r="G18" s="27">
        <f>IF(OR(2182440.05753="",17420.47066="",15430.54783=""),"-",(17420.47066-15430.54783)/2182440.05753*100)</f>
        <v>0.09117880801052178</v>
      </c>
    </row>
    <row r="19" spans="1:7" s="16" customFormat="1" ht="13.5" customHeight="1">
      <c r="A19" s="14" t="s">
        <v>46</v>
      </c>
      <c r="B19" s="27">
        <f>IF(37008.93827="","-",37008.93827)</f>
        <v>37008.93827</v>
      </c>
      <c r="C19" s="27">
        <f>IF(OR(36405.16264="",37008.93827=""),"-",37008.93827/36405.16264*100)</f>
        <v>101.65848903346637</v>
      </c>
      <c r="D19" s="27">
        <f>IF(36405.16264="","-",36405.16264/2182440.05753*100)</f>
        <v>1.6680945034156833</v>
      </c>
      <c r="E19" s="27">
        <f>IF(37008.93827="","-",37008.93827/2578307.19892*100)</f>
        <v>1.4353967706215258</v>
      </c>
      <c r="F19" s="27">
        <f>IF(OR(2326210.82237="",33709.83583="",36405.16264=""),"-",(36405.16264-33709.83583)/2326210.82237*100)</f>
        <v>0.11586769281960155</v>
      </c>
      <c r="G19" s="27">
        <f>IF(OR(2182440.05753="",37008.93827="",36405.16264=""),"-",(37008.93827-36405.16264)/2182440.05753*100)</f>
        <v>0.027665164407004426</v>
      </c>
    </row>
    <row r="20" spans="1:7" s="16" customFormat="1" ht="13.5" customHeight="1">
      <c r="A20" s="15" t="s">
        <v>47</v>
      </c>
      <c r="B20" s="26">
        <f>IF(60062.82995="","-",60062.82995)</f>
        <v>60062.82995</v>
      </c>
      <c r="C20" s="26">
        <f>IF(59320.91751="","-",60062.82995/59320.91751*100)</f>
        <v>101.25067593547408</v>
      </c>
      <c r="D20" s="26">
        <f>IF(59320.91751="","-",59320.91751/2182440.05753*100)</f>
        <v>2.718100655517526</v>
      </c>
      <c r="E20" s="26">
        <f>IF(60062.82995="","-",60062.82995/2578307.19892*100)</f>
        <v>2.3295451362490507</v>
      </c>
      <c r="F20" s="26">
        <f>IF(2326210.82237="","-",(59320.91751-54624.68266)/2326210.82237*100)</f>
        <v>0.20188345806143926</v>
      </c>
      <c r="G20" s="26">
        <f>IF(2182440.05753="","-",(60062.82995-59320.91751)/2182440.05753*100)</f>
        <v>0.03399463080052093</v>
      </c>
    </row>
    <row r="21" spans="1:7" s="16" customFormat="1" ht="15" customHeight="1">
      <c r="A21" s="14" t="s">
        <v>48</v>
      </c>
      <c r="B21" s="27">
        <f>IF(29201.2809="","-",29201.2809)</f>
        <v>29201.2809</v>
      </c>
      <c r="C21" s="27">
        <f>IF(OR(27617.04485="",29201.2809=""),"-",29201.2809/27617.04485*100)</f>
        <v>105.73644305031429</v>
      </c>
      <c r="D21" s="27">
        <f>IF(27617.04485="","-",27617.04485/2182440.05753*100)</f>
        <v>1.2654205440701034</v>
      </c>
      <c r="E21" s="27">
        <f>IF(29201.2809="","-",29201.2809/2578307.19892*100)</f>
        <v>1.1325757036334467</v>
      </c>
      <c r="F21" s="27">
        <f>IF(OR(2326210.82237="",20355.89379="",27617.04485=""),"-",(27617.04485-20355.89379)/2326210.82237*100)</f>
        <v>0.31214501240270914</v>
      </c>
      <c r="G21" s="27">
        <f>IF(OR(2182440.05753="",29201.2809="",27617.04485=""),"-",(29201.2809-27617.04485)/2182440.05753*100)</f>
        <v>0.07259012885755861</v>
      </c>
    </row>
    <row r="22" spans="1:7" s="16" customFormat="1" ht="14.25" customHeight="1">
      <c r="A22" s="14" t="s">
        <v>49</v>
      </c>
      <c r="B22" s="27">
        <f>IF(30861.54905="","-",30861.54905)</f>
        <v>30861.54905</v>
      </c>
      <c r="C22" s="27">
        <f>IF(OR(31703.87266="",30861.54905=""),"-",30861.54905/31703.87266*100)</f>
        <v>97.34315230497775</v>
      </c>
      <c r="D22" s="27">
        <f>IF(31703.87266="","-",31703.87266/2182440.05753*100)</f>
        <v>1.4526801114474228</v>
      </c>
      <c r="E22" s="27">
        <f>IF(30861.54905="","-",30861.54905/2578307.19892*100)</f>
        <v>1.1969694326156042</v>
      </c>
      <c r="F22" s="27">
        <f>IF(OR(2326210.82237="",34268.78887="",31703.87266=""),"-",(31703.87266-34268.78887)/2326210.82237*100)</f>
        <v>-0.11026155434126976</v>
      </c>
      <c r="G22" s="27">
        <f>IF(OR(2182440.05753="",30861.54905="",31703.87266=""),"-",(30861.54905-31703.87266)/2182440.05753*100)</f>
        <v>-0.03859549805703751</v>
      </c>
    </row>
    <row r="23" spans="1:7" s="16" customFormat="1" ht="26.25">
      <c r="A23" s="15" t="s">
        <v>50</v>
      </c>
      <c r="B23" s="26">
        <f>IF(68058.70283="","-",68058.70283)</f>
        <v>68058.70283</v>
      </c>
      <c r="C23" s="26">
        <f>IF(60154.1114="","-",68058.70283/60154.1114*100)</f>
        <v>113.14056719654243</v>
      </c>
      <c r="D23" s="26">
        <f>IF(60154.1114="","-",60154.1114/2182440.05753*100)</f>
        <v>2.75627782730858</v>
      </c>
      <c r="E23" s="26">
        <f>IF(68058.70283="","-",68058.70283/2578307.19892*100)</f>
        <v>2.6396661677285156</v>
      </c>
      <c r="F23" s="26">
        <f>IF(2326210.82237="","-",(60154.1114-64553.68718)/2326210.82237*100)</f>
        <v>-0.18913056966683717</v>
      </c>
      <c r="G23" s="26">
        <f>IF(2182440.05753="","-",(68058.70283-60154.1114)/2182440.05753*100)</f>
        <v>0.3621905400208838</v>
      </c>
    </row>
    <row r="24" spans="1:7" s="16" customFormat="1" ht="14.25" customHeight="1">
      <c r="A24" s="14" t="s">
        <v>52</v>
      </c>
      <c r="B24" s="27">
        <f>IF(22164.15358="","-",22164.15358)</f>
        <v>22164.15358</v>
      </c>
      <c r="C24" s="27">
        <f>IF(OR(20655.35594="",22164.15358=""),"-",22164.15358/20655.35594*100)</f>
        <v>107.30463151728189</v>
      </c>
      <c r="D24" s="27">
        <f>IF(20655.35594="","-",20655.35594/2182440.05753*100)</f>
        <v>0.9464340552554247</v>
      </c>
      <c r="E24" s="27">
        <f>IF(22164.15358="","-",22164.15358/2578307.19892*100)</f>
        <v>0.8596397508134062</v>
      </c>
      <c r="F24" s="27">
        <f>IF(OR(2326210.82237="",16988.42569="",20655.35594=""),"-",(20655.35594-16988.42569)/2326210.82237*100)</f>
        <v>0.15763533617576603</v>
      </c>
      <c r="G24" s="27">
        <f>IF(OR(2182440.05753="",22164.15358="",20655.35594=""),"-",(22164.15358-20655.35594)/2182440.05753*100)</f>
        <v>0.06913352029047684</v>
      </c>
    </row>
    <row r="25" spans="1:7" s="16" customFormat="1" ht="26.25">
      <c r="A25" s="14" t="s">
        <v>53</v>
      </c>
      <c r="B25" s="27">
        <f>IF(353.87724="","-",353.87724)</f>
        <v>353.87724</v>
      </c>
      <c r="C25" s="27">
        <f>IF(OR(330.80181="",353.87724=""),"-",353.87724/330.80181*100)</f>
        <v>106.97560572597833</v>
      </c>
      <c r="D25" s="27">
        <f>IF(330.80181="","-",330.80181/2182440.05753*100)</f>
        <v>0.015157429357963147</v>
      </c>
      <c r="E25" s="27">
        <f>IF(353.87724="","-",353.87724/2578307.19892*100)</f>
        <v>0.013725177517567803</v>
      </c>
      <c r="F25" s="27">
        <f>IF(OR(2326210.82237="",1941.98643="",330.80181=""),"-",(330.80181-1941.98643)/2326210.82237*100)</f>
        <v>-0.06926219259690684</v>
      </c>
      <c r="G25" s="27">
        <f>IF(OR(2182440.05753="",353.87724="",330.80181=""),"-",(353.87724-330.80181)/2182440.05753*100)</f>
        <v>0.001057322510205199</v>
      </c>
    </row>
    <row r="26" spans="1:7" s="16" customFormat="1" ht="13.5" customHeight="1">
      <c r="A26" s="14" t="s">
        <v>54</v>
      </c>
      <c r="B26" s="27">
        <f>IF(17193.94464="","-",17193.94464)</f>
        <v>17193.94464</v>
      </c>
      <c r="C26" s="27">
        <f>IF(OR(13713.54167="",17193.94464=""),"-",17193.94464/13713.54167*100)</f>
        <v>125.37931523272208</v>
      </c>
      <c r="D26" s="27">
        <f>IF(13713.54167="","-",13713.54167/2182440.05753*100)</f>
        <v>0.628358227878224</v>
      </c>
      <c r="E26" s="27">
        <f>IF(17193.94464="","-",17193.94464/2578307.19892*100)</f>
        <v>0.6668695121823417</v>
      </c>
      <c r="F26" s="27">
        <f>IF(OR(2326210.82237="",15019.1504="",13713.54167=""),"-",(13713.54167-15019.1504)/2326210.82237*100)</f>
        <v>-0.05612598468911833</v>
      </c>
      <c r="G26" s="27">
        <f>IF(OR(2182440.05753="",17193.94464="",13713.54167=""),"-",(17193.94464-13713.54167)/2182440.05753*100)</f>
        <v>0.1594730154439607</v>
      </c>
    </row>
    <row r="27" spans="1:7" s="16" customFormat="1" ht="15" customHeight="1">
      <c r="A27" s="14" t="s">
        <v>55</v>
      </c>
      <c r="B27" s="27">
        <f>IF(306.76891="","-",306.76891)</f>
        <v>306.76891</v>
      </c>
      <c r="C27" s="27">
        <f>IF(OR(298.52914="",306.76891=""),"-",306.76891/298.52914*100)</f>
        <v>102.76012251266326</v>
      </c>
      <c r="D27" s="27">
        <f>IF(298.52914="","-",298.52914/2182440.05753*100)</f>
        <v>0.013678686796917739</v>
      </c>
      <c r="E27" s="27">
        <f>IF(306.76891="","-",306.76891/2578307.19892*100)</f>
        <v>0.011898074447005353</v>
      </c>
      <c r="F27" s="27">
        <f>IF(OR(2326210.82237="",150.59233="",298.52914=""),"-",(298.52914-150.59233)/2326210.82237*100)</f>
        <v>0.006359561591639332</v>
      </c>
      <c r="G27" s="27">
        <f>IF(OR(2182440.05753="",306.76891="",298.52914=""),"-",(306.76891-298.52914)/2182440.05753*100)</f>
        <v>0.0003775485137184235</v>
      </c>
    </row>
    <row r="28" spans="1:7" s="16" customFormat="1" ht="39">
      <c r="A28" s="14" t="s">
        <v>56</v>
      </c>
      <c r="B28" s="27">
        <f>IF(4798.14429="","-",4798.14429)</f>
        <v>4798.14429</v>
      </c>
      <c r="C28" s="27">
        <f>IF(OR(4350.67768="",4798.14429=""),"-",4798.14429/4350.67768*100)</f>
        <v>110.28498645296105</v>
      </c>
      <c r="D28" s="27">
        <f>IF(4350.67768="","-",4350.67768/2182440.05753*100)</f>
        <v>0.1993492405433543</v>
      </c>
      <c r="E28" s="27">
        <f>IF(4798.14429="","-",4798.14429/2578307.19892*100)</f>
        <v>0.18609668747036212</v>
      </c>
      <c r="F28" s="27">
        <f>IF(OR(2326210.82237="",7067.60403="",4350.67768=""),"-",(4350.67768-7067.60403)/2326210.82237*100)</f>
        <v>-0.11679622172989161</v>
      </c>
      <c r="G28" s="27">
        <f>IF(OR(2182440.05753="",4798.14429="",4350.67768=""),"-",(4798.14429-4350.67768)/2182440.05753*100)</f>
        <v>0.020503042383964745</v>
      </c>
    </row>
    <row r="29" spans="1:7" s="16" customFormat="1" ht="39">
      <c r="A29" s="14" t="s">
        <v>57</v>
      </c>
      <c r="B29" s="27">
        <f>IF(5436.80313="","-",5436.80313)</f>
        <v>5436.80313</v>
      </c>
      <c r="C29" s="27">
        <f>IF(OR(5557.2735="",5436.80313=""),"-",5436.80313/5557.2735*100)</f>
        <v>97.83220368765366</v>
      </c>
      <c r="D29" s="27">
        <f>IF(5557.2735="","-",5557.2735/2182440.05753*100)</f>
        <v>0.2546357908353966</v>
      </c>
      <c r="E29" s="27">
        <f>IF(5436.80313="","-",5436.80313/2578307.19892*100)</f>
        <v>0.21086715858674118</v>
      </c>
      <c r="F29" s="27">
        <f>IF(OR(2326210.82237="",5769.77723="",5557.2735=""),"-",(5557.2735-5769.77723)/2326210.82237*100)</f>
        <v>-0.009135187918328722</v>
      </c>
      <c r="G29" s="27">
        <f>IF(OR(2182440.05753="",5436.80313="",5557.2735=""),"-",(5436.80313-5557.2735)/2182440.05753*100)</f>
        <v>-0.00551998528364365</v>
      </c>
    </row>
    <row r="30" spans="1:7" s="16" customFormat="1" ht="14.25" customHeight="1">
      <c r="A30" s="14" t="s">
        <v>58</v>
      </c>
      <c r="B30" s="27">
        <f>IF(632.80134="","-",632.80134)</f>
        <v>632.80134</v>
      </c>
      <c r="C30" s="27">
        <f>IF(OR(440.71981="",632.80134=""),"-",632.80134/440.71981*100)</f>
        <v>143.5835933946332</v>
      </c>
      <c r="D30" s="27">
        <f>IF(440.71981="","-",440.71981/2182440.05753*100)</f>
        <v>0.020193902163745538</v>
      </c>
      <c r="E30" s="27">
        <f>IF(632.80134="","-",632.80134/2578307.19892*100)</f>
        <v>0.024543287171717453</v>
      </c>
      <c r="F30" s="27">
        <f>IF(OR(2326210.82237="",414.53234="",440.71981=""),"-",(440.71981-414.53234)/2326210.82237*100)</f>
        <v>0.0011257565199236578</v>
      </c>
      <c r="G30" s="27">
        <f>IF(OR(2182440.05753="",632.80134="",440.71981=""),"-",(632.80134-440.71981)/2182440.05753*100)</f>
        <v>0.00880122820955689</v>
      </c>
    </row>
    <row r="31" spans="1:7" s="16" customFormat="1" ht="26.25">
      <c r="A31" s="14" t="s">
        <v>59</v>
      </c>
      <c r="B31" s="27">
        <f>IF(17145.30883="","-",17145.30883)</f>
        <v>17145.30883</v>
      </c>
      <c r="C31" s="27">
        <f>IF(OR(14766.71313="",17145.30883=""),"-",17145.30883/14766.71313*100)</f>
        <v>116.10782087428552</v>
      </c>
      <c r="D31" s="27">
        <f>IF(14766.71313="","-",14766.71313/2182440.05753*100)</f>
        <v>0.6766148320569403</v>
      </c>
      <c r="E31" s="27">
        <f>IF(17145.30883="","-",17145.30883/2578307.19892*100)</f>
        <v>0.6649831655894931</v>
      </c>
      <c r="F31" s="27">
        <f>IF(OR(2326210.82237="",17193.9573="",14766.71313=""),"-",(14766.71313-17193.9573)/2326210.82237*100)</f>
        <v>-0.1043432584294773</v>
      </c>
      <c r="G31" s="27">
        <f>IF(OR(2182440.05753="",17145.30883="",14766.71313=""),"-",(17145.30883-14766.71313)/2182440.05753*100)</f>
        <v>0.10898790515657979</v>
      </c>
    </row>
    <row r="32" spans="1:7" s="16" customFormat="1" ht="26.25">
      <c r="A32" s="15" t="s">
        <v>60</v>
      </c>
      <c r="B32" s="26">
        <f>IF(400716.75777="","-",400716.75777)</f>
        <v>400716.75777</v>
      </c>
      <c r="C32" s="26">
        <f>IF(326614.74122="","-",400716.75777/326614.74122*100)</f>
        <v>122.6878971454894</v>
      </c>
      <c r="D32" s="26">
        <f>IF(326614.74122="","-",326614.74122/2182440.05753*100)</f>
        <v>14.965576721939836</v>
      </c>
      <c r="E32" s="26">
        <f>IF(400716.75777="","-",400716.75777/2578307.19892*100)</f>
        <v>15.541854668747465</v>
      </c>
      <c r="F32" s="26">
        <f>IF(2326210.82237="","-",(326614.74122-447962.16054)/2326210.82237*100)</f>
        <v>-5.216527158805335</v>
      </c>
      <c r="G32" s="26">
        <f>IF(2182440.05753="","-",(400716.75777-326614.74122)/2182440.05753*100)</f>
        <v>3.395374653903015</v>
      </c>
    </row>
    <row r="33" spans="1:7" s="16" customFormat="1" ht="14.25" customHeight="1">
      <c r="A33" s="14" t="s">
        <v>61</v>
      </c>
      <c r="B33" s="27">
        <f>IF(10815.59361="","-",10815.59361)</f>
        <v>10815.59361</v>
      </c>
      <c r="C33" s="27" t="s">
        <v>122</v>
      </c>
      <c r="D33" s="27">
        <f>IF(4416.18217="","-",4416.18217/2182440.05753*100)</f>
        <v>0.20235067418062613</v>
      </c>
      <c r="E33" s="27">
        <f>IF(10815.59361="","-",10815.59361/2578307.19892*100)</f>
        <v>0.41948428854910813</v>
      </c>
      <c r="F33" s="27">
        <f>IF(OR(2326210.82237="",8162.76785="",4416.18217=""),"-",(4416.18217-8162.76785)/2326210.82237*100)</f>
        <v>-0.16105959287829671</v>
      </c>
      <c r="G33" s="27">
        <f>IF(OR(2182440.05753="",10815.59361="",4416.18217=""),"-",(10815.59361-4416.18217)/2182440.05753*100)</f>
        <v>0.29322278144228175</v>
      </c>
    </row>
    <row r="34" spans="1:7" s="16" customFormat="1" ht="26.25">
      <c r="A34" s="14" t="s">
        <v>62</v>
      </c>
      <c r="B34" s="27">
        <f>IF(239128.88456="","-",239128.88456)</f>
        <v>239128.88456</v>
      </c>
      <c r="C34" s="27">
        <f>IF(OR(187029.97927="",239128.88456=""),"-",239128.88456/187029.97927*100)</f>
        <v>127.85591138562285</v>
      </c>
      <c r="D34" s="27">
        <f>IF(187029.97927="","-",187029.97927/2182440.05753*100)</f>
        <v>8.56976477428082</v>
      </c>
      <c r="E34" s="27">
        <f>IF(239128.88456="","-",239128.88456/2578307.19892*100)</f>
        <v>9.274646739541595</v>
      </c>
      <c r="F34" s="27">
        <f>IF(OR(2326210.82237="",242064.37368="",187029.97927=""),"-",(187029.97927-242064.37368)/2326210.82237*100)</f>
        <v>-2.3658386368407314</v>
      </c>
      <c r="G34" s="27">
        <f>IF(OR(2182440.05753="",239128.88456="",187029.97927=""),"-",(239128.88456-187029.97927)/2182440.05753*100)</f>
        <v>2.387186081479988</v>
      </c>
    </row>
    <row r="35" spans="1:7" s="16" customFormat="1" ht="26.25">
      <c r="A35" s="14" t="s">
        <v>63</v>
      </c>
      <c r="B35" s="27">
        <f>IF(111357.3166="","-",111357.3166)</f>
        <v>111357.3166</v>
      </c>
      <c r="C35" s="27">
        <f>IF(OR(134916.27684="",111357.3166=""),"-",111357.3166/134916.27684*100)</f>
        <v>82.53808896020823</v>
      </c>
      <c r="D35" s="27">
        <f>IF(134916.27684="","-",134916.27684/2182440.05753*100)</f>
        <v>6.181900683801275</v>
      </c>
      <c r="E35" s="27">
        <f>IF(111357.3166="","-",111357.3166/2578307.19892*100)</f>
        <v>4.319008869332766</v>
      </c>
      <c r="F35" s="27">
        <f>IF(OR(2326210.82237="",197296.41632="",134916.27684=""),"-",(134916.27684-197296.41632)/2326210.82237*100)</f>
        <v>-2.6816202074258078</v>
      </c>
      <c r="G35" s="27">
        <f>IF(OR(2182440.05753="",111357.3166="",134916.27684=""),"-",(111357.3166-134916.27684)/2182440.05753*100)</f>
        <v>-1.0794779979736584</v>
      </c>
    </row>
    <row r="36" spans="1:7" s="16" customFormat="1" ht="13.5" customHeight="1">
      <c r="A36" s="14" t="s">
        <v>64</v>
      </c>
      <c r="B36" s="27">
        <f>IF(39414.963="","-",39414.963)</f>
        <v>39414.963</v>
      </c>
      <c r="C36" s="27" t="s">
        <v>267</v>
      </c>
      <c r="D36" s="27">
        <f>IF(252.30294="","-",252.30294/2182440.05753*100)</f>
        <v>0.01156058967711336</v>
      </c>
      <c r="E36" s="27">
        <f>IF(39414.963="","-",39414.963/2578307.19892*100)</f>
        <v>1.5287147713239961</v>
      </c>
      <c r="F36" s="27">
        <f>IF(OR(2326210.82237="",438.60269="",252.30294=""),"-",(252.30294-438.60269)/2326210.82237*100)</f>
        <v>-0.00800872166049822</v>
      </c>
      <c r="G36" s="27">
        <f>IF(OR(2182440.05753="",39414.963="",252.30294=""),"-",(39414.963-252.30294)/2182440.05753*100)</f>
        <v>1.794443788954404</v>
      </c>
    </row>
    <row r="37" spans="1:7" s="16" customFormat="1" ht="26.25">
      <c r="A37" s="15" t="s">
        <v>65</v>
      </c>
      <c r="B37" s="26">
        <f>IF(8540.73753="","-",8540.73753)</f>
        <v>8540.73753</v>
      </c>
      <c r="C37" s="26" t="s">
        <v>215</v>
      </c>
      <c r="D37" s="26">
        <f>IF(5285.93859="","-",5285.93859/2182440.05753*100)</f>
        <v>0.24220315109054671</v>
      </c>
      <c r="E37" s="26">
        <f>IF(8540.73753="","-",8540.73753/2578307.19892*100)</f>
        <v>0.33125368201188515</v>
      </c>
      <c r="F37" s="26">
        <f>IF(2326210.82237="","-",(5285.93859-4976.3386)/2326210.82237*100)</f>
        <v>0.013309197387559727</v>
      </c>
      <c r="G37" s="26">
        <f>IF(2182440.05753="","-",(8540.73753-5285.93859)/2182440.05753*100)</f>
        <v>0.14913577712112078</v>
      </c>
    </row>
    <row r="38" spans="1:7" s="16" customFormat="1" ht="15" customHeight="1">
      <c r="A38" s="14" t="s">
        <v>66</v>
      </c>
      <c r="B38" s="27">
        <f>IF(586.01706="","-",586.01706)</f>
        <v>586.01706</v>
      </c>
      <c r="C38" s="27">
        <f>IF(OR(429.43406="",586.01706=""),"-",586.01706/429.43406*100)</f>
        <v>136.46264108627062</v>
      </c>
      <c r="D38" s="27">
        <f>IF(429.43406="","-",429.43406/2182440.05753*100)</f>
        <v>0.019676786013816876</v>
      </c>
      <c r="E38" s="27">
        <f>IF(586.01706="","-",586.01706/2578307.19892*100)</f>
        <v>0.022728752425058993</v>
      </c>
      <c r="F38" s="27">
        <f>IF(OR(2326210.82237="",304.01201="",429.43406=""),"-",(429.43406-304.01201)/2326210.82237*100)</f>
        <v>0.005391688869894302</v>
      </c>
      <c r="G38" s="27">
        <f>IF(OR(2182440.05753="",586.01706="",429.43406=""),"-",(586.01706-429.43406)/2182440.05753*100)</f>
        <v>0.007174675861531543</v>
      </c>
    </row>
    <row r="39" spans="1:7" s="16" customFormat="1" ht="26.25">
      <c r="A39" s="14" t="s">
        <v>111</v>
      </c>
      <c r="B39" s="27">
        <f>IF(6567.8994="","-",6567.8994)</f>
        <v>6567.8994</v>
      </c>
      <c r="C39" s="27" t="s">
        <v>214</v>
      </c>
      <c r="D39" s="27">
        <f>IF(3784.81583="","-",3784.81583/2182440.05753*100)</f>
        <v>0.173421295899577</v>
      </c>
      <c r="E39" s="27">
        <f>IF(6567.8994="","-",6567.8994/2578307.19892*100)</f>
        <v>0.25473688328338684</v>
      </c>
      <c r="F39" s="27">
        <f>IF(OR(2326210.82237="",3601.37747="",3784.81583=""),"-",(3784.81583-3601.37747)/2326210.82237*100)</f>
        <v>0.007885715182646628</v>
      </c>
      <c r="G39" s="27">
        <f>IF(OR(2182440.05753="",6567.8994="",3784.81583=""),"-",(6567.8994-3784.81583)/2182440.05753*100)</f>
        <v>0.12752164992562431</v>
      </c>
    </row>
    <row r="40" spans="1:7" s="16" customFormat="1" ht="26.25">
      <c r="A40" s="14" t="s">
        <v>112</v>
      </c>
      <c r="B40" s="27">
        <f>IF(1386.82107="","-",1386.82107)</f>
        <v>1386.82107</v>
      </c>
      <c r="C40" s="27">
        <f>IF(OR(1071.6887="",1386.82107=""),"-",1386.82107/1071.6887*100)</f>
        <v>129.40521533911854</v>
      </c>
      <c r="D40" s="27">
        <f>IF(1071.6887="","-",1071.6887/2182440.05753*100)</f>
        <v>0.0491050691771528</v>
      </c>
      <c r="E40" s="27">
        <f>IF(1386.82107="","-",1386.82107/2578307.19892*100)</f>
        <v>0.05378804630343936</v>
      </c>
      <c r="F40" s="27">
        <f>IF(OR(2326210.82237="",1070.94912="",1071.6887=""),"-",(1071.6887-1070.94912)/2326210.82237*100)</f>
        <v>3.1793335018811E-05</v>
      </c>
      <c r="G40" s="27">
        <f>IF(OR(2182440.05753="",1386.82107="",1071.6887=""),"-",(1386.82107-1071.6887)/2182440.05753*100)</f>
        <v>0.014439451333964905</v>
      </c>
    </row>
    <row r="41" spans="1:7" s="16" customFormat="1" ht="26.25">
      <c r="A41" s="15" t="s">
        <v>69</v>
      </c>
      <c r="B41" s="26">
        <f>IF(418486.30182="","-",418486.30182)</f>
        <v>418486.30182</v>
      </c>
      <c r="C41" s="26">
        <f>IF(353630.71965="","-",418486.30182/353630.71965*100)</f>
        <v>118.33991748063906</v>
      </c>
      <c r="D41" s="26">
        <f>IF(353630.71965="","-",353630.71965/2182440.05753*100)</f>
        <v>16.203456238345687</v>
      </c>
      <c r="E41" s="26">
        <f>IF(418486.30182="","-",418486.30182/2578307.19892*100)</f>
        <v>16.231048883364068</v>
      </c>
      <c r="F41" s="26">
        <f>IF(2326210.82237="","-",(353630.71965-364446.81734)/2326210.82237*100)</f>
        <v>-0.46496635584303236</v>
      </c>
      <c r="G41" s="26">
        <f>IF(2182440.05753="","-",(418486.30182-353630.71965)/2182440.05753*100)</f>
        <v>2.971700503124059</v>
      </c>
    </row>
    <row r="42" spans="1:7" s="16" customFormat="1" ht="14.25" customHeight="1">
      <c r="A42" s="14" t="s">
        <v>70</v>
      </c>
      <c r="B42" s="27">
        <f>IF(10922.48607="","-",10922.48607)</f>
        <v>10922.48607</v>
      </c>
      <c r="C42" s="27">
        <f>IF(OR(8452.65725="",10922.48607=""),"-",10922.48607/8452.65725*100)</f>
        <v>129.21955483288997</v>
      </c>
      <c r="D42" s="27">
        <f>IF(8452.65725="","-",8452.65725/2182440.05753*100)</f>
        <v>0.38730306570556566</v>
      </c>
      <c r="E42" s="27">
        <f>IF(10922.48607="","-",10922.48607/2578307.19892*100)</f>
        <v>0.42363012733995414</v>
      </c>
      <c r="F42" s="27">
        <f>IF(OR(2326210.82237="",10842.89319="",8452.65725=""),"-",(8452.65725-10842.89319)/2326210.82237*100)</f>
        <v>-0.10275233512862647</v>
      </c>
      <c r="G42" s="27">
        <f>IF(OR(2182440.05753="",10922.48607="",8452.65725=""),"-",(10922.48607-8452.65725)/2182440.05753*100)</f>
        <v>0.11316823165330167</v>
      </c>
    </row>
    <row r="43" spans="1:7" s="16" customFormat="1" ht="14.25" customHeight="1">
      <c r="A43" s="14" t="s">
        <v>71</v>
      </c>
      <c r="B43" s="27">
        <f>IF(6321.61891="","-",6321.61891)</f>
        <v>6321.61891</v>
      </c>
      <c r="C43" s="27">
        <f>IF(OR(8204.93888="",6321.61891=""),"-",6321.61891/8204.93888*100)</f>
        <v>77.04650823675607</v>
      </c>
      <c r="D43" s="27">
        <f>IF(8204.93888="","-",8204.93888/2182440.05753*100)</f>
        <v>0.37595254227903185</v>
      </c>
      <c r="E43" s="27">
        <f>IF(6321.61891="","-",6321.61891/2578307.19892*100)</f>
        <v>0.24518486054136593</v>
      </c>
      <c r="F43" s="27">
        <f>IF(OR(2326210.82237="",6459.09822="",8204.93888=""),"-",(8204.93888-6459.09822)/2326210.82237*100)</f>
        <v>0.07505083559972844</v>
      </c>
      <c r="G43" s="27">
        <f>IF(OR(2182440.05753="",6321.61891="",8204.93888=""),"-",(6321.61891-8204.93888)/2182440.05753*100)</f>
        <v>-0.08629423582572376</v>
      </c>
    </row>
    <row r="44" spans="1:7" s="16" customFormat="1" ht="15" customHeight="1">
      <c r="A44" s="14" t="s">
        <v>72</v>
      </c>
      <c r="B44" s="27">
        <f>IF(17530.30211="","-",17530.30211)</f>
        <v>17530.30211</v>
      </c>
      <c r="C44" s="27">
        <f>IF(OR(15717.25306="",17530.30211=""),"-",17530.30211/15717.25306*100)</f>
        <v>111.53540662022019</v>
      </c>
      <c r="D44" s="27">
        <f>IF(15717.25306="","-",15717.25306/2182440.05753*100)</f>
        <v>0.7201688314770106</v>
      </c>
      <c r="E44" s="27">
        <f>IF(17530.30211="","-",17530.30211/2578307.19892*100)</f>
        <v>0.6799151830062409</v>
      </c>
      <c r="F44" s="27">
        <f>IF(OR(2326210.82237="",15352.67709="",15717.25306=""),"-",(15717.25306-15352.67709)/2326210.82237*100)</f>
        <v>0.01567252488441959</v>
      </c>
      <c r="G44" s="27">
        <f>IF(OR(2182440.05753="",17530.30211="",15717.25306=""),"-",(17530.30211-15717.25306)/2182440.05753*100)</f>
        <v>0.08307440306296152</v>
      </c>
    </row>
    <row r="45" spans="1:7" s="16" customFormat="1" ht="15" customHeight="1">
      <c r="A45" s="14" t="s">
        <v>73</v>
      </c>
      <c r="B45" s="27">
        <f>IF(124577.06547="","-",124577.06547)</f>
        <v>124577.06547</v>
      </c>
      <c r="C45" s="27">
        <f>IF(OR(89696.09817="",124577.06547=""),"-",124577.06547/89696.09817*100)</f>
        <v>138.88794274405393</v>
      </c>
      <c r="D45" s="27">
        <f>IF(89696.09817="","-",89696.09817/2182440.05753*100)</f>
        <v>4.109899736330652</v>
      </c>
      <c r="E45" s="27">
        <f>IF(124577.06547="","-",124577.06547/2578307.19892*100)</f>
        <v>4.831738650932782</v>
      </c>
      <c r="F45" s="27">
        <f>IF(OR(2326210.82237="",100505.73236="",89696.09817=""),"-",(89696.09817-100505.73236)/2326210.82237*100)</f>
        <v>-0.46468850054557304</v>
      </c>
      <c r="G45" s="27">
        <f>IF(OR(2182440.05753="",124577.06547="",89696.09817=""),"-",(124577.06547-89696.09817)/2182440.05753*100)</f>
        <v>1.5982554563022875</v>
      </c>
    </row>
    <row r="46" spans="1:7" s="16" customFormat="1" ht="39">
      <c r="A46" s="14" t="s">
        <v>74</v>
      </c>
      <c r="B46" s="27">
        <f>IF(62210.35772="","-",62210.35772)</f>
        <v>62210.35772</v>
      </c>
      <c r="C46" s="27">
        <f>IF(OR(62256.9388="",62210.35772=""),"-",62210.35772/62256.9388*100)</f>
        <v>99.92517929583778</v>
      </c>
      <c r="D46" s="27">
        <f>IF(62256.9388="","-",62256.9388/2182440.05753*100)</f>
        <v>2.852629953578655</v>
      </c>
      <c r="E46" s="27">
        <f>IF(62210.35772="","-",62210.35772/2578307.19892*100)</f>
        <v>2.4128372967371243</v>
      </c>
      <c r="F46" s="27">
        <f>IF(OR(2326210.82237="",62238.80172="",62256.9388=""),"-",(62256.9388-62238.80172)/2326210.82237*100)</f>
        <v>0.0007796834158617629</v>
      </c>
      <c r="G46" s="27">
        <f>IF(OR(2182440.05753="",62210.35772="",62256.9388=""),"-",(62210.35772-62256.9388)/2182440.05753*100)</f>
        <v>-0.0021343578184100146</v>
      </c>
    </row>
    <row r="47" spans="1:7" s="16" customFormat="1" ht="15">
      <c r="A47" s="14" t="s">
        <v>75</v>
      </c>
      <c r="B47" s="27">
        <f>IF(37437.47928="","-",37437.47928)</f>
        <v>37437.47928</v>
      </c>
      <c r="C47" s="27">
        <f>IF(OR(28501.98657="",37437.47928=""),"-",37437.47928/28501.98657*100)</f>
        <v>131.35042074367237</v>
      </c>
      <c r="D47" s="27">
        <f>IF(28501.98657="","-",28501.98657/2182440.05753*100)</f>
        <v>1.3059688155768838</v>
      </c>
      <c r="E47" s="27">
        <f>IF(37437.47928="","-",37437.47928/2578307.19892*100)</f>
        <v>1.4520177927471867</v>
      </c>
      <c r="F47" s="27">
        <f>IF(OR(2326210.82237="",28177.01796="",28501.98657=""),"-",(28501.98657-28177.01796)/2326210.82237*100)</f>
        <v>0.013969869234333368</v>
      </c>
      <c r="G47" s="27">
        <f>IF(OR(2182440.05753="",37437.47928="",28501.98657=""),"-",(37437.47928-28501.98657)/2182440.05753*100)</f>
        <v>0.409426718464508</v>
      </c>
    </row>
    <row r="48" spans="1:7" s="16" customFormat="1" ht="14.25" customHeight="1">
      <c r="A48" s="14" t="s">
        <v>76</v>
      </c>
      <c r="B48" s="27">
        <f>IF(28653.32901="","-",28653.32901)</f>
        <v>28653.32901</v>
      </c>
      <c r="C48" s="27">
        <f>IF(OR(26008.54192="",28653.32901=""),"-",28653.32901/26008.54192*100)</f>
        <v>110.16891718934163</v>
      </c>
      <c r="D48" s="27">
        <f>IF(26008.54192="","-",26008.54192/2182440.05753*100)</f>
        <v>1.19171850013766</v>
      </c>
      <c r="E48" s="27">
        <f>IF(28653.32901="","-",28653.32901/2578307.19892*100)</f>
        <v>1.1113233140722056</v>
      </c>
      <c r="F48" s="27">
        <f>IF(OR(2326210.82237="",28801.54087="",26008.54192=""),"-",(26008.54192-28801.54087)/2326210.82237*100)</f>
        <v>-0.12006645842849385</v>
      </c>
      <c r="G48" s="27">
        <f>IF(OR(2182440.05753="",28653.32901="",26008.54192=""),"-",(28653.32901-26008.54192)/2182440.05753*100)</f>
        <v>0.12118486740906267</v>
      </c>
    </row>
    <row r="49" spans="1:7" s="16" customFormat="1" ht="13.5" customHeight="1">
      <c r="A49" s="14" t="s">
        <v>77</v>
      </c>
      <c r="B49" s="27">
        <f>IF(52554.34622="","-",52554.34622)</f>
        <v>52554.34622</v>
      </c>
      <c r="C49" s="27">
        <f>IF(OR(45623.58021="",52554.34622=""),"-",52554.34622/45623.58021*100)</f>
        <v>115.19119275185878</v>
      </c>
      <c r="D49" s="27">
        <f>IF(45623.58021="","-",45623.58021/2182440.05753*100)</f>
        <v>2.090484916302122</v>
      </c>
      <c r="E49" s="27">
        <f>IF(52554.34622="","-",52554.34622/2578307.19892*100)</f>
        <v>2.0383275601144013</v>
      </c>
      <c r="F49" s="27">
        <f>IF(OR(2326210.82237="",47653.10656="",45623.58021=""),"-",(45623.58021-47653.10656)/2326210.82237*100)</f>
        <v>-0.08724601959904345</v>
      </c>
      <c r="G49" s="27">
        <f>IF(OR(2182440.05753="",52554.34622="",45623.58021=""),"-",(52554.34622-45623.58021)/2182440.05753*100)</f>
        <v>0.31756959308398913</v>
      </c>
    </row>
    <row r="50" spans="1:7" s="16" customFormat="1" ht="16.5" customHeight="1">
      <c r="A50" s="14" t="s">
        <v>78</v>
      </c>
      <c r="B50" s="27">
        <f>IF(78279.31703="","-",78279.31703)</f>
        <v>78279.31703</v>
      </c>
      <c r="C50" s="27">
        <f>IF(OR(69168.72479="",78279.31703=""),"-",78279.31703/69168.72479*100)</f>
        <v>113.17154865535004</v>
      </c>
      <c r="D50" s="27">
        <f>IF(69168.72479="","-",69168.72479/2182440.05753*100)</f>
        <v>3.1693298769581073</v>
      </c>
      <c r="E50" s="27">
        <f>IF(78279.31703="","-",78279.31703/2578307.19892*100)</f>
        <v>3.036074097872806</v>
      </c>
      <c r="F50" s="27">
        <f>IF(OR(2326210.82237="",64415.94937="",69168.72479=""),"-",(69168.72479-64415.94937)/2326210.82237*100)</f>
        <v>0.204314044724362</v>
      </c>
      <c r="G50" s="27">
        <f>IF(OR(2182440.05753="",78279.31703="",69168.72479=""),"-",(78279.31703-69168.72479)/2182440.05753*100)</f>
        <v>0.41744982679208265</v>
      </c>
    </row>
    <row r="51" spans="1:7" s="16" customFormat="1" ht="26.25">
      <c r="A51" s="15" t="s">
        <v>79</v>
      </c>
      <c r="B51" s="26">
        <f>IF(519178.13817="","-",519178.13817)</f>
        <v>519178.13817</v>
      </c>
      <c r="C51" s="26">
        <f>IF(475242.47301="","-",519178.13817/475242.47301*100)</f>
        <v>109.24489448127999</v>
      </c>
      <c r="D51" s="26">
        <f>IF(475242.47301="","-",475242.47301/2182440.05753*100)</f>
        <v>21.775740019538535</v>
      </c>
      <c r="E51" s="26">
        <f>IF(519178.13817="","-",519178.13817/2578307.19892*100)</f>
        <v>20.136395631500896</v>
      </c>
      <c r="F51" s="26">
        <f>IF(2326210.82237="","-",(475242.47301-461606.5158)/2326210.82237*100)</f>
        <v>0.5861875062599604</v>
      </c>
      <c r="G51" s="26">
        <f>IF(2182440.05753="","-",(519178.13817-475242.47301)/2182440.05753*100)</f>
        <v>2.0131441873241935</v>
      </c>
    </row>
    <row r="52" spans="1:7" s="16" customFormat="1" ht="15">
      <c r="A52" s="14" t="s">
        <v>80</v>
      </c>
      <c r="B52" s="27">
        <f>IF(23129.13266="","-",23129.13266)</f>
        <v>23129.13266</v>
      </c>
      <c r="C52" s="27">
        <f>IF(OR(22269.94148="",23129.13266=""),"-",23129.13266/22269.94148*100)</f>
        <v>103.8580756073006</v>
      </c>
      <c r="D52" s="27">
        <f>IF(22269.94148="","-",22269.94148/2182440.05753*100)</f>
        <v>1.0204148060407325</v>
      </c>
      <c r="E52" s="27">
        <f>IF(23129.13266="","-",23129.13266/2578307.19892*100)</f>
        <v>0.8970665974050074</v>
      </c>
      <c r="F52" s="27">
        <f>IF(OR(2326210.82237="",18289.85522="",22269.94148=""),"-",(22269.94148-18289.85522)/2326210.82237*100)</f>
        <v>0.17109740104918741</v>
      </c>
      <c r="G52" s="27">
        <f>IF(OR(2182440.05753="",23129.13266="",22269.94148=""),"-",(23129.13266-22269.94148)/2182440.05753*100)</f>
        <v>0.03936837472514122</v>
      </c>
    </row>
    <row r="53" spans="1:7" s="16" customFormat="1" ht="15" customHeight="1">
      <c r="A53" s="14" t="s">
        <v>81</v>
      </c>
      <c r="B53" s="27">
        <f>IF(28072.33514="","-",28072.33514)</f>
        <v>28072.33514</v>
      </c>
      <c r="C53" s="27">
        <f>IF(OR(31644.01016="",28072.33514=""),"-",28072.33514/31644.01016*100)</f>
        <v>88.71295072293074</v>
      </c>
      <c r="D53" s="27">
        <f>IF(31644.01016="","-",31644.01016/2182440.05753*100)</f>
        <v>1.4499371953341733</v>
      </c>
      <c r="E53" s="27">
        <f>IF(28072.33514="","-",28072.33514/2578307.19892*100)</f>
        <v>1.0887893867634906</v>
      </c>
      <c r="F53" s="27">
        <f>IF(OR(2326210.82237="",27878.11702="",31644.01016=""),"-",(31644.01016-27878.11702)/2326210.82237*100)</f>
        <v>0.16188958901683798</v>
      </c>
      <c r="G53" s="27">
        <f>IF(OR(2182440.05753="",28072.33514="",31644.01016=""),"-",(28072.33514-31644.01016)/2182440.05753*100)</f>
        <v>-0.16365512572392407</v>
      </c>
    </row>
    <row r="54" spans="1:7" s="16" customFormat="1" ht="13.5" customHeight="1">
      <c r="A54" s="14" t="s">
        <v>82</v>
      </c>
      <c r="B54" s="27">
        <f>IF(33657.39964="","-",33657.39964)</f>
        <v>33657.39964</v>
      </c>
      <c r="C54" s="27">
        <f>IF(OR(29084.13534="",33657.39964=""),"-",33657.39964/29084.13534*100)</f>
        <v>115.72425738822052</v>
      </c>
      <c r="D54" s="27">
        <f>IF(29084.13534="","-",29084.13534/2182440.05753*100)</f>
        <v>1.3326430313470459</v>
      </c>
      <c r="E54" s="27">
        <f>IF(33657.39964="","-",33657.39964/2578307.19892*100)</f>
        <v>1.3054068830160501</v>
      </c>
      <c r="F54" s="27">
        <f>IF(OR(2326210.82237="",29998.97418="",29084.13534=""),"-",(29084.13534-29998.97418)/2326210.82237*100)</f>
        <v>-0.03932742600982057</v>
      </c>
      <c r="G54" s="27">
        <f>IF(OR(2182440.05753="",33657.39964="",29084.13534=""),"-",(33657.39964-29084.13534)/2182440.05753*100)</f>
        <v>0.20954822031519363</v>
      </c>
    </row>
    <row r="55" spans="1:7" s="16" customFormat="1" ht="26.25">
      <c r="A55" s="14" t="s">
        <v>83</v>
      </c>
      <c r="B55" s="27">
        <f>IF(46893.08558="","-",46893.08558)</f>
        <v>46893.08558</v>
      </c>
      <c r="C55" s="27">
        <f>IF(OR(43890.01239="",46893.08558=""),"-",46893.08558/43890.01239*100)</f>
        <v>106.84227008941156</v>
      </c>
      <c r="D55" s="27">
        <f>IF(43890.01239="","-",43890.01239/2182440.05753*100)</f>
        <v>2.011052364923736</v>
      </c>
      <c r="E55" s="27">
        <f>IF(46893.08558="","-",46893.08558/2578307.19892*100)</f>
        <v>1.818754786072139</v>
      </c>
      <c r="F55" s="27">
        <f>IF(OR(2326210.82237="",45080.06597="",43890.01239=""),"-",(43890.01239-45080.06597)/2326210.82237*100)</f>
        <v>-0.05115845771827097</v>
      </c>
      <c r="G55" s="27">
        <f>IF(OR(2182440.05753="",46893.08558="",43890.01239=""),"-",(46893.08558-43890.01239)/2182440.05753*100)</f>
        <v>0.13760163444758047</v>
      </c>
    </row>
    <row r="56" spans="1:7" s="16" customFormat="1" ht="39">
      <c r="A56" s="14" t="s">
        <v>84</v>
      </c>
      <c r="B56" s="27">
        <f>IF(155133.387="","-",155133.387)</f>
        <v>155133.387</v>
      </c>
      <c r="C56" s="27">
        <f>IF(OR(145713.08973="",155133.387=""),"-",155133.387/145713.08973*100)</f>
        <v>106.46496295388106</v>
      </c>
      <c r="D56" s="27">
        <f>IF(145713.08973="","-",145713.08973/2182440.05753*100)</f>
        <v>6.676613601700125</v>
      </c>
      <c r="E56" s="27">
        <f>IF(155133.387="","-",155133.387/2578307.19892*100)</f>
        <v>6.0168697921249334</v>
      </c>
      <c r="F56" s="27">
        <f>IF(OR(2326210.82237="",118619.23025="",145713.08973=""),"-",(145713.08973-118619.23025)/2326210.82237*100)</f>
        <v>1.164720721761415</v>
      </c>
      <c r="G56" s="27">
        <f>IF(OR(2182440.05753="",155133.387="",145713.08973=""),"-",(155133.387-145713.08973)/2182440.05753*100)</f>
        <v>0.4316405959236976</v>
      </c>
    </row>
    <row r="57" spans="1:7" s="16" customFormat="1" ht="13.5" customHeight="1">
      <c r="A57" s="14" t="s">
        <v>85</v>
      </c>
      <c r="B57" s="27">
        <f>IF(63185.51597="","-",63185.51597)</f>
        <v>63185.51597</v>
      </c>
      <c r="C57" s="27">
        <f>IF(OR(54938.4505="",63185.51597=""),"-",63185.51597/54938.4505*100)</f>
        <v>115.01146354682865</v>
      </c>
      <c r="D57" s="27">
        <f>IF(54938.4505="","-",54938.4505/2182440.05753*100)</f>
        <v>2.517294819184046</v>
      </c>
      <c r="E57" s="27">
        <f>IF(63185.51597="","-",63185.51597/2578307.19892*100)</f>
        <v>2.450658943839862</v>
      </c>
      <c r="F57" s="27">
        <f>IF(OR(2326210.82237="",55533.09152="",54938.4505=""),"-",(54938.4505-55533.09152)/2326210.82237*100)</f>
        <v>-0.025562645237552806</v>
      </c>
      <c r="G57" s="27">
        <f>IF(OR(2182440.05753="",63185.51597="",54938.4505=""),"-",(63185.51597-54938.4505)/2182440.05753*100)</f>
        <v>0.37788279414801923</v>
      </c>
    </row>
    <row r="58" spans="1:7" s="16" customFormat="1" ht="14.25" customHeight="1">
      <c r="A58" s="14" t="s">
        <v>86</v>
      </c>
      <c r="B58" s="27">
        <f>IF(54775.56999="","-",54775.56999)</f>
        <v>54775.56999</v>
      </c>
      <c r="C58" s="27">
        <f>IF(OR(53540.89769="",54775.56999=""),"-",54775.56999/53540.89769*100)</f>
        <v>102.30603585907116</v>
      </c>
      <c r="D58" s="27">
        <f>IF(53540.89769="","-",53540.89769/2182440.05753*100)</f>
        <v>2.4532585674126364</v>
      </c>
      <c r="E58" s="27">
        <f>IF(54775.56999="","-",54775.56999/2578307.19892*100)</f>
        <v>2.1244780301177597</v>
      </c>
      <c r="F58" s="27">
        <f>IF(OR(2326210.82237="",61284.64676="",53540.89769=""),"-",(53540.89769-61284.64676)/2326210.82237*100)</f>
        <v>-0.3328911118258183</v>
      </c>
      <c r="G58" s="27">
        <f>IF(OR(2182440.05753="",54775.56999="",53540.89769=""),"-",(54775.56999-53540.89769)/2182440.05753*100)</f>
        <v>0.05657302228027099</v>
      </c>
    </row>
    <row r="59" spans="1:7" s="16" customFormat="1" ht="14.25" customHeight="1">
      <c r="A59" s="14" t="s">
        <v>87</v>
      </c>
      <c r="B59" s="27">
        <f>IF(42692.08321="","-",42692.08321)</f>
        <v>42692.08321</v>
      </c>
      <c r="C59" s="27">
        <f>IF(OR(30583.28728="",42692.08321=""),"-",42692.08321/30583.28728*100)</f>
        <v>139.5928528517553</v>
      </c>
      <c r="D59" s="27">
        <f>IF(30583.28728="","-",30583.28728/2182440.05753*100)</f>
        <v>1.4013345830268973</v>
      </c>
      <c r="E59" s="27">
        <f>IF(42692.08321="","-",42692.08321/2578307.19892*100)</f>
        <v>1.6558183302549379</v>
      </c>
      <c r="F59" s="27">
        <f>IF(OR(2326210.82237="",41286.06512="",30583.28728=""),"-",(30583.28728-41286.06512)/2326210.82237*100)</f>
        <v>-0.46009492076456543</v>
      </c>
      <c r="G59" s="27">
        <f>IF(OR(2182440.05753="",42692.08321="",30583.28728=""),"-",(42692.08321-30583.28728)/2182440.05753*100)</f>
        <v>0.5548283394185982</v>
      </c>
    </row>
    <row r="60" spans="1:7" s="16" customFormat="1" ht="15" customHeight="1">
      <c r="A60" s="14" t="s">
        <v>88</v>
      </c>
      <c r="B60" s="27">
        <f>IF(71639.62898="","-",71639.62898)</f>
        <v>71639.62898</v>
      </c>
      <c r="C60" s="27">
        <f>IF(OR(63578.64844="",71639.62898=""),"-",71639.62898/63578.64844*100)</f>
        <v>112.67875416950275</v>
      </c>
      <c r="D60" s="27">
        <f>IF(63578.64844="","-",63578.64844/2182440.05753*100)</f>
        <v>2.9131910505691425</v>
      </c>
      <c r="E60" s="27">
        <f>IF(71639.62898="","-",71639.62898/2578307.19892*100)</f>
        <v>2.7785528819067165</v>
      </c>
      <c r="F60" s="27">
        <f>IF(OR(2326210.82237="",63636.46976="",63578.64844=""),"-",(63578.64844-63636.46976)/2326210.82237*100)</f>
        <v>-0.002485644011452624</v>
      </c>
      <c r="G60" s="27">
        <f>IF(OR(2182440.05753="",71639.62898="",63578.64844=""),"-",(71639.62898-63578.64844)/2182440.05753*100)</f>
        <v>0.3693563317896162</v>
      </c>
    </row>
    <row r="61" spans="1:7" s="16" customFormat="1" ht="15" customHeight="1">
      <c r="A61" s="15" t="s">
        <v>89</v>
      </c>
      <c r="B61" s="26">
        <f>IF(553336.258="","-",553336.258)</f>
        <v>553336.258</v>
      </c>
      <c r="C61" s="26">
        <f>IF(451695.52683="","-",553336.258/451695.52683*100)</f>
        <v>122.50204510177794</v>
      </c>
      <c r="D61" s="26">
        <f>IF(451695.52683="","-",451695.52683/2182440.05753*100)</f>
        <v>20.696812509078086</v>
      </c>
      <c r="E61" s="26">
        <f>IF(553336.258="","-",553336.258/2578307.19892*100)</f>
        <v>21.461223016085178</v>
      </c>
      <c r="F61" s="26">
        <f>IF(2326210.82237="","-",(451695.52683-472941.45009)/2326210.82237*100)</f>
        <v>-0.9133275047854066</v>
      </c>
      <c r="G61" s="26">
        <f>IF(2182440.05753="","-",(553336.258-451695.52683)/2182440.05753*100)</f>
        <v>4.657206085423168</v>
      </c>
    </row>
    <row r="62" spans="1:7" s="16" customFormat="1" ht="26.25">
      <c r="A62" s="14" t="s">
        <v>113</v>
      </c>
      <c r="B62" s="27">
        <f>IF(8807.49106="","-",8807.49106)</f>
        <v>8807.49106</v>
      </c>
      <c r="C62" s="27">
        <f>IF(OR(5812.04017="",8807.49106=""),"-",8807.49106/5812.04017*100)</f>
        <v>151.53871622329135</v>
      </c>
      <c r="D62" s="27">
        <f>IF(5812.04017="","-",5812.04017/2182440.05753*100)</f>
        <v>0.26630926929456383</v>
      </c>
      <c r="E62" s="27">
        <f>IF(8807.49106="","-",8807.49106/2578307.19892*100)</f>
        <v>0.34159975443148427</v>
      </c>
      <c r="F62" s="27">
        <f>IF(OR(2326210.82237="",7155.88458="",5812.04017=""),"-",(5812.04017-7155.88458)/2326210.82237*100)</f>
        <v>-0.057769674058641786</v>
      </c>
      <c r="G62" s="27">
        <f>IF(OR(2182440.05753="",8807.49106="",5812.04017=""),"-",(8807.49106-5812.04017)/2182440.05753*100)</f>
        <v>0.13725237857804598</v>
      </c>
    </row>
    <row r="63" spans="1:7" s="16" customFormat="1" ht="26.25">
      <c r="A63" s="14" t="s">
        <v>91</v>
      </c>
      <c r="B63" s="27">
        <f>IF(86353.03453="","-",86353.03453)</f>
        <v>86353.03453</v>
      </c>
      <c r="C63" s="27">
        <f>IF(OR(70491.59129="",86353.03453=""),"-",86353.03453/70491.59129*100)</f>
        <v>122.50118482181311</v>
      </c>
      <c r="D63" s="27">
        <f>IF(70491.59129="","-",70491.59129/2182440.05753*100)</f>
        <v>3.22994398159002</v>
      </c>
      <c r="E63" s="27">
        <f>IF(86353.03453="","-",86353.03453/2578307.19892*100)</f>
        <v>3.3492143436659343</v>
      </c>
      <c r="F63" s="27">
        <f>IF(OR(2326210.82237="",72839.98882="",70491.59129=""),"-",(70491.59129-72839.98882)/2326210.82237*100)</f>
        <v>-0.1009537702867102</v>
      </c>
      <c r="G63" s="27">
        <f>IF(OR(2182440.05753="",86353.03453="",70491.59129=""),"-",(86353.03453-70491.59129)/2182440.05753*100)</f>
        <v>0.7267756649385994</v>
      </c>
    </row>
    <row r="64" spans="1:7" s="16" customFormat="1" ht="26.25">
      <c r="A64" s="14" t="s">
        <v>92</v>
      </c>
      <c r="B64" s="27">
        <f>IF(5513.85108="","-",5513.85108)</f>
        <v>5513.85108</v>
      </c>
      <c r="C64" s="27" t="s">
        <v>216</v>
      </c>
      <c r="D64" s="27">
        <f>IF(2929.72833="","-",2929.72833/2182440.05753*100)</f>
        <v>0.13424095291376534</v>
      </c>
      <c r="E64" s="27">
        <f>IF(5513.85108="","-",5513.85108/2578307.19892*100)</f>
        <v>0.21385547394467347</v>
      </c>
      <c r="F64" s="27">
        <f>IF(OR(2326210.82237="",5659.22598="",2929.72833=""),"-",(2929.72833-5659.22598)/2326210.82237*100)</f>
        <v>-0.11733664136336197</v>
      </c>
      <c r="G64" s="27">
        <f>IF(OR(2182440.05753="",5513.85108="",2929.72833=""),"-",(5513.85108-2929.72833)/2182440.05753*100)</f>
        <v>0.11840521076783248</v>
      </c>
    </row>
    <row r="65" spans="1:7" s="16" customFormat="1" ht="39">
      <c r="A65" s="14" t="s">
        <v>93</v>
      </c>
      <c r="B65" s="27">
        <f>IF(81008.64544="","-",81008.64544)</f>
        <v>81008.64544</v>
      </c>
      <c r="C65" s="27">
        <f>IF(OR(63340.47389="",81008.64544=""),"-",81008.64544/63340.47389*100)</f>
        <v>127.89396805063909</v>
      </c>
      <c r="D65" s="27">
        <f>IF(63340.47389="","-",63340.47389/2182440.05753*100)</f>
        <v>2.9022778275837857</v>
      </c>
      <c r="E65" s="27">
        <f>IF(81008.64544="","-",81008.64544/2578307.19892*100)</f>
        <v>3.141931476355217</v>
      </c>
      <c r="F65" s="27">
        <f>IF(OR(2326210.82237="",75987.46232="",63340.47389=""),"-",(63340.47389-75987.46232)/2326210.82237*100)</f>
        <v>-0.5436733553287723</v>
      </c>
      <c r="G65" s="27">
        <f>IF(OR(2182440.05753="",81008.64544="",63340.47389=""),"-",(81008.64544-63340.47389)/2182440.05753*100)</f>
        <v>0.8095604499670032</v>
      </c>
    </row>
    <row r="66" spans="1:7" s="16" customFormat="1" ht="26.25">
      <c r="A66" s="14" t="s">
        <v>94</v>
      </c>
      <c r="B66" s="27">
        <f>IF(21495.98719="","-",21495.98719)</f>
        <v>21495.98719</v>
      </c>
      <c r="C66" s="27">
        <f>IF(OR(17501.60543="",21495.98719=""),"-",21495.98719/17501.60543*100)</f>
        <v>122.82294487769173</v>
      </c>
      <c r="D66" s="27">
        <f>IF(17501.60543="","-",17501.60543/2182440.05753*100)</f>
        <v>0.8019283448182137</v>
      </c>
      <c r="E66" s="27">
        <f>IF(21495.98719="","-",21495.98719/2578307.19892*100)</f>
        <v>0.8337248253041465</v>
      </c>
      <c r="F66" s="27">
        <f>IF(OR(2326210.82237="",12468.63474="",17501.60543=""),"-",(17501.60543-12468.63474)/2326210.82237*100)</f>
        <v>0.2163591812745625</v>
      </c>
      <c r="G66" s="27">
        <f>IF(OR(2182440.05753="",21495.98719="",17501.60543=""),"-",(21495.98719-17501.60543)/2182440.05753*100)</f>
        <v>0.18302366409644646</v>
      </c>
    </row>
    <row r="67" spans="1:7" s="16" customFormat="1" ht="39">
      <c r="A67" s="14" t="s">
        <v>95</v>
      </c>
      <c r="B67" s="27">
        <f>IF(51765.83807="","-",51765.83807)</f>
        <v>51765.83807</v>
      </c>
      <c r="C67" s="27">
        <f>IF(OR(35301.79263="",51765.83807=""),"-",51765.83807/35301.79263*100)</f>
        <v>146.6379869502961</v>
      </c>
      <c r="D67" s="27">
        <f>IF(35301.79263="","-",35301.79263/2182440.05753*100)</f>
        <v>1.6175377879543318</v>
      </c>
      <c r="E67" s="27">
        <f>IF(51765.83807="","-",51765.83807/2578307.19892*100)</f>
        <v>2.0077451628604868</v>
      </c>
      <c r="F67" s="27">
        <f>IF(OR(2326210.82237="",41800.03345="",35301.79263=""),"-",(35301.79263-41800.03345)/2326210.82237*100)</f>
        <v>-0.2793487485102246</v>
      </c>
      <c r="G67" s="27">
        <f>IF(OR(2182440.05753="",51765.83807="",35301.79263=""),"-",(51765.83807-35301.79263)/2182440.05753*100)</f>
        <v>0.7543870624622495</v>
      </c>
    </row>
    <row r="68" spans="1:7" s="16" customFormat="1" ht="38.25" customHeight="1">
      <c r="A68" s="14" t="s">
        <v>96</v>
      </c>
      <c r="B68" s="27">
        <f>IF(163794.13687="","-",163794.13687)</f>
        <v>163794.13687</v>
      </c>
      <c r="C68" s="27">
        <f>IF(OR(140385.73975="",163794.13687=""),"-",163794.13687/140385.73975*100)</f>
        <v>116.67434111305452</v>
      </c>
      <c r="D68" s="27">
        <f>IF(140385.73975="","-",140385.73975/2182440.05753*100)</f>
        <v>6.432512969400089</v>
      </c>
      <c r="E68" s="27">
        <f>IF(163794.13687="","-",163794.13687/2578307.19892*100)</f>
        <v>6.35277816928138</v>
      </c>
      <c r="F68" s="27">
        <f>IF(OR(2326210.82237="",154823.18209="",140385.73975=""),"-",(140385.73975-154823.18209)/2326210.82237*100)</f>
        <v>-0.620642041605273</v>
      </c>
      <c r="G68" s="27">
        <f>IF(OR(2182440.05753="",163794.13687="",140385.73975=""),"-",(163794.13687-140385.73975)/2182440.05753*100)</f>
        <v>1.0725791546592434</v>
      </c>
    </row>
    <row r="69" spans="1:7" s="16" customFormat="1" ht="26.25">
      <c r="A69" s="14" t="s">
        <v>97</v>
      </c>
      <c r="B69" s="27">
        <f>IF(133385.09214="","-",133385.09214)</f>
        <v>133385.09214</v>
      </c>
      <c r="C69" s="27">
        <f>IF(OR(115474.99664="",133385.09214=""),"-",133385.09214/115474.99664*100)</f>
        <v>115.50993377019594</v>
      </c>
      <c r="D69" s="27">
        <f>IF(115474.99664="","-",115474.99664/2182440.05753*100)</f>
        <v>5.2910959108169076</v>
      </c>
      <c r="E69" s="27">
        <f>IF(133385.09214="","-",133385.09214/2578307.19892*100)</f>
        <v>5.173359179071923</v>
      </c>
      <c r="F69" s="27">
        <f>IF(OR(2326210.82237="",99332.71014="",115474.99664=""),"-",(115474.99664-99332.71014)/2326210.82237*100)</f>
        <v>0.6939305046974997</v>
      </c>
      <c r="G69" s="27">
        <f>IF(OR(2182440.05753="",133385.09214="",115474.99664=""),"-",(133385.09214-115474.99664)/2182440.05753*100)</f>
        <v>0.8206454714852485</v>
      </c>
    </row>
    <row r="70" spans="1:7" s="16" customFormat="1" ht="14.25" customHeight="1">
      <c r="A70" s="14" t="s">
        <v>98</v>
      </c>
      <c r="B70" s="27">
        <f>IF(1212.18162="","-",1212.18162)</f>
        <v>1212.18162</v>
      </c>
      <c r="C70" s="27" t="s">
        <v>198</v>
      </c>
      <c r="D70" s="27">
        <f>IF(457.5587="","-",457.5587/2182440.05753*100)</f>
        <v>0.020965464706409715</v>
      </c>
      <c r="E70" s="27">
        <f>IF(1212.18162="","-",1212.18162/2578307.19892*100)</f>
        <v>0.047014631169930335</v>
      </c>
      <c r="F70" s="27">
        <f>IF(OR(2326210.82237="",2874.32797="",457.5587=""),"-",(457.5587-2874.32797)/2326210.82237*100)</f>
        <v>-0.10389295960448403</v>
      </c>
      <c r="G70" s="27">
        <f>IF(OR(2182440.05753="",1212.18162="",457.5587=""),"-",(1212.18162-457.5587)/2182440.05753*100)</f>
        <v>0.034577028468495606</v>
      </c>
    </row>
    <row r="71" spans="1:7" s="16" customFormat="1" ht="13.5" customHeight="1">
      <c r="A71" s="15" t="s">
        <v>99</v>
      </c>
      <c r="B71" s="26">
        <f>IF(274582.4545="","-",274582.4545)</f>
        <v>274582.4545</v>
      </c>
      <c r="C71" s="26">
        <f>IF(206734.63322="","-",274582.4545/206734.63322*100)</f>
        <v>132.81879781013694</v>
      </c>
      <c r="D71" s="26">
        <f>IF(206734.63322="","-",206734.63322/2182440.05753*100)</f>
        <v>9.472637404482676</v>
      </c>
      <c r="E71" s="26">
        <f>IF(274582.4545="","-",274582.4545/2578307.19892*100)</f>
        <v>10.649718335154825</v>
      </c>
      <c r="F71" s="26">
        <f>IF(2326210.82237="","-",(206734.63322-210195.36546)/2326210.82237*100)</f>
        <v>-0.14877122085065936</v>
      </c>
      <c r="G71" s="26">
        <f>IF(2182440.05753="","-",(274582.4545-206734.63322)/2182440.05753*100)</f>
        <v>3.1088057170645738</v>
      </c>
    </row>
    <row r="72" spans="1:7" s="16" customFormat="1" ht="39">
      <c r="A72" s="14" t="s">
        <v>100</v>
      </c>
      <c r="B72" s="27">
        <f>IF(19201.20328="","-",19201.20328)</f>
        <v>19201.20328</v>
      </c>
      <c r="C72" s="27">
        <f>IF(OR(15929.25512="",19201.20328=""),"-",19201.20328/15929.25512*100)</f>
        <v>120.540496936934</v>
      </c>
      <c r="D72" s="27">
        <f>IF(15929.25512="","-",15929.25512/2182440.05753*100)</f>
        <v>0.7298828238163895</v>
      </c>
      <c r="E72" s="27">
        <f>IF(19201.20328="","-",19201.20328/2578307.19892*100)</f>
        <v>0.744721315134325</v>
      </c>
      <c r="F72" s="27">
        <f>IF(OR(2326210.82237="",17737.20393="",15929.25512=""),"-",(15929.25512-17737.20393)/2326210.82237*100)</f>
        <v>-0.07772076342410005</v>
      </c>
      <c r="G72" s="27">
        <f>IF(OR(2182440.05753="",19201.20328="",15929.25512=""),"-",(19201.20328-15929.25512)/2182440.05753*100)</f>
        <v>0.14992155906921287</v>
      </c>
    </row>
    <row r="73" spans="1:7" s="16" customFormat="1" ht="14.25" customHeight="1">
      <c r="A73" s="14" t="s">
        <v>101</v>
      </c>
      <c r="B73" s="27">
        <f>IF(25586.80415="","-",25586.80415)</f>
        <v>25586.80415</v>
      </c>
      <c r="C73" s="27">
        <f>IF(OR(21768.35394="",25586.80415=""),"-",25586.80415/21768.35394*100)</f>
        <v>117.5412905382041</v>
      </c>
      <c r="D73" s="27">
        <f>IF(21768.35394="","-",21768.35394/2182440.05753*100)</f>
        <v>0.9974319278503608</v>
      </c>
      <c r="E73" s="27">
        <f>IF(25586.80415="","-",25586.80415/2578307.19892*100)</f>
        <v>0.9923877248109841</v>
      </c>
      <c r="F73" s="27">
        <f>IF(OR(2326210.82237="",23099.6638="",21768.35394=""),"-",(21768.35394-23099.6638)/2326210.82237*100)</f>
        <v>-0.05723083424758667</v>
      </c>
      <c r="G73" s="27">
        <f>IF(OR(2182440.05753="",25586.80415="",21768.35394=""),"-",(25586.80415-21768.35394)/2182440.05753*100)</f>
        <v>0.17496243238504205</v>
      </c>
    </row>
    <row r="74" spans="1:7" s="16" customFormat="1" ht="15">
      <c r="A74" s="14" t="s">
        <v>102</v>
      </c>
      <c r="B74" s="27">
        <f>IF(9744.04968="","-",9744.04968)</f>
        <v>9744.04968</v>
      </c>
      <c r="C74" s="27" t="s">
        <v>230</v>
      </c>
      <c r="D74" s="27">
        <f>IF(2664.81854="","-",2664.81854/2182440.05753*100)</f>
        <v>0.12210271392360428</v>
      </c>
      <c r="E74" s="27">
        <f>IF(9744.04968="","-",9744.04968/2578307.19892*100)</f>
        <v>0.3779243095656555</v>
      </c>
      <c r="F74" s="27">
        <f>IF(OR(2326210.82237="",2267.74856="",2664.81854=""),"-",(2664.81854-2267.74856)/2326210.82237*100)</f>
        <v>0.017069389248024203</v>
      </c>
      <c r="G74" s="27">
        <f>IF(OR(2182440.05753="",9744.04968="",2664.81854=""),"-",(9744.04968-2664.81854)/2182440.05753*100)</f>
        <v>0.3243723059231233</v>
      </c>
    </row>
    <row r="75" spans="1:7" s="16" customFormat="1" ht="14.25" customHeight="1">
      <c r="A75" s="14" t="s">
        <v>103</v>
      </c>
      <c r="B75" s="27">
        <f>IF(69504.13145="","-",69504.13145)</f>
        <v>69504.13145</v>
      </c>
      <c r="C75" s="27">
        <f>IF(OR(53513.11103="",69504.13145=""),"-",69504.13145/53513.11103*100)</f>
        <v>129.88243462622697</v>
      </c>
      <c r="D75" s="27">
        <f>IF(53513.11103="","-",53513.11103/2182440.05753*100)</f>
        <v>2.45198537505603</v>
      </c>
      <c r="E75" s="27">
        <f>IF(69504.13145="","-",69504.13145/2578307.19892*100)</f>
        <v>2.695727315934806</v>
      </c>
      <c r="F75" s="27">
        <f>IF(OR(2326210.82237="",45112.26378="",53513.11103=""),"-",(53513.11103-45112.26378)/2326210.82237*100)</f>
        <v>0.36113868825702616</v>
      </c>
      <c r="G75" s="27">
        <f>IF(OR(2182440.05753="",69504.13145="",53513.11103=""),"-",(69504.13145-53513.11103)/2182440.05753*100)</f>
        <v>0.7327129267457642</v>
      </c>
    </row>
    <row r="76" spans="1:7" s="16" customFormat="1" ht="15" customHeight="1">
      <c r="A76" s="14" t="s">
        <v>104</v>
      </c>
      <c r="B76" s="27">
        <f>IF(22486.3236299999="","-",22486.3236299999)</f>
        <v>22486.3236299999</v>
      </c>
      <c r="C76" s="27" t="s">
        <v>213</v>
      </c>
      <c r="D76" s="27">
        <f>IF(12613.92262="","-",12613.92262/2182440.05753*100)</f>
        <v>0.577973382429387</v>
      </c>
      <c r="E76" s="27">
        <f>IF(22486.3236299999="","-",22486.3236299999/2578307.19892*100)</f>
        <v>0.8721351605975798</v>
      </c>
      <c r="F76" s="27">
        <f>IF(OR(2326210.82237="",9849.64423="",12613.92262=""),"-",(12613.92262-9849.64423)/2326210.82237*100)</f>
        <v>0.11883180851096227</v>
      </c>
      <c r="G76" s="27">
        <f>IF(OR(2182440.05753="",22486.3236299999="",12613.92262=""),"-",(22486.3236299999-12613.92262)/2182440.05753*100)</f>
        <v>0.45235611287180544</v>
      </c>
    </row>
    <row r="77" spans="1:7" s="16" customFormat="1" ht="26.25">
      <c r="A77" s="14" t="s">
        <v>105</v>
      </c>
      <c r="B77" s="27">
        <f>IF(25357.09568="","-",25357.09568)</f>
        <v>25357.09568</v>
      </c>
      <c r="C77" s="27">
        <f>IF(OR(20193.13079="",25357.09568=""),"-",25357.09568/20193.13079*100)</f>
        <v>125.57287893444085</v>
      </c>
      <c r="D77" s="27">
        <f>IF(20193.13079="","-",20193.13079/2182440.05753*100)</f>
        <v>0.9252547725344537</v>
      </c>
      <c r="E77" s="27">
        <f>IF(25357.09568="","-",25357.09568/2578307.19892*100)</f>
        <v>0.983478450148282</v>
      </c>
      <c r="F77" s="27">
        <f>IF(OR(2326210.82237="",35420.74311="",20193.13079=""),"-",(20193.13079-35420.74311)/2326210.82237*100)</f>
        <v>-0.6546101571518673</v>
      </c>
      <c r="G77" s="27">
        <f>IF(OR(2182440.05753="",25357.09568="",20193.13079=""),"-",(25357.09568-20193.13079)/2182440.05753*100)</f>
        <v>0.23661428281537192</v>
      </c>
    </row>
    <row r="78" spans="1:7" ht="26.25">
      <c r="A78" s="10" t="s">
        <v>106</v>
      </c>
      <c r="B78" s="27">
        <f>IF(5619.74374="","-",5619.74374)</f>
        <v>5619.74374</v>
      </c>
      <c r="C78" s="27">
        <f>IF(OR(3975.71657="",5619.74374=""),"-",5619.74374/3975.71657*100)</f>
        <v>141.35171964735906</v>
      </c>
      <c r="D78" s="27">
        <f>IF(3975.71657="","-",3975.71657/2182440.05753*100)</f>
        <v>0.18216841998856823</v>
      </c>
      <c r="E78" s="27">
        <f>IF(5619.74374="","-",5619.74374/2578307.19892*100)</f>
        <v>0.2179625353547473</v>
      </c>
      <c r="F78" s="27">
        <f>IF(OR(2326210.82237="",4240.87151="",3975.71657=""),"-",(3975.71657-4240.87151)/2326210.82237*100)</f>
        <v>-0.0113985773537866</v>
      </c>
      <c r="G78" s="27">
        <f>IF(OR(2182440.05753="",5619.74374="",3975.71657=""),"-",(5619.74374-3975.71657)/2182440.05753*100)</f>
        <v>0.07532977431969634</v>
      </c>
    </row>
    <row r="79" spans="1:7" ht="13.5" customHeight="1">
      <c r="A79" s="11" t="s">
        <v>107</v>
      </c>
      <c r="B79" s="27">
        <f>IF(97083.10289="","-",97083.10289)</f>
        <v>97083.10289</v>
      </c>
      <c r="C79" s="27">
        <f>IF(OR(76076.32461="",97083.10289=""),"-",97083.10289/76076.32461*100)</f>
        <v>127.61276703059696</v>
      </c>
      <c r="D79" s="27">
        <f>IF(76076.32461="","-",76076.32461/2182440.05753*100)</f>
        <v>3.4858379888838824</v>
      </c>
      <c r="E79" s="27">
        <f>IF(97083.10289="","-",97083.10289/2578307.19892*100)</f>
        <v>3.7653815236084403</v>
      </c>
      <c r="F79" s="27">
        <f>IF(OR(2326210.82237="",72467.22654="",76076.32461=""),"-",(76076.32461-72467.22654)/2326210.82237*100)</f>
        <v>0.15514922531066877</v>
      </c>
      <c r="G79" s="27">
        <f>IF(OR(2182440.05753="",97083.10289="",76076.32461=""),"-",(97083.10289-76076.32461)/2182440.05753*100)</f>
        <v>0.9625363229345528</v>
      </c>
    </row>
    <row r="80" spans="1:7" ht="15">
      <c r="A80" s="83" t="s">
        <v>117</v>
      </c>
      <c r="B80" s="83"/>
      <c r="C80" s="83"/>
      <c r="D80" s="83"/>
      <c r="E80" s="83"/>
      <c r="F80" s="83"/>
      <c r="G80" s="83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J27" sqref="J27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4.625" style="0" customWidth="1"/>
  </cols>
  <sheetData>
    <row r="1" spans="1:4" ht="15.75">
      <c r="A1" s="66" t="s">
        <v>118</v>
      </c>
      <c r="B1" s="66"/>
      <c r="C1" s="66"/>
      <c r="D1" s="66"/>
    </row>
    <row r="2" spans="1:4" ht="15.75">
      <c r="A2" s="66" t="s">
        <v>35</v>
      </c>
      <c r="B2" s="66"/>
      <c r="C2" s="66"/>
      <c r="D2" s="66"/>
    </row>
    <row r="3" ht="15">
      <c r="A3" s="5"/>
    </row>
    <row r="4" spans="1:5" ht="25.5" customHeight="1">
      <c r="A4" s="76"/>
      <c r="B4" s="80" t="s">
        <v>246</v>
      </c>
      <c r="C4" s="71"/>
      <c r="D4" s="72" t="s">
        <v>247</v>
      </c>
      <c r="E4" s="1"/>
    </row>
    <row r="5" spans="1:5" ht="24" customHeight="1">
      <c r="A5" s="77"/>
      <c r="B5" s="20">
        <v>2016</v>
      </c>
      <c r="C5" s="19">
        <v>2017</v>
      </c>
      <c r="D5" s="81"/>
      <c r="E5" s="1"/>
    </row>
    <row r="6" spans="1:4" ht="15">
      <c r="A6" s="7" t="s">
        <v>199</v>
      </c>
      <c r="B6" s="34">
        <f>IF(-1111426.67039="","-",-1111426.67039)</f>
        <v>-1111426.67039</v>
      </c>
      <c r="C6" s="34">
        <f>IF(-1358444.91125="","-",-1358444.91125)</f>
        <v>-1358444.91125</v>
      </c>
      <c r="D6" s="46">
        <f>IF(-1111426.67039="","-",-1358444.91125/-1111426.67039*100)</f>
        <v>122.22532960931385</v>
      </c>
    </row>
    <row r="7" spans="1:4" ht="15">
      <c r="A7" s="8" t="s">
        <v>32</v>
      </c>
      <c r="B7" s="28"/>
      <c r="C7" s="28"/>
      <c r="D7" s="49"/>
    </row>
    <row r="8" spans="1:4" ht="15">
      <c r="A8" s="9" t="s">
        <v>36</v>
      </c>
      <c r="B8" s="26">
        <f>IF(-11569.03076="","-",-11569.03076)</f>
        <v>-11569.03076</v>
      </c>
      <c r="C8" s="26">
        <f>IF(-32927.67706="","-",-32927.67706)</f>
        <v>-32927.67706</v>
      </c>
      <c r="D8" s="47" t="s">
        <v>185</v>
      </c>
    </row>
    <row r="9" spans="1:4" ht="15">
      <c r="A9" s="8" t="s">
        <v>37</v>
      </c>
      <c r="B9" s="27">
        <f>IF(OR(1557.84417="",1557.84417=0),"-",1557.84417)</f>
        <v>1557.84417</v>
      </c>
      <c r="C9" s="27">
        <f>IF(OR(-92.64179="",-92.64179=0),"-",-92.64179)</f>
        <v>-92.64179</v>
      </c>
      <c r="D9" s="48" t="s">
        <v>33</v>
      </c>
    </row>
    <row r="10" spans="1:4" ht="15">
      <c r="A10" s="8" t="s">
        <v>38</v>
      </c>
      <c r="B10" s="27">
        <f>IF(OR(-9560.44719="",-9560.44719=0),"-",-9560.44719)</f>
        <v>-9560.44719</v>
      </c>
      <c r="C10" s="27">
        <f>IF(OR(-12409.50044="",-12409.50044=0),"-",-12409.50044)</f>
        <v>-12409.50044</v>
      </c>
      <c r="D10" s="48">
        <f>IF(OR(-9560.44719="",-12409.50044="",-9560.44719=0,-12409.50044=0),"-",-12409.50044/-9560.44719*100)</f>
        <v>129.8004182584685</v>
      </c>
    </row>
    <row r="11" spans="1:4" ht="15">
      <c r="A11" s="8" t="s">
        <v>39</v>
      </c>
      <c r="B11" s="27">
        <f>IF(OR(-10890.74147="",-10890.74147=0),"-",-10890.74147)</f>
        <v>-10890.74147</v>
      </c>
      <c r="C11" s="27">
        <f>IF(OR(-14959.91946="",-14959.91946=0),"-",-14959.91946)</f>
        <v>-14959.91946</v>
      </c>
      <c r="D11" s="48">
        <f>IF(OR(-10890.74147="",-14959.91946="",-10890.74147=0,-14959.91946=0),"-",-14959.91946/-10890.74147*100)</f>
        <v>137.363645085223</v>
      </c>
    </row>
    <row r="12" spans="1:4" ht="15">
      <c r="A12" s="8" t="s">
        <v>40</v>
      </c>
      <c r="B12" s="27">
        <f>IF(OR(-21844.33894="",-21844.33894=0),"-",-21844.33894)</f>
        <v>-21844.33894</v>
      </c>
      <c r="C12" s="27">
        <f>IF(OR(-23136.3168="",-23136.3168=0),"-",-23136.3168)</f>
        <v>-23136.3168</v>
      </c>
      <c r="D12" s="48">
        <f>IF(OR(-21844.33894="",-23136.3168="",-21844.33894=0,-23136.3168=0),"-",-23136.3168/-21844.33894*100)</f>
        <v>105.91447451693861</v>
      </c>
    </row>
    <row r="13" spans="1:4" ht="15">
      <c r="A13" s="8" t="s">
        <v>41</v>
      </c>
      <c r="B13" s="27">
        <f>IF(OR(38516.22606="",38516.22606=0),"-",38516.22606)</f>
        <v>38516.22606</v>
      </c>
      <c r="C13" s="27">
        <f>IF(OR(39032.53324="",39032.53324=0),"-",39032.53324)</f>
        <v>39032.53324</v>
      </c>
      <c r="D13" s="48">
        <f>IF(OR(38516.22606="",39032.53324="",38516.22606=0,39032.53324=0),"-",39032.53324/38516.22606*100)</f>
        <v>101.34049265157937</v>
      </c>
    </row>
    <row r="14" spans="1:4" ht="15">
      <c r="A14" s="8" t="s">
        <v>42</v>
      </c>
      <c r="B14" s="27">
        <f>IF(OR(35694.35619="",35694.35619=0),"-",35694.35619)</f>
        <v>35694.35619</v>
      </c>
      <c r="C14" s="27">
        <f>IF(OR(41957.95061="",41957.95061=0),"-",41957.95061)</f>
        <v>41957.95061</v>
      </c>
      <c r="D14" s="48">
        <f>IF(OR(35694.35619="",41957.95061="",35694.35619=0,41957.95061=0),"-",41957.95061/35694.35619*100)</f>
        <v>117.54785654813067</v>
      </c>
    </row>
    <row r="15" spans="1:4" ht="15">
      <c r="A15" s="8" t="s">
        <v>43</v>
      </c>
      <c r="B15" s="27">
        <f>IF(OR(14755.08641="",14755.08641=0),"-",14755.08641)</f>
        <v>14755.08641</v>
      </c>
      <c r="C15" s="27">
        <f>IF(OR(2183.57237="",2183.57237=0),"-",2183.57237)</f>
        <v>2183.57237</v>
      </c>
      <c r="D15" s="48">
        <f>IF(OR(14755.08641="",2183.57237="",14755.08641=0,2183.57237=0),"-",2183.57237/14755.08641*100)</f>
        <v>14.798777244165255</v>
      </c>
    </row>
    <row r="16" spans="1:4" ht="15">
      <c r="A16" s="8" t="s">
        <v>44</v>
      </c>
      <c r="B16" s="27">
        <f>IF(OR(-18837.02628="",-18837.02628=0),"-",-18837.02628)</f>
        <v>-18837.02628</v>
      </c>
      <c r="C16" s="27">
        <f>IF(OR(-19259.61441="",-19259.61441=0),"-",-19259.61441)</f>
        <v>-19259.61441</v>
      </c>
      <c r="D16" s="48">
        <f>IF(OR(-18837.02628="",-19259.61441="",-18837.02628=0,-19259.61441=0),"-",-19259.61441/-18837.02628*100)</f>
        <v>102.24339088197098</v>
      </c>
    </row>
    <row r="17" spans="1:4" ht="15">
      <c r="A17" s="8" t="s">
        <v>45</v>
      </c>
      <c r="B17" s="27">
        <f>IF(OR(-8695.25379="",-8695.25379=0),"-",-8695.25379)</f>
        <v>-8695.25379</v>
      </c>
      <c r="C17" s="27">
        <f>IF(OR(-10830.63271="",-10830.63271=0),"-",-10830.63271)</f>
        <v>-10830.63271</v>
      </c>
      <c r="D17" s="48">
        <f>IF(OR(-8695.25379="",-10830.63271="",-8695.25379=0,-10830.63271=0),"-",-10830.63271/-8695.25379*100)</f>
        <v>124.55798268310232</v>
      </c>
    </row>
    <row r="18" spans="1:4" ht="15">
      <c r="A18" s="8" t="s">
        <v>46</v>
      </c>
      <c r="B18" s="27">
        <f>IF(OR(-32264.73592="",-32264.73592=0),"-",-32264.73592)</f>
        <v>-32264.73592</v>
      </c>
      <c r="C18" s="27">
        <f>IF(OR(-35413.10767="",-35413.10767=0),"-",-35413.10767)</f>
        <v>-35413.10767</v>
      </c>
      <c r="D18" s="48">
        <f>IF(OR(-32264.73592="",-35413.10767="",-32264.73592=0,-35413.10767=0),"-",-35413.10767/-32264.73592*100)</f>
        <v>109.75793435224868</v>
      </c>
    </row>
    <row r="19" spans="1:4" ht="15">
      <c r="A19" s="9" t="s">
        <v>47</v>
      </c>
      <c r="B19" s="26">
        <f>IF(34085.09446="","-",34085.09446)</f>
        <v>34085.09446</v>
      </c>
      <c r="C19" s="26">
        <f>IF(42556.5706="","-",42556.5706)</f>
        <v>42556.5706</v>
      </c>
      <c r="D19" s="47">
        <f>IF(34085.09446="","-",42556.5706/34085.09446*100)</f>
        <v>124.85390248790877</v>
      </c>
    </row>
    <row r="20" spans="1:4" ht="15">
      <c r="A20" s="8" t="s">
        <v>48</v>
      </c>
      <c r="B20" s="27">
        <f>IF(OR(59158.09052="",59158.09052=0),"-",59158.09052)</f>
        <v>59158.09052</v>
      </c>
      <c r="C20" s="27">
        <f>IF(OR(63825.98806="",63825.98806=0),"-",63825.98806)</f>
        <v>63825.98806</v>
      </c>
      <c r="D20" s="48">
        <f>IF(OR(59158.09052="",63825.98806="",59158.09052=0,63825.98806=0),"-",63825.98806/59158.09052*100)</f>
        <v>107.89054801966927</v>
      </c>
    </row>
    <row r="21" spans="1:4" ht="15">
      <c r="A21" s="8" t="s">
        <v>49</v>
      </c>
      <c r="B21" s="27">
        <f>IF(OR(-25072.99606="",-25072.99606=0),"-",-25072.99606)</f>
        <v>-25072.99606</v>
      </c>
      <c r="C21" s="27">
        <f>IF(OR(-21269.41746="",-21269.41746=0),"-",-21269.41746)</f>
        <v>-21269.41746</v>
      </c>
      <c r="D21" s="48">
        <f>IF(OR(-25072.99606="",-21269.41746="",-25072.99606=0,-21269.41746=0),"-",-21269.41746/-25072.99606*100)</f>
        <v>84.82997966857256</v>
      </c>
    </row>
    <row r="22" spans="1:4" ht="15">
      <c r="A22" s="9" t="s">
        <v>50</v>
      </c>
      <c r="B22" s="26">
        <f>IF(51929.91127="","-",51929.91127)</f>
        <v>51929.91127</v>
      </c>
      <c r="C22" s="26">
        <f>IF(78147.68645="","-",78147.68645)</f>
        <v>78147.68645</v>
      </c>
      <c r="D22" s="47">
        <f>IF(51929.91127="","-",78147.68645/51929.91127*100)</f>
        <v>150.48684763523957</v>
      </c>
    </row>
    <row r="23" spans="1:4" ht="15">
      <c r="A23" s="8" t="s">
        <v>51</v>
      </c>
      <c r="B23" s="27">
        <f>IF(OR(2279.05503="",2279.05503=0),"-",2279.05503)</f>
        <v>2279.05503</v>
      </c>
      <c r="C23" s="27">
        <f>IF(OR(2398.56066="",2398.56066=0),"-",2398.56066)</f>
        <v>2398.56066</v>
      </c>
      <c r="D23" s="48">
        <f>IF(OR(2279.05503="",2398.56066="",2279.05503=0,2398.56066=0),"-",2398.56066/2279.05503*100)</f>
        <v>105.24364828522812</v>
      </c>
    </row>
    <row r="24" spans="1:4" ht="15">
      <c r="A24" s="8" t="s">
        <v>52</v>
      </c>
      <c r="B24" s="27">
        <f>IF(OR(74529.98042="",74529.98042=0),"-",74529.98042)</f>
        <v>74529.98042</v>
      </c>
      <c r="C24" s="27">
        <f>IF(OR(103103.94456="",103103.94456=0),"-",103103.94456)</f>
        <v>103103.94456</v>
      </c>
      <c r="D24" s="48">
        <f>IF(OR(74529.98042="",103103.94456="",74529.98042=0,103103.94456=0),"-",103103.94456/74529.98042*100)</f>
        <v>138.33888588052307</v>
      </c>
    </row>
    <row r="25" spans="1:4" ht="15">
      <c r="A25" s="8" t="s">
        <v>53</v>
      </c>
      <c r="B25" s="27">
        <f>IF(OR(-330.34066="",-330.34066=0),"-",-330.34066)</f>
        <v>-330.34066</v>
      </c>
      <c r="C25" s="27">
        <f>IF(OR(-353.4828="",-353.4828=0),"-",-353.4828)</f>
        <v>-353.4828</v>
      </c>
      <c r="D25" s="48">
        <f>IF(OR(-330.34066="",-353.4828="",-330.34066=0,-353.4828=0),"-",-353.4828/-330.34066*100)</f>
        <v>107.00553785900892</v>
      </c>
    </row>
    <row r="26" spans="1:4" ht="15">
      <c r="A26" s="8" t="s">
        <v>54</v>
      </c>
      <c r="B26" s="27">
        <f>IF(OR(-12366.00882="",-12366.00882=0),"-",-12366.00882)</f>
        <v>-12366.00882</v>
      </c>
      <c r="C26" s="27">
        <f>IF(OR(-16890.82054="",-16890.82054=0),"-",-16890.82054)</f>
        <v>-16890.82054</v>
      </c>
      <c r="D26" s="48">
        <f>IF(OR(-12366.00882="",-16890.82054="",-12366.00882=0,-16890.82054=0),"-",-16890.82054/-12366.00882*100)</f>
        <v>136.59072046497215</v>
      </c>
    </row>
    <row r="27" spans="1:4" ht="15">
      <c r="A27" s="8" t="s">
        <v>55</v>
      </c>
      <c r="B27" s="27">
        <f>IF(OR(1150.85191="",1150.85191=0),"-",1150.85191)</f>
        <v>1150.85191</v>
      </c>
      <c r="C27" s="27">
        <f>IF(OR(1276.44855="",1276.44855=0),"-",1276.44855)</f>
        <v>1276.44855</v>
      </c>
      <c r="D27" s="48">
        <f>IF(OR(1150.85191="",1276.44855="",1150.85191=0,1276.44855=0),"-",1276.44855/1150.85191*100)</f>
        <v>110.91336243253052</v>
      </c>
    </row>
    <row r="28" spans="1:4" ht="26.25">
      <c r="A28" s="8" t="s">
        <v>56</v>
      </c>
      <c r="B28" s="27">
        <f>IF(OR(-3639.97289="",-3639.97289=0),"-",-3639.97289)</f>
        <v>-3639.97289</v>
      </c>
      <c r="C28" s="27">
        <f>IF(OR(-4512.07589="",-4512.07589=0),"-",-4512.07589)</f>
        <v>-4512.07589</v>
      </c>
      <c r="D28" s="48">
        <f>IF(OR(-3639.97289="",-4512.07589="",-3639.97289=0,-4512.07589=0),"-",-4512.07589/-3639.97289*100)</f>
        <v>123.95905206865427</v>
      </c>
    </row>
    <row r="29" spans="1:4" ht="26.25">
      <c r="A29" s="8" t="s">
        <v>57</v>
      </c>
      <c r="B29" s="27">
        <f>IF(OR(-1759.30165="",-1759.30165=0),"-",-1759.30165)</f>
        <v>-1759.30165</v>
      </c>
      <c r="C29" s="27">
        <f>IF(OR(728.39755="",728.39755=0),"-",728.39755)</f>
        <v>728.39755</v>
      </c>
      <c r="D29" s="48" t="s">
        <v>33</v>
      </c>
    </row>
    <row r="30" spans="1:4" ht="15">
      <c r="A30" s="8" t="s">
        <v>58</v>
      </c>
      <c r="B30" s="27">
        <f>IF(OR(5865.98535="",5865.98535=0),"-",5865.98535)</f>
        <v>5865.98535</v>
      </c>
      <c r="C30" s="27">
        <f>IF(OR(8425.91907="",8425.91907=0),"-",8425.91907)</f>
        <v>8425.91907</v>
      </c>
      <c r="D30" s="48">
        <f>IF(OR(5865.98535="",8425.91907="",5865.98535=0,8425.91907=0),"-",8425.91907/5865.98535*100)</f>
        <v>143.6403019656365</v>
      </c>
    </row>
    <row r="31" spans="1:4" ht="15">
      <c r="A31" s="8" t="s">
        <v>59</v>
      </c>
      <c r="B31" s="27">
        <f>IF(OR(-13800.33742="",-13800.33742=0),"-",-13800.33742)</f>
        <v>-13800.33742</v>
      </c>
      <c r="C31" s="27">
        <f>IF(OR(-16029.20471="",-16029.20471=0),"-",-16029.20471)</f>
        <v>-16029.20471</v>
      </c>
      <c r="D31" s="48">
        <f>IF(OR(-13800.33742="",-16029.20471="",-13800.33742=0,-16029.20471=0),"-",-16029.20471/-13800.33742*100)</f>
        <v>116.15081734718918</v>
      </c>
    </row>
    <row r="32" spans="1:4" ht="15">
      <c r="A32" s="9" t="s">
        <v>60</v>
      </c>
      <c r="B32" s="26">
        <f>IF(-323435.00806="","-",-323435.00806)</f>
        <v>-323435.00806</v>
      </c>
      <c r="C32" s="26">
        <f>IF(-392559.49566="","-",-392559.49566)</f>
        <v>-392559.49566</v>
      </c>
      <c r="D32" s="47">
        <f>IF(-323435.00806="","-",-392559.49566/-323435.00806*100)</f>
        <v>121.37198691465608</v>
      </c>
    </row>
    <row r="33" spans="1:4" ht="15">
      <c r="A33" s="8" t="s">
        <v>61</v>
      </c>
      <c r="B33" s="27">
        <f>IF(OR(-4416.18217="",-4416.18217=0),"-",-4416.18217)</f>
        <v>-4416.18217</v>
      </c>
      <c r="C33" s="27">
        <f>IF(OR(-10815.59361="",-10815.59361=0),"-",-10815.59361)</f>
        <v>-10815.59361</v>
      </c>
      <c r="D33" s="48" t="s">
        <v>122</v>
      </c>
    </row>
    <row r="34" spans="1:4" ht="15">
      <c r="A34" s="8" t="s">
        <v>62</v>
      </c>
      <c r="B34" s="27">
        <f>IF(OR(-183854.2304="",-183854.2304=0),"-",-183854.2304)</f>
        <v>-183854.2304</v>
      </c>
      <c r="C34" s="27">
        <f>IF(OR(-230975.65491="",-230975.65491=0),"-",-230975.65491)</f>
        <v>-230975.65491</v>
      </c>
      <c r="D34" s="48">
        <f>IF(OR(-183854.2304="",-230975.65491="",-183854.2304=0,-230975.65491=0),"-",-230975.65491/-183854.2304*100)</f>
        <v>125.62977441828829</v>
      </c>
    </row>
    <row r="35" spans="1:4" ht="15">
      <c r="A35" s="8" t="s">
        <v>63</v>
      </c>
      <c r="B35" s="27">
        <f>IF(OR(-134916.27684="",-134916.27684=0),"-",-134916.27684)</f>
        <v>-134916.27684</v>
      </c>
      <c r="C35" s="27">
        <f>IF(OR(-111357.3166="",-111357.3166=0),"-",-111357.3166)</f>
        <v>-111357.3166</v>
      </c>
      <c r="D35" s="48">
        <f>IF(OR(-134916.27684="",-111357.3166="",-134916.27684=0,-111357.3166=0),"-",-111357.3166/-134916.27684*100)</f>
        <v>82.53808896020823</v>
      </c>
    </row>
    <row r="36" spans="1:4" ht="15">
      <c r="A36" s="8" t="s">
        <v>64</v>
      </c>
      <c r="B36" s="27">
        <f>IF(OR(-248.31865="",-248.31865=0),"-",-248.31865)</f>
        <v>-248.31865</v>
      </c>
      <c r="C36" s="27">
        <f>IF(OR(-39410.93054="",-39410.93054=0),"-",-39410.93054)</f>
        <v>-39410.93054</v>
      </c>
      <c r="D36" s="48" t="s">
        <v>268</v>
      </c>
    </row>
    <row r="37" spans="1:4" ht="15">
      <c r="A37" s="9" t="s">
        <v>65</v>
      </c>
      <c r="B37" s="26">
        <f>IF(20019.43535="","-",20019.43535)</f>
        <v>20019.43535</v>
      </c>
      <c r="C37" s="26">
        <f>IF(16533.86943="","-",16533.86943)</f>
        <v>16533.86943</v>
      </c>
      <c r="D37" s="47">
        <f>IF(20019.43535="","-",16533.86943/20019.43535*100)</f>
        <v>82.58908975671983</v>
      </c>
    </row>
    <row r="38" spans="1:4" ht="15">
      <c r="A38" s="8" t="s">
        <v>66</v>
      </c>
      <c r="B38" s="27">
        <f>IF(OR(-403.79609="",-403.79609=0),"-",-403.79609)</f>
        <v>-403.79609</v>
      </c>
      <c r="C38" s="27">
        <f>IF(OR(-586.01706="",-586.01706=0),"-",-586.01706)</f>
        <v>-586.01706</v>
      </c>
      <c r="D38" s="48">
        <f>IF(OR(-403.79609="",-586.01706="",-403.79609=0,-586.01706=0),"-",-586.01706/-403.79609*100)</f>
        <v>145.12697733155366</v>
      </c>
    </row>
    <row r="39" spans="1:4" ht="15">
      <c r="A39" s="8" t="s">
        <v>67</v>
      </c>
      <c r="B39" s="27">
        <f>IF(OR(21485.34937="",21485.34937=0),"-",21485.34937)</f>
        <v>21485.34937</v>
      </c>
      <c r="C39" s="27">
        <f>IF(OR(18413.08615="",18413.08615=0),"-",18413.08615)</f>
        <v>18413.08615</v>
      </c>
      <c r="D39" s="48">
        <f>IF(OR(21485.34937="",18413.08615="",21485.34937=0,18413.08615=0),"-",18413.08615/21485.34937*100)</f>
        <v>85.70065970493455</v>
      </c>
    </row>
    <row r="40" spans="1:4" ht="26.25">
      <c r="A40" s="8" t="s">
        <v>68</v>
      </c>
      <c r="B40" s="27">
        <f>IF(OR(-1062.11793="",-1062.11793=0),"-",-1062.11793)</f>
        <v>-1062.11793</v>
      </c>
      <c r="C40" s="27">
        <f>IF(OR(-1293.19966="",-1293.19966=0),"-",-1293.19966)</f>
        <v>-1293.19966</v>
      </c>
      <c r="D40" s="48">
        <f>IF(OR(-1062.11793="",-1293.19966="",-1062.11793=0,-1293.19966=0),"-",-1293.19966/-1062.11793*100)</f>
        <v>121.75669231005261</v>
      </c>
    </row>
    <row r="41" spans="1:4" ht="26.25">
      <c r="A41" s="9" t="s">
        <v>69</v>
      </c>
      <c r="B41" s="26">
        <f>IF(-296696.32199="","-",-296696.32199)</f>
        <v>-296696.32199</v>
      </c>
      <c r="C41" s="26">
        <f>IF(-344763.81735="","-",-344763.81735)</f>
        <v>-344763.81735</v>
      </c>
      <c r="D41" s="47">
        <f>IF(-296696.32199="","-",-344763.81735/-296696.32199*100)</f>
        <v>116.20090705459438</v>
      </c>
    </row>
    <row r="42" spans="1:4" ht="15">
      <c r="A42" s="8" t="s">
        <v>70</v>
      </c>
      <c r="B42" s="27">
        <f>IF(OR(373.92047="",373.92047=0),"-",373.92047)</f>
        <v>373.92047</v>
      </c>
      <c r="C42" s="27">
        <f>IF(OR(3256.71169="",3256.71169=0),"-",3256.71169)</f>
        <v>3256.71169</v>
      </c>
      <c r="D42" s="48" t="s">
        <v>269</v>
      </c>
    </row>
    <row r="43" spans="1:4" ht="15">
      <c r="A43" s="8" t="s">
        <v>71</v>
      </c>
      <c r="B43" s="27">
        <f>IF(OR(-7738.78934="",-7738.78934=0),"-",-7738.78934)</f>
        <v>-7738.78934</v>
      </c>
      <c r="C43" s="27">
        <f>IF(OR(-5657.15971="",-5657.15971=0),"-",-5657.15971)</f>
        <v>-5657.15971</v>
      </c>
      <c r="D43" s="48">
        <f>IF(OR(-7738.78934="",-5657.15971="",-7738.78934=0,-5657.15971=0),"-",-5657.15971/-7738.78934*100)</f>
        <v>73.10135295658532</v>
      </c>
    </row>
    <row r="44" spans="1:4" ht="15">
      <c r="A44" s="8" t="s">
        <v>72</v>
      </c>
      <c r="B44" s="27">
        <f>IF(OR(-14759.29167="",-14759.29167=0),"-",-14759.29167)</f>
        <v>-14759.29167</v>
      </c>
      <c r="C44" s="27">
        <f>IF(OR(-16969.77222="",-16969.77222=0),"-",-16969.77222)</f>
        <v>-16969.77222</v>
      </c>
      <c r="D44" s="48">
        <f>IF(OR(-14759.29167="",-16969.77222="",-14759.29167=0,-16969.77222=0),"-",-16969.77222/-14759.29167*100)</f>
        <v>114.97687422556369</v>
      </c>
    </row>
    <row r="45" spans="1:4" ht="15">
      <c r="A45" s="8" t="s">
        <v>73</v>
      </c>
      <c r="B45" s="27">
        <f>IF(OR(-70105.22375="",-70105.22375=0),"-",-70105.22375)</f>
        <v>-70105.22375</v>
      </c>
      <c r="C45" s="27">
        <f>IF(OR(-89723.89061="",-89723.89061=0),"-",-89723.89061)</f>
        <v>-89723.89061</v>
      </c>
      <c r="D45" s="48">
        <f>IF(OR(-70105.22375="",-89723.89061="",-70105.22375=0,-89723.89061=0),"-",-89723.89061/-70105.22375*100)</f>
        <v>127.98460059119346</v>
      </c>
    </row>
    <row r="46" spans="1:4" ht="26.25">
      <c r="A46" s="8" t="s">
        <v>74</v>
      </c>
      <c r="B46" s="27">
        <f>IF(OR(-41027.06103="",-41027.06103=0),"-",-41027.06103)</f>
        <v>-41027.06103</v>
      </c>
      <c r="C46" s="27">
        <f>IF(OR(-45717.3464="",-45717.3464=0),"-",-45717.3464)</f>
        <v>-45717.3464</v>
      </c>
      <c r="D46" s="48">
        <f>IF(OR(-41027.06103="",-45717.3464="",-41027.06103=0,-45717.3464=0),"-",-45717.3464/-41027.06103*100)</f>
        <v>111.4321748920069</v>
      </c>
    </row>
    <row r="47" spans="1:4" ht="15">
      <c r="A47" s="8" t="s">
        <v>75</v>
      </c>
      <c r="B47" s="27">
        <f>IF(OR(-28484.56895="",-28484.56895=0),"-",-28484.56895)</f>
        <v>-28484.56895</v>
      </c>
      <c r="C47" s="27">
        <f>IF(OR(-37412.27928="",-37412.27928=0),"-",-37412.27928)</f>
        <v>-37412.27928</v>
      </c>
      <c r="D47" s="48">
        <f>IF(OR(-28484.56895="",-37412.27928="",-28484.56895=0,-37412.27928=0),"-",-37412.27928/-28484.56895*100)</f>
        <v>131.3422693728353</v>
      </c>
    </row>
    <row r="48" spans="1:4" ht="15">
      <c r="A48" s="8" t="s">
        <v>76</v>
      </c>
      <c r="B48" s="27">
        <f>IF(OR(-23910.36072="",-23910.36072=0),"-",-23910.36072)</f>
        <v>-23910.36072</v>
      </c>
      <c r="C48" s="27">
        <f>IF(OR(-26426.04924="",-26426.04924=0),"-",-26426.04924)</f>
        <v>-26426.04924</v>
      </c>
      <c r="D48" s="48">
        <f>IF(OR(-23910.36072="",-26426.04924="",-23910.36072=0,-26426.04924=0),"-",-26426.04924/-23910.36072*100)</f>
        <v>110.52133236072734</v>
      </c>
    </row>
    <row r="49" spans="1:4" ht="15">
      <c r="A49" s="8" t="s">
        <v>77</v>
      </c>
      <c r="B49" s="27">
        <f>IF(OR(-43806.74733="",-43806.74733=0),"-",-43806.74733)</f>
        <v>-43806.74733</v>
      </c>
      <c r="C49" s="27">
        <f>IF(OR(-50627.28465="",-50627.28465=0),"-",-50627.28465)</f>
        <v>-50627.28465</v>
      </c>
      <c r="D49" s="48">
        <f>IF(OR(-43806.74733="",-50627.28465="",-43806.74733=0,-50627.28465=0),"-",-50627.28465/-43806.74733*100)</f>
        <v>115.56960453744787</v>
      </c>
    </row>
    <row r="50" spans="1:4" ht="15">
      <c r="A50" s="8" t="s">
        <v>78</v>
      </c>
      <c r="B50" s="27">
        <f>IF(OR(-67238.19967="",-67238.19967=0),"-",-67238.19967)</f>
        <v>-67238.19967</v>
      </c>
      <c r="C50" s="27">
        <f>IF(OR(-75486.74693="",-75486.74693=0),"-",-75486.74693)</f>
        <v>-75486.74693</v>
      </c>
      <c r="D50" s="48">
        <f>IF(OR(-67238.19967="",-75486.74693="",-67238.19967=0,-75486.74693=0),"-",-75486.74693/-67238.19967*100)</f>
        <v>112.26765038398297</v>
      </c>
    </row>
    <row r="51" spans="1:4" ht="26.25">
      <c r="A51" s="9" t="s">
        <v>79</v>
      </c>
      <c r="B51" s="26">
        <f>IF(-372277.02407="","-",-372277.02407)</f>
        <v>-372277.02407</v>
      </c>
      <c r="C51" s="26">
        <f>IF(-422897.36714="","-",-422897.36714)</f>
        <v>-422897.36714</v>
      </c>
      <c r="D51" s="47">
        <f>IF(-372277.02407="","-",-422897.36714/-372277.02407*100)</f>
        <v>113.59749320991719</v>
      </c>
    </row>
    <row r="52" spans="1:4" ht="15">
      <c r="A52" s="8" t="s">
        <v>80</v>
      </c>
      <c r="B52" s="27">
        <f>IF(OR(-21233.93343="",-21233.93343=0),"-",-21233.93343)</f>
        <v>-21233.93343</v>
      </c>
      <c r="C52" s="27">
        <f>IF(OR(-21638.93014="",-21638.93014=0),"-",-21638.93014)</f>
        <v>-21638.93014</v>
      </c>
      <c r="D52" s="48">
        <f>IF(OR(-21233.93343="",-21638.93014="",-21233.93343=0,-21638.93014=0),"-",-21638.93014/-21233.93343*100)</f>
        <v>101.90730893706113</v>
      </c>
    </row>
    <row r="53" spans="1:4" ht="15">
      <c r="A53" s="8" t="s">
        <v>81</v>
      </c>
      <c r="B53" s="27">
        <f>IF(OR(-24202.99683="",-24202.99683=0),"-",-24202.99683)</f>
        <v>-24202.99683</v>
      </c>
      <c r="C53" s="27">
        <f>IF(OR(-26862.70872="",-26862.70872=0),"-",-26862.70872)</f>
        <v>-26862.70872</v>
      </c>
      <c r="D53" s="48">
        <f>IF(OR(-24202.99683="",-26862.70872="",-24202.99683=0,-26862.70872=0),"-",-26862.70872/-24202.99683*100)</f>
        <v>110.98918414393725</v>
      </c>
    </row>
    <row r="54" spans="1:4" ht="15">
      <c r="A54" s="8" t="s">
        <v>82</v>
      </c>
      <c r="B54" s="27">
        <f>IF(OR(-24209.78092="",-24209.78092=0),"-",-24209.78092)</f>
        <v>-24209.78092</v>
      </c>
      <c r="C54" s="27">
        <f>IF(OR(-28360.72607="",-28360.72607=0),"-",-28360.72607)</f>
        <v>-28360.72607</v>
      </c>
      <c r="D54" s="48">
        <f>IF(OR(-24209.78092="",-28360.72607="",-24209.78092=0,-28360.72607=0),"-",-28360.72607/-24209.78092*100)</f>
        <v>117.14573611267525</v>
      </c>
    </row>
    <row r="55" spans="1:4" ht="26.25">
      <c r="A55" s="8" t="s">
        <v>83</v>
      </c>
      <c r="B55" s="27">
        <f>IF(OR(-39897.34734="",-39897.34734=0),"-",-39897.34734)</f>
        <v>-39897.34734</v>
      </c>
      <c r="C55" s="27">
        <f>IF(OR(-42688.4253299999="",-42688.4253299999=0),"-",-42688.4253299999)</f>
        <v>-42688.4253299999</v>
      </c>
      <c r="D55" s="48">
        <f>IF(OR(-39897.34734="",-42688.4253299999="",-39897.34734=0,-42688.4253299999=0),"-",-42688.4253299999/-39897.34734*100)</f>
        <v>106.99564802194668</v>
      </c>
    </row>
    <row r="56" spans="1:4" ht="26.25">
      <c r="A56" s="8" t="s">
        <v>84</v>
      </c>
      <c r="B56" s="27">
        <f>IF(OR(-100291.05391="",-100291.05391=0),"-",-100291.05391)</f>
        <v>-100291.05391</v>
      </c>
      <c r="C56" s="27">
        <f>IF(OR(-106086.40659="",-106086.40659=0),"-",-106086.40659)</f>
        <v>-106086.40659</v>
      </c>
      <c r="D56" s="48">
        <f>IF(OR(-100291.05391="",-106086.40659="",-100291.05391=0,-106086.40659=0),"-",-106086.40659/-100291.05391*100)</f>
        <v>105.77853403076278</v>
      </c>
    </row>
    <row r="57" spans="1:4" ht="15">
      <c r="A57" s="8" t="s">
        <v>85</v>
      </c>
      <c r="B57" s="27">
        <f>IF(OR(-35273.08712="",-35273.08712=0),"-",-35273.08712)</f>
        <v>-35273.08712</v>
      </c>
      <c r="C57" s="27">
        <f>IF(OR(-46751.68886="",-46751.68886=0),"-",-46751.68886)</f>
        <v>-46751.68886</v>
      </c>
      <c r="D57" s="48">
        <f>IF(OR(-35273.08712="",-46751.68886="",-35273.08712=0,-46751.68886=0),"-",-46751.68886/-35273.08712*100)</f>
        <v>132.5420956236393</v>
      </c>
    </row>
    <row r="58" spans="1:4" ht="15">
      <c r="A58" s="8" t="s">
        <v>86</v>
      </c>
      <c r="B58" s="27">
        <f>IF(OR(-51333.67555="",-51333.67555=0),"-",-51333.67555)</f>
        <v>-51333.67555</v>
      </c>
      <c r="C58" s="27">
        <f>IF(OR(-53298.14128="",-53298.14128=0),"-",-53298.14128)</f>
        <v>-53298.14128</v>
      </c>
      <c r="D58" s="48">
        <f>IF(OR(-51333.67555="",-53298.14128="",-51333.67555=0,-53298.14128=0),"-",-53298.14128/-51333.67555*100)</f>
        <v>103.82685578025009</v>
      </c>
    </row>
    <row r="59" spans="1:4" ht="15">
      <c r="A59" s="8" t="s">
        <v>87</v>
      </c>
      <c r="B59" s="27">
        <f>IF(OR(-29231.39865="",-29231.39865=0),"-",-29231.39865)</f>
        <v>-29231.39865</v>
      </c>
      <c r="C59" s="27">
        <f>IF(OR(-40657.5565="",-40657.5565=0),"-",-40657.5565)</f>
        <v>-40657.5565</v>
      </c>
      <c r="D59" s="48">
        <f>IF(OR(-29231.39865="",-40657.5565="",-29231.39865=0,-40657.5565=0),"-",-40657.5565/-29231.39865*100)</f>
        <v>139.08864569502904</v>
      </c>
    </row>
    <row r="60" spans="1:4" ht="15">
      <c r="A60" s="8" t="s">
        <v>88</v>
      </c>
      <c r="B60" s="27">
        <f>IF(OR(-46603.75032="",-46603.75032=0),"-",-46603.75032)</f>
        <v>-46603.75032</v>
      </c>
      <c r="C60" s="27">
        <f>IF(OR(-56552.78365="",-56552.78365=0),"-",-56552.78365)</f>
        <v>-56552.78365</v>
      </c>
      <c r="D60" s="48">
        <f>IF(OR(-46603.75032="",-56552.78365="",-46603.75032=0,-56552.78365=0),"-",-56552.78365/-46603.75032*100)</f>
        <v>121.34813885510492</v>
      </c>
    </row>
    <row r="61" spans="1:4" ht="15">
      <c r="A61" s="9" t="s">
        <v>89</v>
      </c>
      <c r="B61" s="26">
        <f>IF(-274015.73342="","-",-274015.73342)</f>
        <v>-274015.73342</v>
      </c>
      <c r="C61" s="26">
        <f>IF(-322130.31744="","-",-322130.31744)</f>
        <v>-322130.31744</v>
      </c>
      <c r="D61" s="47">
        <f>IF(-274015.73342="","-",-322130.31744/-274015.73342*100)</f>
        <v>117.55905889763343</v>
      </c>
    </row>
    <row r="62" spans="1:4" ht="15">
      <c r="A62" s="8" t="s">
        <v>90</v>
      </c>
      <c r="B62" s="27">
        <f>IF(OR(-4485.54389="",-4485.54389=0),"-",-4485.54389)</f>
        <v>-4485.54389</v>
      </c>
      <c r="C62" s="27">
        <f>IF(OR(-7125.83636="",-7125.83636=0),"-",-7125.83636)</f>
        <v>-7125.83636</v>
      </c>
      <c r="D62" s="48" t="s">
        <v>215</v>
      </c>
    </row>
    <row r="63" spans="1:4" ht="15">
      <c r="A63" s="8" t="s">
        <v>91</v>
      </c>
      <c r="B63" s="27">
        <f>IF(OR(-65857.07514="",-65857.07514=0),"-",-65857.07514)</f>
        <v>-65857.07514</v>
      </c>
      <c r="C63" s="27">
        <f>IF(OR(-81758.88311="",-81758.88311=0),"-",-81758.88311)</f>
        <v>-81758.88311</v>
      </c>
      <c r="D63" s="48">
        <f>IF(OR(-65857.07514="",-81758.88311="",-65857.07514=0,-81758.88311=0),"-",-81758.88311/-65857.07514*100)</f>
        <v>124.14593714676165</v>
      </c>
    </row>
    <row r="64" spans="1:4" ht="15">
      <c r="A64" s="8" t="s">
        <v>92</v>
      </c>
      <c r="B64" s="27">
        <f>IF(OR(-1811.76329="",-1811.76329=0),"-",-1811.76329)</f>
        <v>-1811.76329</v>
      </c>
      <c r="C64" s="27">
        <f>IF(OR(-4639.76257="",-4639.76257=0),"-",-4639.76257)</f>
        <v>-4639.76257</v>
      </c>
      <c r="D64" s="48" t="s">
        <v>198</v>
      </c>
    </row>
    <row r="65" spans="1:4" ht="26.25">
      <c r="A65" s="8" t="s">
        <v>93</v>
      </c>
      <c r="B65" s="27">
        <f>IF(OR(-46310.55214="",-46310.55214=0),"-",-46310.55214)</f>
        <v>-46310.55214</v>
      </c>
      <c r="C65" s="27">
        <f>IF(OR(-63129.93323="",-63129.93323=0),"-",-63129.93323)</f>
        <v>-63129.93323</v>
      </c>
      <c r="D65" s="48">
        <f>IF(OR(-46310.55214="",-63129.93323="",-46310.55214=0,-63129.93323=0),"-",-63129.93323/-46310.55214*100)</f>
        <v>136.31867968050534</v>
      </c>
    </row>
    <row r="66" spans="1:4" ht="13.5" customHeight="1">
      <c r="A66" s="8" t="s">
        <v>94</v>
      </c>
      <c r="B66" s="27">
        <f>IF(OR(-15585.66649="",-15585.66649=0),"-",-15585.66649)</f>
        <v>-15585.66649</v>
      </c>
      <c r="C66" s="27">
        <f>IF(OR(-20995.52471="",-20995.52471=0),"-",-20995.52471)</f>
        <v>-20995.52471</v>
      </c>
      <c r="D66" s="48">
        <f>IF(OR(-15585.66649="",-20995.52471="",-15585.66649=0,-20995.52471=0),"-",-20995.52471/-15585.66649*100)</f>
        <v>134.71047082568492</v>
      </c>
    </row>
    <row r="67" spans="1:4" ht="26.25">
      <c r="A67" s="8" t="s">
        <v>95</v>
      </c>
      <c r="B67" s="27">
        <f>IF(OR(-33727.9203="",-33727.9203=0),"-",-33727.9203)</f>
        <v>-33727.9203</v>
      </c>
      <c r="C67" s="27">
        <f>IF(OR(-49123.38889="",-49123.38889=0),"-",-49123.38889)</f>
        <v>-49123.38889</v>
      </c>
      <c r="D67" s="48">
        <f>IF(OR(-33727.9203="",-49123.38889="",-33727.9203=0,-49123.38889=0),"-",-49123.38889/-33727.9203*100)</f>
        <v>145.6460654942902</v>
      </c>
    </row>
    <row r="68" spans="1:4" ht="26.25">
      <c r="A68" s="8" t="s">
        <v>96</v>
      </c>
      <c r="B68" s="27">
        <f>IF(OR(-4002.93005="",-4002.93005=0),"-",-4002.93005)</f>
        <v>-4002.93005</v>
      </c>
      <c r="C68" s="27">
        <f>IF(OR(10009.31013="",10009.31013=0),"-",10009.31013)</f>
        <v>10009.31013</v>
      </c>
      <c r="D68" s="48" t="s">
        <v>33</v>
      </c>
    </row>
    <row r="69" spans="1:4" ht="15">
      <c r="A69" s="8" t="s">
        <v>97</v>
      </c>
      <c r="B69" s="27">
        <f>IF(OR(-102057.20005="",-102057.20005=0),"-",-102057.20005)</f>
        <v>-102057.20005</v>
      </c>
      <c r="C69" s="27">
        <f>IF(OR(-116801.33466="",-116801.33466=0),"-",-116801.33466)</f>
        <v>-116801.33466</v>
      </c>
      <c r="D69" s="48">
        <f>IF(OR(-102057.20005="",-116801.33466="",-102057.20005=0,-116801.33466=0),"-",-116801.33466/-102057.20005*100)</f>
        <v>114.4469323112691</v>
      </c>
    </row>
    <row r="70" spans="1:4" ht="15">
      <c r="A70" s="8" t="s">
        <v>98</v>
      </c>
      <c r="B70" s="27">
        <f>IF(OR(-177.08207="",-177.08207=0),"-",-177.08207)</f>
        <v>-177.08207</v>
      </c>
      <c r="C70" s="27">
        <f>IF(OR(11435.03596="",11435.03596=0),"-",11435.03596)</f>
        <v>11435.03596</v>
      </c>
      <c r="D70" s="48" t="s">
        <v>33</v>
      </c>
    </row>
    <row r="71" spans="1:4" ht="15">
      <c r="A71" s="9" t="s">
        <v>99</v>
      </c>
      <c r="B71" s="26">
        <f>IF(63651.22362="","-",63651.22362)</f>
        <v>63651.22362</v>
      </c>
      <c r="C71" s="26">
        <f>IF(19877.84403="","-",19877.84403)</f>
        <v>19877.84403</v>
      </c>
      <c r="D71" s="47">
        <f>IF(63651.22362="","-",19877.84403/63651.22362*100)</f>
        <v>31.229319562922175</v>
      </c>
    </row>
    <row r="72" spans="1:4" ht="26.25">
      <c r="A72" s="8" t="s">
        <v>100</v>
      </c>
      <c r="B72" s="27">
        <f>IF(OR(-13672.16657="",-13672.16657=0),"-",-13672.16657)</f>
        <v>-13672.16657</v>
      </c>
      <c r="C72" s="27">
        <f>IF(OR(-13593.47833="",-13593.47833=0),"-",-13593.47833)</f>
        <v>-13593.47833</v>
      </c>
      <c r="D72" s="48">
        <f>IF(OR(-13672.16657="",-13593.47833="",-13672.16657=0,-13593.47833=0),"-",-13593.47833/-13672.16657*100)</f>
        <v>99.42446400431764</v>
      </c>
    </row>
    <row r="73" spans="1:4" ht="15">
      <c r="A73" s="8" t="s">
        <v>101</v>
      </c>
      <c r="B73" s="27">
        <f>IF(OR(46313.53289="",46313.53289=0),"-",46313.53289)</f>
        <v>46313.53289</v>
      </c>
      <c r="C73" s="27">
        <f>IF(OR(45862.24205="",45862.24205=0),"-",45862.24205)</f>
        <v>45862.24205</v>
      </c>
      <c r="D73" s="48">
        <f>IF(OR(46313.53289="",45862.24205="",46313.53289=0,45862.24205=0),"-",45862.24205/46313.53289*100)</f>
        <v>99.02557457434338</v>
      </c>
    </row>
    <row r="74" spans="1:4" ht="15">
      <c r="A74" s="8" t="s">
        <v>102</v>
      </c>
      <c r="B74" s="27">
        <f>IF(OR(6176.54496="",6176.54496=0),"-",6176.54496)</f>
        <v>6176.54496</v>
      </c>
      <c r="C74" s="27">
        <f>IF(OR(-2601.80395="",-2601.80395=0),"-",-2601.80395)</f>
        <v>-2601.80395</v>
      </c>
      <c r="D74" s="48" t="s">
        <v>33</v>
      </c>
    </row>
    <row r="75" spans="1:4" ht="15">
      <c r="A75" s="8" t="s">
        <v>103</v>
      </c>
      <c r="B75" s="27">
        <f>IF(OR(89727.87777="",89727.87777=0),"-",89727.87777)</f>
        <v>89727.87777</v>
      </c>
      <c r="C75" s="27">
        <f>IF(OR(82962.40652="",82962.40652=0),"-",82962.40652)</f>
        <v>82962.40652</v>
      </c>
      <c r="D75" s="48">
        <f>IF(OR(89727.87777="",82962.40652="",89727.87777=0,82962.40652=0),"-",82962.40652/89727.87777*100)</f>
        <v>92.460011962679</v>
      </c>
    </row>
    <row r="76" spans="1:4" ht="15">
      <c r="A76" s="8" t="s">
        <v>104</v>
      </c>
      <c r="B76" s="27">
        <f>IF(OR(5244.25703="",5244.25703=0),"-",5244.25703)</f>
        <v>5244.25703</v>
      </c>
      <c r="C76" s="27">
        <f>IF(OR(-3647.1112="",-3647.1112=0),"-",-3647.1112)</f>
        <v>-3647.1112</v>
      </c>
      <c r="D76" s="48" t="s">
        <v>33</v>
      </c>
    </row>
    <row r="77" spans="1:4" ht="15">
      <c r="A77" s="8" t="s">
        <v>105</v>
      </c>
      <c r="B77" s="27">
        <f>IF(OR(-6805.79729="",-6805.79729=0),"-",-6805.79729)</f>
        <v>-6805.79729</v>
      </c>
      <c r="C77" s="27">
        <f>IF(OR(-11373.35851="",-11373.35851=0),"-",-11373.35851)</f>
        <v>-11373.35851</v>
      </c>
      <c r="D77" s="48" t="s">
        <v>214</v>
      </c>
    </row>
    <row r="78" spans="1:4" ht="26.25">
      <c r="A78" s="8" t="s">
        <v>106</v>
      </c>
      <c r="B78" s="27">
        <f>IF(OR(-2951.82556="",-2951.82556=0),"-",-2951.82556)</f>
        <v>-2951.82556</v>
      </c>
      <c r="C78" s="27">
        <f>IF(OR(-4272.01933="",-4272.01933=0),"-",-4272.01933)</f>
        <v>-4272.01933</v>
      </c>
      <c r="D78" s="48">
        <f>IF(OR(-2951.82556="",-4272.01933="",-2951.82556=0,-4272.01933=0),"-",-4272.01933/-2951.82556*100)</f>
        <v>144.72465405442182</v>
      </c>
    </row>
    <row r="79" spans="1:4" ht="15">
      <c r="A79" s="11" t="s">
        <v>107</v>
      </c>
      <c r="B79" s="27">
        <f>IF(OR(-60381.19961="",-60381.19961=0),"-",-60381.19961)</f>
        <v>-60381.19961</v>
      </c>
      <c r="C79" s="27">
        <f>IF(OR(-73459.03322="",-73459.03322=0),"-",-73459.03322)</f>
        <v>-73459.03322</v>
      </c>
      <c r="D79" s="48">
        <f>IF(OR(-60381.19961="",-73459.03322="",-60381.19961=0,-73459.03322=0),"-",-73459.03322/-60381.19961*100)</f>
        <v>121.65878401633165</v>
      </c>
    </row>
    <row r="80" spans="1:4" ht="15">
      <c r="A80" s="84" t="s">
        <v>27</v>
      </c>
      <c r="B80" s="84"/>
      <c r="C80" s="84"/>
      <c r="D80" s="84"/>
    </row>
    <row r="81" spans="2:4" ht="15">
      <c r="B81" s="21"/>
      <c r="C81" s="21"/>
      <c r="D81" s="22"/>
    </row>
    <row r="82" spans="2:4" ht="15">
      <c r="B82" s="21"/>
      <c r="C82" s="21"/>
      <c r="D82" s="22"/>
    </row>
    <row r="83" spans="2:4" ht="15">
      <c r="B83" s="21"/>
      <c r="C83" s="21"/>
      <c r="D83" s="22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2017-09-06T10:38:16Z</cp:lastPrinted>
  <dcterms:created xsi:type="dcterms:W3CDTF">2016-09-01T07:59:47Z</dcterms:created>
  <dcterms:modified xsi:type="dcterms:W3CDTF">2017-09-07T06:02:02Z</dcterms:modified>
  <cp:category/>
  <cp:version/>
  <cp:contentType/>
  <cp:contentStatus/>
</cp:coreProperties>
</file>