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888" tabRatio="746" activeTab="0"/>
  </bookViews>
  <sheets>
    <sheet name="Export_Tari" sheetId="1" r:id="rId1"/>
    <sheet name="Import_Tari" sheetId="2" r:id="rId2"/>
    <sheet name="Balanta Comerciala_Tari" sheetId="3" r:id="rId3"/>
    <sheet name="Export_Grupe_Marfuri_CSCI" sheetId="4" r:id="rId4"/>
    <sheet name="Import_Grupe_Marfuri_CSCI" sheetId="5" r:id="rId5"/>
    <sheet name="Balanta_Comerciala_Gr_Marf_CSCI" sheetId="6" r:id="rId6"/>
  </sheets>
  <definedNames>
    <definedName name="_xlnm.Print_Titles" localSheetId="2">'Balanta Comerciala_Tari'!$3:$4</definedName>
    <definedName name="_xlnm.Print_Titles" localSheetId="5">'Balanta_Comerciala_Gr_Marf_CSCI'!$4:$5</definedName>
    <definedName name="_xlnm.Print_Titles" localSheetId="3">'Export_Grupe_Marfuri_CSCI'!$4:$6</definedName>
    <definedName name="_xlnm.Print_Titles" localSheetId="0">'Export_Tari'!$3:$5</definedName>
    <definedName name="_xlnm.Print_Titles" localSheetId="4">'Import_Grupe_Marfuri_CSCI'!$4:$6</definedName>
    <definedName name="_xlnm.Print_Titles" localSheetId="1">'Import_Tari'!$3:$5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<sst xmlns="http://schemas.openxmlformats.org/spreadsheetml/2006/main" count="673" uniqueCount="261">
  <si>
    <t>Structura, %</t>
  </si>
  <si>
    <t>Gradul de influenţă a ţărilor, grupelor de ţări  la creşterea (+),  scăderea (-) exporturilor, %</t>
  </si>
  <si>
    <t>2016¹</t>
  </si>
  <si>
    <t xml:space="preserve">      din care:</t>
  </si>
  <si>
    <t>Ţările Uniunii Europene (UE-28)</t>
  </si>
  <si>
    <t>România</t>
  </si>
  <si>
    <t>Italia</t>
  </si>
  <si>
    <t>Germania</t>
  </si>
  <si>
    <t>Polonia</t>
  </si>
  <si>
    <t>Bulgaria</t>
  </si>
  <si>
    <t>Republica Cehă</t>
  </si>
  <si>
    <t>Austria</t>
  </si>
  <si>
    <t>Grecia</t>
  </si>
  <si>
    <t>Olanda</t>
  </si>
  <si>
    <t>Ţările CSI</t>
  </si>
  <si>
    <t>Federaţia Rusă</t>
  </si>
  <si>
    <t>Belarus</t>
  </si>
  <si>
    <t>Ucraina</t>
  </si>
  <si>
    <t>Kazahstan</t>
  </si>
  <si>
    <t>Azerbaidjan</t>
  </si>
  <si>
    <t>Uzbekistan</t>
  </si>
  <si>
    <t>Kîrgîzstan</t>
  </si>
  <si>
    <t>Turkmenistan</t>
  </si>
  <si>
    <t>Armenia</t>
  </si>
  <si>
    <t>Tadjikistan</t>
  </si>
  <si>
    <t>Celelalte ţări ale lumii</t>
  </si>
  <si>
    <t>Statele Unite ale Americii</t>
  </si>
  <si>
    <t>de 2,3 ori</t>
  </si>
  <si>
    <t>de 2,7 ori</t>
  </si>
  <si>
    <t>de 2,0 ori</t>
  </si>
  <si>
    <t>¹ În preţuri curente</t>
  </si>
  <si>
    <t>Anexa 1. Exporturile structurate pe principalele ţări de destinaţie a mărfurilor şi grupe de ţări</t>
  </si>
  <si>
    <t xml:space="preserve">IMPORT – total      </t>
  </si>
  <si>
    <t>Anexa 2. Importurile structurate pe principalele ţări de origine a mărfurilor şi grupe de ţări</t>
  </si>
  <si>
    <t xml:space="preserve">EXPORT – total      </t>
  </si>
  <si>
    <t xml:space="preserve">  din care:</t>
  </si>
  <si>
    <t>x</t>
  </si>
  <si>
    <t>Anexa 3. Balanţa comercială structurată pe principalele ţări şi grupe de ţări</t>
  </si>
  <si>
    <t>de 3,2 ori</t>
  </si>
  <si>
    <t>conform Clasificării Standard de Comerţ Internaţional</t>
  </si>
  <si>
    <t>Produse alimentare şi animale vii</t>
  </si>
  <si>
    <t>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</si>
  <si>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</si>
  <si>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</si>
  <si>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</si>
  <si>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</si>
  <si>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</si>
  <si>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Zahăr, preparate pe bază de zahăr; miere</t>
  </si>
  <si>
    <t>Cafea, ceai, cacao, condimente şi înlocuitori ai acestora</t>
  </si>
  <si>
    <t>Hrană destinată animalelor (exclusiv cereale nemăcinate)</t>
  </si>
  <si>
    <t>Produse şi preparate alimentare diverse</t>
  </si>
  <si>
    <t>Băuturi şi tutun</t>
  </si>
  <si>
    <t>Băuturi (alcoolice şi nealcoolice)</t>
  </si>
  <si>
    <t>Tutun brut şi prelucrat</t>
  </si>
  <si>
    <t>Materiale brute necomestibile, exclusiv combustibili</t>
  </si>
  <si>
    <t>Piei crude, piei tăbăcite şi blănuri brute</t>
  </si>
  <si>
    <t>Seminţe şi fructe oleaginoase</t>
  </si>
  <si>
    <t>Cauciuc brut (inclusiv cauciuc sintetic şi regenerat)</t>
  </si>
  <si>
    <t>Lemn şi plută</t>
  </si>
  <si>
    <t>Pastă de hîrtie şi deşeuri de hîrtie</t>
  </si>
  <si>
    <t>Fibre textile (cu excepţia lînii în fuior şi a lînii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</si>
  <si>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</si>
  <si>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</si>
  <si>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</si>
  <si>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</si>
  <si>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Cărbune, cocs şi brichete</t>
  </si>
  <si>
    <t>Petrol, produse petroliere şi produse înrudite</t>
  </si>
  <si>
    <t>Gaz şi produse industriale obţinute din gaz</t>
  </si>
  <si>
    <t>Energie electrică</t>
  </si>
  <si>
    <t>Uleiuri, grăsimi şi ceruri de origine animală sau vegetală</t>
  </si>
  <si>
    <t>Uleiuri şi grăsimi de origine animală</t>
  </si>
  <si>
    <t>Grăsimi şi uleiuri vegetale fixate, brute, rafinate sau fracţionate</t>
  </si>
  <si>
    <t>Alte uleiuri şi grăsimi animale sau vegetale prelucrate; ceară de origine animală sau vegetală</t>
  </si>
  <si>
    <t>Produse chimice şi produse derivate nespecificate în altă parte</t>
  </si>
  <si>
    <t>Produse chimice organice</t>
  </si>
  <si>
    <t>Produse chimice anorganice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</si>
  <si>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</si>
  <si>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</si>
  <si>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</si>
  <si>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</si>
  <si>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Materiale plastice sub forme primare</t>
  </si>
  <si>
    <t>Materiale plastice prelucrate</t>
  </si>
  <si>
    <t>Alte materiale şi produse chimice</t>
  </si>
  <si>
    <t>Mărfuri manufacturate, clasificate mai ales după materia primă</t>
  </si>
  <si>
    <t>Piele, altă piele şi blană prelucrate</t>
  </si>
  <si>
    <t>Cauciuc prelucrat</t>
  </si>
  <si>
    <t>Articole din lemn (exclusiv mobilă)</t>
  </si>
  <si>
    <t>Hîrtie, carton şi articole din pastă de celuloză, din hîrtie sau din carton</t>
  </si>
  <si>
    <t>Fire, ţesături, articole textile necuprinse în altă parte şi produse conexe</t>
  </si>
  <si>
    <t>Articole din minerale nemetalice</t>
  </si>
  <si>
    <t>Fier şi oţel</t>
  </si>
  <si>
    <t>Metale neferoase</t>
  </si>
  <si>
    <t>Articole prelucrate din metal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</si>
  <si>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</si>
  <si>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</si>
  <si>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</si>
  <si>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</si>
  <si>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</si>
  <si>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</si>
  <si>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</si>
  <si>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</si>
  <si>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</si>
  <si>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Alte echipamente de transport</t>
  </si>
  <si>
    <t>Articole manufacturate diverse</t>
  </si>
  <si>
    <t>Construcţii prefabricate; alte instalaţii şi accesorii pentru instalaţii sanitare, de încălzire şi de iluminat</t>
  </si>
  <si>
    <t>Mobilă şi părţile ei</t>
  </si>
  <si>
    <t>Articole de voiaj; sacoşe şi similare</t>
  </si>
  <si>
    <t>Îmbrăcăminte şi accesorii</t>
  </si>
  <si>
    <t>Încălţăminte</t>
  </si>
  <si>
    <t>Instrumente şi aparate, profesionale, ştiinţifice şi de control</t>
  </si>
  <si>
    <t>Aparate fotografice, echipamente şi furnituri de optică; ceasuri şi orologii</t>
  </si>
  <si>
    <t>Alte articole diverse</t>
  </si>
  <si>
    <t xml:space="preserve">       din care:</t>
  </si>
  <si>
    <t>Instrumente şi aparate profesionale, ştiinţifice şi de control</t>
  </si>
  <si>
    <t xml:space="preserve">    din care:</t>
  </si>
  <si>
    <t xml:space="preserve">Grăsimi şi uleiuri vegetale fixate, brute, rafinate sau fracţionate </t>
  </si>
  <si>
    <t>Alte uleiuri si grasimi animale sau vegetale prelucrate</t>
  </si>
  <si>
    <t>Maşini generatoare de putere şi echipamentele lor</t>
  </si>
  <si>
    <t>Coreea de Sud</t>
  </si>
  <si>
    <t xml:space="preserve">Anexa 4. Exporturile structurate pe grupe de mărfuri, </t>
  </si>
  <si>
    <t xml:space="preserve">Anexa 5. Importurile structurate pe grupe de mărfuri, </t>
  </si>
  <si>
    <r>
      <t xml:space="preserve"> </t>
    </r>
    <r>
      <rPr>
        <b/>
        <sz val="9"/>
        <color indexed="8"/>
        <rFont val="Times New Roman"/>
        <family val="1"/>
      </rPr>
      <t>¹ În preţuri curente</t>
    </r>
  </si>
  <si>
    <t xml:space="preserve">Anexa 6. Balanţa comercială structurată pe grupe de mărfuri, </t>
  </si>
  <si>
    <t>Arabia Saudită</t>
  </si>
  <si>
    <t>Regatul Unit al Marii Britanii şi Irlandei de Nord</t>
  </si>
  <si>
    <t>Hong Kong, RAS a Chinei</t>
  </si>
  <si>
    <t>Africa de Sud</t>
  </si>
  <si>
    <t>de 2,4 ori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</si>
  <si>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</si>
  <si>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</si>
  <si>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</si>
  <si>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</si>
  <si>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</si>
  <si>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</si>
  <si>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</si>
  <si>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</si>
  <si>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</si>
  <si>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</si>
  <si>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</si>
  <si>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</si>
  <si>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</si>
  <si>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</si>
  <si>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</si>
  <si>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</si>
  <si>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</si>
  <si>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</si>
  <si>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</si>
  <si>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</si>
  <si>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</si>
  <si>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</si>
  <si>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</si>
  <si>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Siria</t>
  </si>
  <si>
    <t>Egipt</t>
  </si>
  <si>
    <t>Myanmar</t>
  </si>
  <si>
    <t>Macedonia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</si>
  <si>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</si>
  <si>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</si>
  <si>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</si>
  <si>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</si>
  <si>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</si>
  <si>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</si>
  <si>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</si>
  <si>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</si>
  <si>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</si>
  <si>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</si>
  <si>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</si>
  <si>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</si>
  <si>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</si>
  <si>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</si>
  <si>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Cote D'Ivoire</t>
  </si>
  <si>
    <t>Cambodjia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</si>
  <si>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</si>
  <si>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</si>
  <si>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</si>
  <si>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</si>
  <si>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</si>
  <si>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</si>
  <si>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</si>
  <si>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</si>
  <si>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</si>
  <si>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</si>
  <si>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</si>
  <si>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Sri Lanka</t>
  </si>
  <si>
    <t>ins.Faroe</t>
  </si>
  <si>
    <t>Uruguay</t>
  </si>
  <si>
    <t>Tunisia</t>
  </si>
  <si>
    <t>Columbia</t>
  </si>
  <si>
    <t>Australia</t>
  </si>
  <si>
    <t>Noua Zeelandă</t>
  </si>
  <si>
    <t>de 3,3 ori</t>
  </si>
  <si>
    <t>de 2,1 ori</t>
  </si>
  <si>
    <t>de 2,8 ori</t>
  </si>
  <si>
    <t>de 3,9 ori</t>
  </si>
  <si>
    <t>de 4,2 ori</t>
  </si>
  <si>
    <t>2017¹</t>
  </si>
  <si>
    <t>Algeria</t>
  </si>
  <si>
    <t>Mongolia</t>
  </si>
  <si>
    <t>de 7,0 ori</t>
  </si>
  <si>
    <t>de 2,5 ori</t>
  </si>
  <si>
    <t>Noua Zeelanda</t>
  </si>
  <si>
    <t>Madagascar</t>
  </si>
  <si>
    <t>Peru</t>
  </si>
  <si>
    <t>Kenya</t>
  </si>
  <si>
    <t>de 2,2 ori</t>
  </si>
  <si>
    <t>Elvetia</t>
  </si>
  <si>
    <t>de 3,4 ori</t>
  </si>
  <si>
    <t>mii dolari        SUA</t>
  </si>
  <si>
    <t>mii dolari         SUA</t>
  </si>
  <si>
    <t>EXPORT - total</t>
  </si>
  <si>
    <t xml:space="preserve">IMPORT - total </t>
  </si>
  <si>
    <t>de 4,0 ori</t>
  </si>
  <si>
    <t>de 2,6 ori</t>
  </si>
  <si>
    <t>BALANŢA COMERCIALĂ – total, mii dolari SUA</t>
  </si>
  <si>
    <t>Ianuarie-martie 2017</t>
  </si>
  <si>
    <t>în % faţă de ianuarie-martie 2016¹</t>
  </si>
  <si>
    <t>ianuarie-martie</t>
  </si>
  <si>
    <t>Ianuarie-martie</t>
  </si>
  <si>
    <t>Ianuarie-martie 2017 în % faţă de              ianuarie-martie 2016</t>
  </si>
  <si>
    <t>Croatia</t>
  </si>
  <si>
    <t>Franța</t>
  </si>
  <si>
    <t>Croația</t>
  </si>
  <si>
    <t>San Marino</t>
  </si>
  <si>
    <t>Arabia Saudita</t>
  </si>
  <si>
    <t>Bosnia si Hertegovina</t>
  </si>
  <si>
    <t>Oman</t>
  </si>
  <si>
    <t>Rep.Yemen</t>
  </si>
  <si>
    <t>Ghana</t>
  </si>
  <si>
    <t>Elveția</t>
  </si>
  <si>
    <t>Bosnia și Herțegovina</t>
  </si>
  <si>
    <t>de 53,1 ori</t>
  </si>
  <si>
    <t>de 10,3 ori</t>
  </si>
  <si>
    <t>de 14,4 ori</t>
  </si>
  <si>
    <t>de 3,7 ori</t>
  </si>
  <si>
    <t>de 3,1 ori</t>
  </si>
  <si>
    <t>de 4,9 ori</t>
  </si>
  <si>
    <t>Regatul Unit al Marii Britanii și Irlandei de Nord</t>
  </si>
  <si>
    <t>Federația Rusă</t>
  </si>
  <si>
    <t>Albania</t>
  </si>
  <si>
    <t>de 10,4 ori</t>
  </si>
  <si>
    <t>de 16,0 ori</t>
  </si>
  <si>
    <t>de 6,5 ori</t>
  </si>
  <si>
    <t>de 160,8 ori</t>
  </si>
  <si>
    <t>de 8,3 ori</t>
  </si>
  <si>
    <t>de 3,0 ori</t>
  </si>
  <si>
    <t>de 3,5 ori</t>
  </si>
  <si>
    <t>de 59,5 ori</t>
  </si>
  <si>
    <t>de 5,8 ori</t>
  </si>
  <si>
    <t>de 6,6 ori</t>
  </si>
  <si>
    <t>de 11,5 ori</t>
  </si>
  <si>
    <t>de 6,8 ori</t>
  </si>
  <si>
    <t>de 13,0 ori</t>
  </si>
  <si>
    <t>de 7,8 ori</t>
  </si>
  <si>
    <t>de 1,8 ori</t>
  </si>
  <si>
    <t>de 1,7 ori</t>
  </si>
  <si>
    <t>de 1,6 ori</t>
  </si>
  <si>
    <t>de 1,9 ori</t>
  </si>
  <si>
    <t>mii dolari            SUA</t>
  </si>
  <si>
    <t>Gradul de influenţă a grupelor de mărfuri  la creşterea (+),  scăderea (-) exporturilor, %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</si>
  <si>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</si>
  <si>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</si>
  <si>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de 1, 6 ori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</si>
</sst>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51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2"/>
    </font>
    <font>
      <sz val="10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3" fillId="0" borderId="0" xfId="0" applyFont="1" applyAlignment="1">
      <alignment horizontal="justify"/>
    </xf>
    <xf numFmtId="0" fontId="9" fillId="0" borderId="0" xfId="0" applyFont="1" applyBorder="1" applyAlignment="1">
      <alignment vertical="top" wrapText="1"/>
    </xf>
    <xf numFmtId="165" fontId="14" fillId="0" borderId="0" xfId="0" applyNumberFormat="1" applyFont="1" applyFill="1" applyAlignment="1" applyProtection="1">
      <alignment horizontal="right"/>
      <protection/>
    </xf>
    <xf numFmtId="165" fontId="11" fillId="0" borderId="0" xfId="0" applyNumberFormat="1" applyFont="1" applyFill="1" applyAlignment="1" applyProtection="1">
      <alignment horizontal="right"/>
      <protection/>
    </xf>
    <xf numFmtId="0" fontId="11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6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 indent="3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14" fillId="0" borderId="0" xfId="0" applyNumberFormat="1" applyFont="1" applyFill="1" applyAlignment="1" applyProtection="1">
      <alignment horizontal="right"/>
      <protection/>
    </xf>
    <xf numFmtId="164" fontId="14" fillId="0" borderId="0" xfId="0" applyNumberFormat="1" applyFont="1" applyFill="1" applyAlignment="1" applyProtection="1">
      <alignment horizontal="right"/>
      <protection/>
    </xf>
    <xf numFmtId="4" fontId="11" fillId="0" borderId="0" xfId="0" applyNumberFormat="1" applyFont="1" applyFill="1" applyAlignment="1" applyProtection="1">
      <alignment horizontal="right"/>
      <protection/>
    </xf>
    <xf numFmtId="164" fontId="11" fillId="0" borderId="0" xfId="0" applyNumberFormat="1" applyFont="1" applyFill="1" applyAlignment="1" applyProtection="1">
      <alignment horizontal="right"/>
      <protection/>
    </xf>
    <xf numFmtId="0" fontId="9" fillId="0" borderId="0" xfId="0" applyFont="1" applyBorder="1" applyAlignment="1">
      <alignment vertical="top" wrapText="1"/>
    </xf>
    <xf numFmtId="0" fontId="4" fillId="0" borderId="0" xfId="0" applyFont="1" applyAlignment="1">
      <alignment horizontal="right" vertical="top" wrapText="1" indent="2"/>
    </xf>
    <xf numFmtId="4" fontId="5" fillId="0" borderId="0" xfId="0" applyNumberFormat="1" applyFont="1" applyAlignment="1">
      <alignment horizontal="right" vertical="top" wrapText="1" indent="2"/>
    </xf>
    <xf numFmtId="4" fontId="5" fillId="0" borderId="0" xfId="0" applyNumberFormat="1" applyFont="1" applyAlignment="1">
      <alignment horizontal="right" vertical="top" wrapText="1" indent="2"/>
    </xf>
    <xf numFmtId="38" fontId="11" fillId="0" borderId="0" xfId="0" applyNumberFormat="1" applyFont="1" applyFill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horizontal="right" vertical="top" wrapText="1" indent="1"/>
      <protection/>
    </xf>
    <xf numFmtId="0" fontId="9" fillId="0" borderId="0" xfId="0" applyFont="1" applyBorder="1" applyAlignment="1">
      <alignment vertical="top" wrapText="1"/>
    </xf>
    <xf numFmtId="4" fontId="5" fillId="0" borderId="0" xfId="0" applyNumberFormat="1" applyFont="1" applyAlignment="1">
      <alignment horizontal="right" vertical="top" wrapText="1" indent="3"/>
    </xf>
    <xf numFmtId="4" fontId="5" fillId="0" borderId="0" xfId="0" applyNumberFormat="1" applyFont="1" applyBorder="1" applyAlignment="1">
      <alignment horizontal="right" vertical="top" wrapText="1" indent="3"/>
    </xf>
    <xf numFmtId="38" fontId="11" fillId="0" borderId="10" xfId="0" applyNumberFormat="1" applyFont="1" applyFill="1" applyBorder="1" applyAlignment="1" applyProtection="1">
      <alignment horizontal="left" vertical="top" wrapText="1"/>
      <protection/>
    </xf>
    <xf numFmtId="4" fontId="15" fillId="0" borderId="14" xfId="0" applyNumberFormat="1" applyFont="1" applyFill="1" applyBorder="1" applyAlignment="1" applyProtection="1">
      <alignment horizontal="right" vertical="top" indent="1"/>
      <protection/>
    </xf>
    <xf numFmtId="4" fontId="14" fillId="0" borderId="0" xfId="0" applyNumberFormat="1" applyFont="1" applyFill="1" applyAlignment="1" applyProtection="1">
      <alignment horizontal="right" vertical="top" indent="1"/>
      <protection/>
    </xf>
    <xf numFmtId="4" fontId="11" fillId="0" borderId="0" xfId="0" applyNumberFormat="1" applyFont="1" applyFill="1" applyAlignment="1" applyProtection="1">
      <alignment horizontal="right" vertical="top" indent="1"/>
      <protection/>
    </xf>
    <xf numFmtId="164" fontId="11" fillId="0" borderId="0" xfId="0" applyNumberFormat="1" applyFont="1" applyFill="1" applyAlignment="1" applyProtection="1">
      <alignment horizontal="right" vertical="top" indent="1"/>
      <protection/>
    </xf>
    <xf numFmtId="2" fontId="11" fillId="0" borderId="0" xfId="0" applyNumberFormat="1" applyFont="1" applyFill="1" applyAlignment="1" applyProtection="1">
      <alignment horizontal="right" vertical="top" indent="1"/>
      <protection/>
    </xf>
    <xf numFmtId="2" fontId="14" fillId="0" borderId="0" xfId="0" applyNumberFormat="1" applyFont="1" applyFill="1" applyAlignment="1" applyProtection="1">
      <alignment horizontal="right" vertical="top" indent="1"/>
      <protection/>
    </xf>
    <xf numFmtId="164" fontId="14" fillId="0" borderId="0" xfId="0" applyNumberFormat="1" applyFont="1" applyFill="1" applyAlignment="1" applyProtection="1">
      <alignment horizontal="right" vertical="top" indent="1"/>
      <protection/>
    </xf>
    <xf numFmtId="4" fontId="11" fillId="0" borderId="10" xfId="0" applyNumberFormat="1" applyFont="1" applyFill="1" applyBorder="1" applyAlignment="1" applyProtection="1">
      <alignment horizontal="right" vertical="top" indent="1"/>
      <protection/>
    </xf>
    <xf numFmtId="2" fontId="11" fillId="0" borderId="10" xfId="0" applyNumberFormat="1" applyFont="1" applyFill="1" applyBorder="1" applyAlignment="1" applyProtection="1">
      <alignment horizontal="right" vertical="top" indent="1"/>
      <protection/>
    </xf>
    <xf numFmtId="2" fontId="15" fillId="0" borderId="14" xfId="0" applyNumberFormat="1" applyFont="1" applyFill="1" applyBorder="1" applyAlignment="1" applyProtection="1">
      <alignment horizontal="right" vertical="top" wrapText="1" indent="1"/>
      <protection/>
    </xf>
    <xf numFmtId="2" fontId="14" fillId="0" borderId="0" xfId="0" applyNumberFormat="1" applyFont="1" applyFill="1" applyBorder="1" applyAlignment="1" applyProtection="1">
      <alignment horizontal="right" vertical="top" wrapText="1" indent="1"/>
      <protection/>
    </xf>
    <xf numFmtId="2" fontId="15" fillId="0" borderId="14" xfId="0" applyNumberFormat="1" applyFont="1" applyFill="1" applyBorder="1" applyAlignment="1" applyProtection="1">
      <alignment horizontal="right" vertical="top" indent="1"/>
      <protection/>
    </xf>
    <xf numFmtId="4" fontId="14" fillId="0" borderId="0" xfId="0" applyNumberFormat="1" applyFont="1" applyFill="1" applyBorder="1" applyAlignment="1" applyProtection="1">
      <alignment horizontal="right" vertical="top" indent="1"/>
      <protection/>
    </xf>
    <xf numFmtId="2" fontId="14" fillId="0" borderId="0" xfId="0" applyNumberFormat="1" applyFont="1" applyFill="1" applyBorder="1" applyAlignment="1" applyProtection="1">
      <alignment horizontal="right" vertical="top" indent="1"/>
      <protection/>
    </xf>
    <xf numFmtId="4" fontId="11" fillId="0" borderId="0" xfId="0" applyNumberFormat="1" applyFont="1" applyFill="1" applyBorder="1" applyAlignment="1" applyProtection="1">
      <alignment horizontal="right" vertical="top" indent="1"/>
      <protection/>
    </xf>
    <xf numFmtId="2" fontId="11" fillId="0" borderId="0" xfId="0" applyNumberFormat="1" applyFont="1" applyFill="1" applyBorder="1" applyAlignment="1" applyProtection="1">
      <alignment horizontal="right" vertical="top" indent="1"/>
      <protection/>
    </xf>
    <xf numFmtId="0" fontId="5" fillId="0" borderId="0" xfId="0" applyFont="1" applyAlignment="1">
      <alignment horizontal="left" vertical="top" wrapText="1"/>
    </xf>
    <xf numFmtId="164" fontId="11" fillId="0" borderId="10" xfId="0" applyNumberFormat="1" applyFont="1" applyFill="1" applyBorder="1" applyAlignment="1" applyProtection="1">
      <alignment horizontal="right" vertical="top" indent="1"/>
      <protection/>
    </xf>
    <xf numFmtId="164" fontId="14" fillId="0" borderId="0" xfId="0" applyNumberFormat="1" applyFont="1" applyFill="1" applyBorder="1" applyAlignment="1" applyProtection="1">
      <alignment horizontal="right" vertical="top" indent="1"/>
      <protection/>
    </xf>
    <xf numFmtId="164" fontId="11" fillId="0" borderId="0" xfId="0" applyNumberFormat="1" applyFont="1" applyFill="1" applyBorder="1" applyAlignment="1" applyProtection="1">
      <alignment horizontal="right" vertical="top" indent="1"/>
      <protection/>
    </xf>
    <xf numFmtId="0" fontId="9" fillId="0" borderId="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 2" xfId="61"/>
    <cellStyle name="Обычный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84"/>
  <sheetViews>
    <sheetView tabSelected="1" zoomScalePageLayoutView="0" workbookViewId="0" topLeftCell="A1">
      <selection activeCell="A1" sqref="A1:G1"/>
    </sheetView>
  </sheetViews>
  <sheetFormatPr defaultColWidth="9.00390625" defaultRowHeight="15.75"/>
  <cols>
    <col min="1" max="1" width="27.50390625" style="0" customWidth="1"/>
    <col min="2" max="2" width="11.75390625" style="0" customWidth="1"/>
    <col min="3" max="3" width="11.25390625" style="0" customWidth="1"/>
    <col min="4" max="5" width="9.75390625" style="0" customWidth="1"/>
    <col min="6" max="6" width="10.00390625" style="0" customWidth="1"/>
    <col min="7" max="7" width="9.875" style="0" customWidth="1"/>
  </cols>
  <sheetData>
    <row r="1" spans="1:7" ht="15.75">
      <c r="A1" s="61" t="s">
        <v>31</v>
      </c>
      <c r="B1" s="61"/>
      <c r="C1" s="61"/>
      <c r="D1" s="61"/>
      <c r="E1" s="61"/>
      <c r="F1" s="61"/>
      <c r="G1" s="61"/>
    </row>
    <row r="3" spans="1:7" ht="53.25" customHeight="1">
      <c r="A3" s="62"/>
      <c r="B3" s="65" t="s">
        <v>213</v>
      </c>
      <c r="C3" s="66"/>
      <c r="D3" s="65" t="s">
        <v>0</v>
      </c>
      <c r="E3" s="66"/>
      <c r="F3" s="67" t="s">
        <v>1</v>
      </c>
      <c r="G3" s="68"/>
    </row>
    <row r="4" spans="1:7" ht="23.25" customHeight="1">
      <c r="A4" s="63"/>
      <c r="B4" s="69" t="s">
        <v>206</v>
      </c>
      <c r="C4" s="71" t="s">
        <v>214</v>
      </c>
      <c r="D4" s="73" t="s">
        <v>215</v>
      </c>
      <c r="E4" s="73"/>
      <c r="F4" s="73" t="s">
        <v>215</v>
      </c>
      <c r="G4" s="65"/>
    </row>
    <row r="5" spans="1:7" ht="25.5" customHeight="1">
      <c r="A5" s="64"/>
      <c r="B5" s="70"/>
      <c r="C5" s="72"/>
      <c r="D5" s="23">
        <v>2016</v>
      </c>
      <c r="E5" s="23">
        <v>2017</v>
      </c>
      <c r="F5" s="23" t="s">
        <v>2</v>
      </c>
      <c r="G5" s="24" t="s">
        <v>194</v>
      </c>
    </row>
    <row r="6" spans="1:7" ht="15.75" customHeight="1">
      <c r="A6" s="9" t="s">
        <v>34</v>
      </c>
      <c r="B6" s="40">
        <f>IF(528186.96794="","-",528186.96794)</f>
        <v>528186.96794</v>
      </c>
      <c r="C6" s="40">
        <f>IF(416515.52507="","-",528186.96794/416515.52507*100)</f>
        <v>126.8108716598817</v>
      </c>
      <c r="D6" s="40">
        <v>100</v>
      </c>
      <c r="E6" s="40">
        <v>100</v>
      </c>
      <c r="F6" s="40">
        <f>IF(487807.69987="","-",(416515.52507-487807.69987)/487807.69987*100)</f>
        <v>-14.614811291211534</v>
      </c>
      <c r="G6" s="40">
        <f>IF(416515.52507="","-",(528186.96794-416515.52507)/416515.52507*100)</f>
        <v>26.810871659881684</v>
      </c>
    </row>
    <row r="7" spans="1:7" ht="13.5" customHeight="1">
      <c r="A7" s="10" t="s">
        <v>3</v>
      </c>
      <c r="B7" s="22"/>
      <c r="C7" s="38"/>
      <c r="D7" s="37"/>
      <c r="E7" s="37"/>
      <c r="F7" s="37"/>
      <c r="G7" s="37"/>
    </row>
    <row r="8" spans="1:7" ht="15">
      <c r="A8" s="11" t="s">
        <v>4</v>
      </c>
      <c r="B8" s="41">
        <f>IF(335642.50224="","-",335642.50224)</f>
        <v>335642.50224</v>
      </c>
      <c r="C8" s="41">
        <f>IF(265545.71582="","-",335642.50224/265545.71582*100)</f>
        <v>126.3972575130962</v>
      </c>
      <c r="D8" s="41">
        <f>IF(265545.71582="","-",265545.71582/416515.52507*100)</f>
        <v>63.75409794757881</v>
      </c>
      <c r="E8" s="41">
        <f>IF(335642.50224="","-",335642.50224/528186.96794*100)</f>
        <v>63.54615365635596</v>
      </c>
      <c r="F8" s="41">
        <f>IF(487807.69987="","-",(265545.71582-319617.17678)/487807.69987*100)</f>
        <v>-11.084585375427643</v>
      </c>
      <c r="G8" s="41">
        <f>IF(416515.52507="","-",(335642.50224-265545.71582)/416515.52507*100)</f>
        <v>16.829333410373955</v>
      </c>
    </row>
    <row r="9" spans="1:7" s="20" customFormat="1" ht="15">
      <c r="A9" s="34" t="s">
        <v>5</v>
      </c>
      <c r="B9" s="42">
        <f>IF(128309.25877="","-",128309.25877)</f>
        <v>128309.25877</v>
      </c>
      <c r="C9" s="42">
        <f>IF(OR(99257.81289="",128309.25877=""),"-",128309.25877/99257.81289*100)</f>
        <v>129.26867420723397</v>
      </c>
      <c r="D9" s="42">
        <f>IF(99257.81289="","-",99257.81289/416515.52507*100)</f>
        <v>23.830519372193542</v>
      </c>
      <c r="E9" s="42">
        <f>IF(128309.25877="","-",128309.25877/528186.96794*100)</f>
        <v>24.292393898021245</v>
      </c>
      <c r="F9" s="42">
        <f>IF(OR(487807.69987="",109588.25512="",99257.81289=""),"-",(99257.81289-109588.25512)/487807.69987*100)</f>
        <v>-2.117728406655542</v>
      </c>
      <c r="G9" s="42">
        <f>IF(OR(416515.52507="",128309.25877="",99257.81289=""),"-",(128309.25877-99257.81289)/416515.52507*100)</f>
        <v>6.9748770769391095</v>
      </c>
    </row>
    <row r="10" spans="1:7" s="20" customFormat="1" ht="15">
      <c r="A10" s="34" t="s">
        <v>6</v>
      </c>
      <c r="B10" s="42">
        <f>IF(47994.71118="","-",47994.71118)</f>
        <v>47994.71118</v>
      </c>
      <c r="C10" s="42">
        <f>IF(OR(39966.67673="",47994.71118=""),"-",47994.71118/39966.67673*100)</f>
        <v>120.08682008823104</v>
      </c>
      <c r="D10" s="42">
        <f>IF(39966.67673="","-",39966.67673/416515.52507*100)</f>
        <v>9.59548307912008</v>
      </c>
      <c r="E10" s="42">
        <f>IF(47994.71118="","-",47994.71118/528186.96794*100)</f>
        <v>9.086689769568872</v>
      </c>
      <c r="F10" s="42">
        <f>IF(OR(487807.69987="",54699.68715="",39966.67673=""),"-",(39966.67673-54699.68715)/487807.69987*100)</f>
        <v>-3.020249664760586</v>
      </c>
      <c r="G10" s="42">
        <f>IF(OR(416515.52507="",47994.71118="",39966.67673=""),"-",(47994.71118-39966.67673)/416515.52507*100)</f>
        <v>1.927427422699502</v>
      </c>
    </row>
    <row r="11" spans="1:7" s="20" customFormat="1" ht="15">
      <c r="A11" s="34" t="s">
        <v>7</v>
      </c>
      <c r="B11" s="42">
        <f>IF(36444.30763="","-",36444.30763)</f>
        <v>36444.30763</v>
      </c>
      <c r="C11" s="42">
        <f>IF(OR(28725.24007="",36444.30763=""),"-",36444.30763/28725.24007*100)</f>
        <v>126.87207327489536</v>
      </c>
      <c r="D11" s="42">
        <f>IF(28725.24007="","-",28725.24007/416515.52507*100)</f>
        <v>6.896559273552266</v>
      </c>
      <c r="E11" s="42">
        <f>IF(36444.30763="","-",36444.30763/528186.96794*100)</f>
        <v>6.899887699262572</v>
      </c>
      <c r="F11" s="42">
        <f>IF(OR(487807.69987="",30432.81371="",28725.24007=""),"-",(28725.24007-30432.81371)/487807.69987*100)</f>
        <v>-0.3500505712507335</v>
      </c>
      <c r="G11" s="42">
        <f>IF(OR(416515.52507="",36444.30763="",28725.24007=""),"-",(36444.30763-28725.24007)/416515.52507*100)</f>
        <v>1.8532484614355562</v>
      </c>
    </row>
    <row r="12" spans="1:7" s="20" customFormat="1" ht="24.75" customHeight="1">
      <c r="A12" s="34" t="s">
        <v>124</v>
      </c>
      <c r="B12" s="42">
        <f>IF(31788.7164="","-",31788.7164)</f>
        <v>31788.7164</v>
      </c>
      <c r="C12" s="42">
        <f>IF(OR(26686.90116="",31788.7164=""),"-",31788.7164/26686.90116*100)</f>
        <v>119.11730106621341</v>
      </c>
      <c r="D12" s="42">
        <f>IF(26686.90116="","-",26686.90116/416515.52507*100)</f>
        <v>6.407180417948401</v>
      </c>
      <c r="E12" s="42">
        <f>IF(31788.7164="","-",31788.7164/528186.96794*100)</f>
        <v>6.018459055129712</v>
      </c>
      <c r="F12" s="42">
        <f>IF(OR(487807.69987="",39617.33337="",26686.90116=""),"-",(26686.90116-39617.33337)/487807.69987*100)</f>
        <v>-2.650723269322304</v>
      </c>
      <c r="G12" s="42">
        <f>IF(OR(416515.52507="",31788.7164="",26686.90116=""),"-",(31788.7164-26686.90116)/416515.52507*100)</f>
        <v>1.2248799703546667</v>
      </c>
    </row>
    <row r="13" spans="1:7" s="20" customFormat="1" ht="15">
      <c r="A13" s="34" t="s">
        <v>9</v>
      </c>
      <c r="B13" s="42">
        <f>IF(17711.22604="","-",17711.22604)</f>
        <v>17711.22604</v>
      </c>
      <c r="C13" s="42" t="s">
        <v>252</v>
      </c>
      <c r="D13" s="42">
        <f>IF(9792.55919="","-",9792.55919/416515.52507*100)</f>
        <v>2.35106703125994</v>
      </c>
      <c r="E13" s="42">
        <f>IF(17711.22604="","-",17711.22604/528186.96794*100)</f>
        <v>3.3532114790859304</v>
      </c>
      <c r="F13" s="42">
        <f>IF(OR(487807.69987="",6567.14169="",9792.55919=""),"-",(9792.55919-6567.14169)/487807.69987*100)</f>
        <v>0.6612067625950899</v>
      </c>
      <c r="G13" s="42">
        <f>IF(OR(416515.52507="",17711.22604="",9792.55919=""),"-",(17711.22604-9792.55919)/416515.52507*100)</f>
        <v>1.901169673968139</v>
      </c>
    </row>
    <row r="14" spans="1:7" s="20" customFormat="1" ht="15">
      <c r="A14" s="34" t="s">
        <v>8</v>
      </c>
      <c r="B14" s="42">
        <f>IF(17178.68627="","-",17178.68627)</f>
        <v>17178.68627</v>
      </c>
      <c r="C14" s="42">
        <f>IF(OR(15444.73409="",17178.68627=""),"-",17178.68627/15444.73409*100)</f>
        <v>111.22681795553011</v>
      </c>
      <c r="D14" s="42">
        <f>IF(15444.73409="","-",15444.73409/416515.52507*100)</f>
        <v>3.7080812503698017</v>
      </c>
      <c r="E14" s="42">
        <f>IF(17178.68627="","-",17178.68627/528186.96794*100)</f>
        <v>3.252387376575984</v>
      </c>
      <c r="F14" s="42">
        <f>IF(OR(487807.69987="",13580.85651="",15444.73409=""),"-",(15444.73409-13580.85651)/487807.69987*100)</f>
        <v>0.3820926935955953</v>
      </c>
      <c r="G14" s="42">
        <f>IF(OR(416515.52507="",17178.68627="",15444.73409=""),"-",(17178.68627-15444.73409)/416515.52507*100)</f>
        <v>0.41629953162216193</v>
      </c>
    </row>
    <row r="15" spans="1:7" s="20" customFormat="1" ht="15">
      <c r="A15" s="34" t="s">
        <v>219</v>
      </c>
      <c r="B15" s="42">
        <f>IF(11015.03484="","-",11015.03484)</f>
        <v>11015.03484</v>
      </c>
      <c r="C15" s="42">
        <f>IF(OR(12579.96854="",11015.03484=""),"-",11015.03484/12579.96854*100)</f>
        <v>87.5601143593957</v>
      </c>
      <c r="D15" s="42">
        <f>IF(12579.96854="","-",12579.96854/416515.52507*100)</f>
        <v>3.0202880283720033</v>
      </c>
      <c r="E15" s="42">
        <f>IF(11015.03484="","-",11015.03484/528186.96794*100)</f>
        <v>2.0854423733626204</v>
      </c>
      <c r="F15" s="42">
        <f>IF(OR(487807.69987="",16337.29573="",12579.96854=""),"-",(12579.96854-16337.29573)/487807.69987*100)</f>
        <v>-0.7702476182727992</v>
      </c>
      <c r="G15" s="42">
        <f>IF(OR(416515.52507="",11015.03484="",12579.96854=""),"-",(11015.03484-12579.96854)/416515.52507*100)</f>
        <v>-0.37572037674633985</v>
      </c>
    </row>
    <row r="16" spans="1:7" s="20" customFormat="1" ht="15">
      <c r="A16" s="34" t="s">
        <v>11</v>
      </c>
      <c r="B16" s="42">
        <f>IF(7540.28145="","-",7540.28145)</f>
        <v>7540.28145</v>
      </c>
      <c r="C16" s="42">
        <f>IF(OR(5448.55195="",7540.28145=""),"-",7540.28145/5448.55195*100)</f>
        <v>138.3905580637806</v>
      </c>
      <c r="D16" s="42">
        <f>IF(5448.55195="","-",5448.55195/416515.52507*100)</f>
        <v>1.3081269777601474</v>
      </c>
      <c r="E16" s="42">
        <f>IF(7540.28145="","-",7540.28145/528186.96794*100)</f>
        <v>1.4275780940616747</v>
      </c>
      <c r="F16" s="42">
        <f>IF(OR(487807.69987="",4720.45787="",5448.55195=""),"-",(5448.55195-4720.45787)/487807.69987*100)</f>
        <v>0.14925842297980038</v>
      </c>
      <c r="G16" s="42">
        <f>IF(OR(416515.52507="",7540.28145="",5448.55195=""),"-",(7540.28145-5448.55195)/416515.52507*100)</f>
        <v>0.5021972469449878</v>
      </c>
    </row>
    <row r="17" spans="1:7" s="20" customFormat="1" ht="15">
      <c r="A17" s="34" t="s">
        <v>10</v>
      </c>
      <c r="B17" s="42">
        <f>IF(6896.83528="","-",6896.83528)</f>
        <v>6896.83528</v>
      </c>
      <c r="C17" s="42">
        <f>IF(OR(7363.75506="",6896.83528=""),"-",6896.83528/7363.75506*100)</f>
        <v>93.65921630750168</v>
      </c>
      <c r="D17" s="42">
        <f>IF(7363.75506="","-",7363.75506/416515.52507*100)</f>
        <v>1.7679425175718098</v>
      </c>
      <c r="E17" s="42">
        <f>IF(6896.83528="","-",6896.83528/528186.96794*100)</f>
        <v>1.3057564269142388</v>
      </c>
      <c r="F17" s="42">
        <f>IF(OR(487807.69987="",7577.40178="",7363.75506=""),"-",(7363.75506-7577.40178)/487807.69987*100)</f>
        <v>-0.04379732424415118</v>
      </c>
      <c r="G17" s="42">
        <f>IF(OR(416515.52507="",6896.83528="",7363.75506=""),"-",(6896.83528-7363.75506)/416515.52507*100)</f>
        <v>-0.11210141084693763</v>
      </c>
    </row>
    <row r="18" spans="1:7" s="20" customFormat="1" ht="15">
      <c r="A18" s="34" t="s">
        <v>13</v>
      </c>
      <c r="B18" s="42">
        <f>IF(6316.39101="","-",6316.39101)</f>
        <v>6316.39101</v>
      </c>
      <c r="C18" s="42">
        <f>IF(OR(4808.97602="",6316.39101=""),"-",6316.39101/4808.97602*100)</f>
        <v>131.3458620656628</v>
      </c>
      <c r="D18" s="42">
        <f>IF(4808.97602="","-",4808.97602/416515.52507*100)</f>
        <v>1.154573054435798</v>
      </c>
      <c r="E18" s="42">
        <f>IF(6316.39101="","-",6316.39101/528186.96794*100)</f>
        <v>1.1958627140375635</v>
      </c>
      <c r="F18" s="42">
        <f>IF(OR(487807.69987="",8827.29465="",4808.97602=""),"-",(4808.97602-8827.29465)/487807.69987*100)</f>
        <v>-0.8237505539725748</v>
      </c>
      <c r="G18" s="42">
        <f>IF(OR(416515.52507="",6316.39101="",4808.97602=""),"-",(6316.39101-4808.97602)/416515.52507*100)</f>
        <v>0.3619108770907549</v>
      </c>
    </row>
    <row r="19" spans="1:7" s="20" customFormat="1" ht="15">
      <c r="A19" s="34" t="s">
        <v>128</v>
      </c>
      <c r="B19" s="42">
        <f>IF(6225.4017="","-",6225.4017)</f>
        <v>6225.4017</v>
      </c>
      <c r="C19" s="43" t="s">
        <v>251</v>
      </c>
      <c r="D19" s="42">
        <f>IF(799.622="","-",799.622/416515.52507*100)</f>
        <v>0.19197891840060818</v>
      </c>
      <c r="E19" s="42">
        <f>IF(6225.4017="","-",6225.4017/528186.96794*100)</f>
        <v>1.178635990259264</v>
      </c>
      <c r="F19" s="42">
        <f>IF(OR(487807.69987="",2389.25865="",799.622=""),"-",(799.622-2389.25865)/487807.69987*100)</f>
        <v>-0.3258736281579065</v>
      </c>
      <c r="G19" s="42">
        <f>IF(OR(416515.52507="",6225.4017="",799.622=""),"-",(6225.4017-799.622)/416515.52507*100)</f>
        <v>1.3026596545442426</v>
      </c>
    </row>
    <row r="20" spans="1:7" s="20" customFormat="1" ht="15">
      <c r="A20" s="34" t="s">
        <v>12</v>
      </c>
      <c r="B20" s="42">
        <f>IF(5345.50393="","-",5345.50393)</f>
        <v>5345.50393</v>
      </c>
      <c r="C20" s="44">
        <f>IF(OR(4212.35812="",5345.50393=""),"-",5345.50393/4212.35812*100)</f>
        <v>126.90050982654817</v>
      </c>
      <c r="D20" s="42">
        <f>IF(4212.35812="","-",4212.35812/416515.52507*100)</f>
        <v>1.0113327994897832</v>
      </c>
      <c r="E20" s="42">
        <f>IF(5345.50393="","-",5345.50393/528186.96794*100)</f>
        <v>1.0120476752480627</v>
      </c>
      <c r="F20" s="42">
        <f>IF(OR(487807.69987="",7603.88603="",4212.35812=""),"-",(4212.35812-7603.88603)/487807.69987*100)</f>
        <v>-0.6952591996608165</v>
      </c>
      <c r="G20" s="42">
        <f>IF(OR(416515.52507="",5345.50393="",4212.35812=""),"-",(5345.50393-4212.35812)/416515.52507*100)</f>
        <v>0.2720536791058539</v>
      </c>
    </row>
    <row r="21" spans="1:7" s="20" customFormat="1" ht="15">
      <c r="A21" s="34" t="s">
        <v>129</v>
      </c>
      <c r="B21" s="42">
        <f>IF(3140.79192="","-",3140.79192)</f>
        <v>3140.79192</v>
      </c>
      <c r="C21" s="44">
        <f>IF(OR(2062.53613="",3140.79192=""),"-",3140.79192/2062.53613*100)</f>
        <v>152.27815281955813</v>
      </c>
      <c r="D21" s="42">
        <f>IF(2062.53613="","-",2062.53613/416515.52507*100)</f>
        <v>0.49518829571919754</v>
      </c>
      <c r="E21" s="42">
        <f>IF(3140.79192="","-",3140.79192/528186.96794*100)</f>
        <v>0.5946363902633778</v>
      </c>
      <c r="F21" s="42">
        <f>IF(OR(487807.69987="",2501.89009="",2062.53613=""),"-",(2062.53613-2501.89009)/487807.69987*100)</f>
        <v>-0.0900670407861719</v>
      </c>
      <c r="G21" s="42">
        <f>IF(OR(416515.52507="",3140.79192="",2062.53613=""),"-",(3140.79192-2062.53613)/416515.52507*100)</f>
        <v>0.25887529398064757</v>
      </c>
    </row>
    <row r="22" spans="1:7" s="20" customFormat="1" ht="15">
      <c r="A22" s="34" t="s">
        <v>131</v>
      </c>
      <c r="B22" s="42">
        <f>IF(2539.55725="","-",2539.55725)</f>
        <v>2539.55725</v>
      </c>
      <c r="C22" s="44">
        <f>IF(OR(2012.67568="",2539.55725=""),"-",2539.55725/2012.67568*100)</f>
        <v>126.17816547572134</v>
      </c>
      <c r="D22" s="42">
        <f>IF(2012.67568="","-",2012.67568/416515.52507*100)</f>
        <v>0.48321744541496936</v>
      </c>
      <c r="E22" s="42">
        <f>IF(2539.55725="","-",2539.55725/528186.96794*100)</f>
        <v>0.4808064954545573</v>
      </c>
      <c r="F22" s="42">
        <f>IF(OR(487807.69987="",2785.39822="",2012.67568=""),"-",(2012.67568-2785.39822)/487807.69987*100)</f>
        <v>-0.1584072043565383</v>
      </c>
      <c r="G22" s="42">
        <f>IF(OR(416515.52507="",2539.55725="",2012.67568=""),"-",(2539.55725-2012.67568)/416515.52507*100)</f>
        <v>0.12649746246828414</v>
      </c>
    </row>
    <row r="23" spans="1:7" s="20" customFormat="1" ht="15">
      <c r="A23" s="34" t="s">
        <v>132</v>
      </c>
      <c r="B23" s="42">
        <f>IF(1649.1807="","-",1649.1807)</f>
        <v>1649.1807</v>
      </c>
      <c r="C23" s="44">
        <f>IF(OR(1478.84133="",1649.1807=""),"-",1649.1807/1478.84133*100)</f>
        <v>111.51843450304435</v>
      </c>
      <c r="D23" s="42">
        <f>IF(1478.84133="","-",1478.84133/416515.52507*100)</f>
        <v>0.35505071023498214</v>
      </c>
      <c r="E23" s="42">
        <f>IF(1649.1807="","-",1649.1807/528186.96794*100)</f>
        <v>0.3122342655351808</v>
      </c>
      <c r="F23" s="42">
        <f>IF(OR(487807.69987="",2093.77732="",1478.84133=""),"-",(1478.84133-2093.77732)/487807.69987*100)</f>
        <v>-0.12606114871985</v>
      </c>
      <c r="G23" s="42">
        <f>IF(OR(416515.52507="",1649.1807="",1478.84133=""),"-",(1649.1807-1478.84133)/416515.52507*100)</f>
        <v>0.04089628351101019</v>
      </c>
    </row>
    <row r="24" spans="1:7" s="20" customFormat="1" ht="15">
      <c r="A24" s="34" t="s">
        <v>130</v>
      </c>
      <c r="B24" s="42">
        <f>IF(1261.26965="","-",1261.26965)</f>
        <v>1261.26965</v>
      </c>
      <c r="C24" s="44">
        <f>IF(OR(968.92639="",1261.26965=""),"-",1261.26965/968.92639*100)</f>
        <v>130.17187507917913</v>
      </c>
      <c r="D24" s="42">
        <f>IF(968.92639="","-",968.92639/416515.52507*100)</f>
        <v>0.23262671657608955</v>
      </c>
      <c r="E24" s="42">
        <f>IF(1261.26965="","-",1261.26965/528186.96794*100)</f>
        <v>0.23879226988865718</v>
      </c>
      <c r="F24" s="42">
        <f>IF(OR(487807.69987="",1855.36805="",968.92639=""),"-",(968.92639-1855.36805)/487807.69987*100)</f>
        <v>-0.1817194891011838</v>
      </c>
      <c r="G24" s="42">
        <f>IF(OR(416515.52507="",1261.26965="",968.92639=""),"-",(1261.26965-968.92639)/416515.52507*100)</f>
        <v>0.07018784232613383</v>
      </c>
    </row>
    <row r="25" spans="1:7" s="20" customFormat="1" ht="15">
      <c r="A25" s="34" t="s">
        <v>133</v>
      </c>
      <c r="B25" s="42">
        <f>IF(1156.87587="","-",1156.87587)</f>
        <v>1156.87587</v>
      </c>
      <c r="C25" s="44">
        <f>IF(OR(1067.70038="",1156.87587=""),"-",1156.87587/1067.70038*100)</f>
        <v>108.35210810733251</v>
      </c>
      <c r="D25" s="42">
        <f>IF(1067.70038="","-",1067.70038/416515.52507*100)</f>
        <v>0.25634107631895864</v>
      </c>
      <c r="E25" s="42">
        <f>IF(1156.87587="","-",1156.87587/528186.96794*100)</f>
        <v>0.2190277193911033</v>
      </c>
      <c r="F25" s="42">
        <f>IF(OR(487807.69987="",2551.91281="",1067.70038=""),"-",(1067.70038-2551.91281)/487807.69987*100)</f>
        <v>-0.30426178807664167</v>
      </c>
      <c r="G25" s="42">
        <f>IF(OR(416515.52507="",1156.87587="",1067.70038=""),"-",(1156.87587-1067.70038)/416515.52507*100)</f>
        <v>0.021409883817659178</v>
      </c>
    </row>
    <row r="26" spans="1:7" s="20" customFormat="1" ht="15">
      <c r="A26" s="34" t="s">
        <v>135</v>
      </c>
      <c r="B26" s="42">
        <f>IF(1110.83114="","-",1110.83114)</f>
        <v>1110.83114</v>
      </c>
      <c r="C26" s="44">
        <f>IF(OR(848.33505="",1110.83114=""),"-",1110.83114/848.33505*100)</f>
        <v>130.94250202204896</v>
      </c>
      <c r="D26" s="42">
        <f>IF(848.33505="","-",848.33505/416515.52507*100)</f>
        <v>0.2036742927787453</v>
      </c>
      <c r="E26" s="42">
        <f>IF(1110.83114="","-",1110.83114/528186.96794*100)</f>
        <v>0.2103102135087487</v>
      </c>
      <c r="F26" s="42">
        <f>IF(OR(487807.69987="",2623.35066="",848.33505=""),"-",(848.33505-2623.35066)/487807.69987*100)</f>
        <v>-0.3638760951237627</v>
      </c>
      <c r="G26" s="42">
        <f>IF(OR(416515.52507="",1110.83114="",848.33505=""),"-",(1110.83114-848.33505)/416515.52507*100)</f>
        <v>0.06302192216145716</v>
      </c>
    </row>
    <row r="27" spans="1:7" s="20" customFormat="1" ht="15">
      <c r="A27" s="34" t="s">
        <v>136</v>
      </c>
      <c r="B27" s="42">
        <f>IF(636.39745="","-",636.39745)</f>
        <v>636.39745</v>
      </c>
      <c r="C27" s="44">
        <f>IF(OR(440.78782="",636.39745=""),"-",636.39745/440.78782*100)</f>
        <v>144.37727657719762</v>
      </c>
      <c r="D27" s="42">
        <f>IF(440.78782="","-",440.78782/416515.52507*100)</f>
        <v>0.10582746463674332</v>
      </c>
      <c r="E27" s="42">
        <f>IF(636.39745="","-",636.39745/528186.96794*100)</f>
        <v>0.12048715485768902</v>
      </c>
      <c r="F27" s="42">
        <f>IF(OR(487807.69987="",648.90037="",440.78782=""),"-",(440.78782-648.90037)/487807.69987*100)</f>
        <v>-0.04266282595692147</v>
      </c>
      <c r="G27" s="42">
        <f>IF(OR(416515.52507="",636.39745="",440.78782=""),"-",(636.39745-440.78782)/416515.52507*100)</f>
        <v>0.0469633466764836</v>
      </c>
    </row>
    <row r="28" spans="1:7" s="20" customFormat="1" ht="15">
      <c r="A28" s="34" t="s">
        <v>134</v>
      </c>
      <c r="B28" s="42">
        <f>IF(564.79308="","-",564.79308)</f>
        <v>564.79308</v>
      </c>
      <c r="C28" s="44">
        <f>IF(OR(980.33761="",564.79308=""),"-",564.79308/980.33761*100)</f>
        <v>57.61209957047348</v>
      </c>
      <c r="D28" s="42">
        <f>IF(980.33761="","-",980.33761/416515.52507*100)</f>
        <v>0.23536640316954419</v>
      </c>
      <c r="E28" s="42">
        <f>IF(564.79308="","-",564.79308/528186.96794*100)</f>
        <v>0.10693052163001462</v>
      </c>
      <c r="F28" s="42">
        <f>IF(OR(487807.69987="",1254.17304="",980.33761=""),"-",(980.33761-1254.17304)/487807.69987*100)</f>
        <v>-0.05613593841855644</v>
      </c>
      <c r="G28" s="42">
        <f>IF(OR(416515.52507="",564.79308="",980.33761=""),"-",(564.79308-980.33761)/416515.52507*100)</f>
        <v>-0.09976687662006432</v>
      </c>
    </row>
    <row r="29" spans="1:7" s="20" customFormat="1" ht="15">
      <c r="A29" s="34" t="s">
        <v>138</v>
      </c>
      <c r="B29" s="42">
        <f>IF(546.395="","-",546.395)</f>
        <v>546.395</v>
      </c>
      <c r="C29" s="43" t="s">
        <v>243</v>
      </c>
      <c r="D29" s="42">
        <f>IF(183.55318="","-",183.55318/416515.52507*100)</f>
        <v>0.04406874869049644</v>
      </c>
      <c r="E29" s="42">
        <f>IF(546.395="","-",546.395/528186.96794*100)</f>
        <v>0.10344727022156827</v>
      </c>
      <c r="F29" s="42">
        <f>IF(OR(487807.69987="",704.0789="",183.55318=""),"-",(183.55318-704.0789)/487807.69987*100)</f>
        <v>-0.10670715532754389</v>
      </c>
      <c r="G29" s="42">
        <f>IF(OR(416515.52507="",546.395="",183.55318=""),"-",(546.395-183.55318)/416515.52507*100)</f>
        <v>0.08711363638582752</v>
      </c>
    </row>
    <row r="30" spans="1:7" s="20" customFormat="1" ht="15">
      <c r="A30" s="34" t="s">
        <v>141</v>
      </c>
      <c r="B30" s="42">
        <f>IF(139.3585="","-",139.3585)</f>
        <v>139.3585</v>
      </c>
      <c r="C30" s="43" t="s">
        <v>229</v>
      </c>
      <c r="D30" s="42">
        <f>IF(2.626="","-",2.626/416515.52507*100)</f>
        <v>0.0006304686961089077</v>
      </c>
      <c r="E30" s="42">
        <f>IF(139.3585="","-",139.3585/528186.96794*100)</f>
        <v>0.026384312461081125</v>
      </c>
      <c r="F30" s="42">
        <f>IF(OR(487807.69987="",18.90738="",2.626=""),"-",(2.626-18.90738)/487807.69987*100)</f>
        <v>-0.0033376635925056043</v>
      </c>
      <c r="G30" s="42">
        <f>IF(OR(416515.52507="",139.3585="",2.626=""),"-",(139.3585-2.626)/416515.52507*100)</f>
        <v>0.032827707917254846</v>
      </c>
    </row>
    <row r="31" spans="1:7" s="20" customFormat="1" ht="15">
      <c r="A31" s="34" t="s">
        <v>220</v>
      </c>
      <c r="B31" s="42">
        <f>IF(53.35784="","-",53.35784)</f>
        <v>53.35784</v>
      </c>
      <c r="C31" s="44">
        <f>IF(OR(80.1423="",53.35784=""),"-",53.35784/80.1423*100)</f>
        <v>66.57887282995372</v>
      </c>
      <c r="D31" s="42">
        <f>IF(80.1423="","-",80.1423/416515.52507*100)</f>
        <v>0.019241131524816803</v>
      </c>
      <c r="E31" s="42">
        <f>IF(53.35784="","-",53.35784/528186.96794*100)</f>
        <v>0.010102074310561416</v>
      </c>
      <c r="F31" s="42">
        <f>IF(OR(487807.69987="",72.64802="",80.1423=""),"-",(80.1423-72.64802)/487807.69987*100)</f>
        <v>0.001536318512806833</v>
      </c>
      <c r="G31" s="42">
        <f>IF(OR(416515.52507="",53.35784="",80.1423=""),"-",(53.35784-80.1423)/416515.52507*100)</f>
        <v>-0.006430603035864889</v>
      </c>
    </row>
    <row r="32" spans="1:7" s="20" customFormat="1" ht="15">
      <c r="A32" s="34" t="s">
        <v>140</v>
      </c>
      <c r="B32" s="42">
        <f>IF(52.41783="","-",52.41783)</f>
        <v>52.41783</v>
      </c>
      <c r="C32" s="44">
        <f>IF(OR(39.45758="",52.41783=""),"-",52.41783/39.45758*100)</f>
        <v>132.8460336391639</v>
      </c>
      <c r="D32" s="42">
        <f>IF(39.45758="","-",39.45758/416515.52507*100)</f>
        <v>0.009473255527118401</v>
      </c>
      <c r="E32" s="42">
        <f>IF(52.41783="","-",52.41783/528186.96794*100)</f>
        <v>0.009924105133535682</v>
      </c>
      <c r="F32" s="42">
        <f>IF(OR(487807.69987="",137.99751="",39.45758=""),"-",(39.45758-137.99751)/487807.69987*100)</f>
        <v>-0.02020056879509297</v>
      </c>
      <c r="G32" s="42">
        <f>IF(OR(416515.52507="",52.41783="",39.45758=""),"-",(52.41783-39.45758)/416515.52507*100)</f>
        <v>0.003111588697161262</v>
      </c>
    </row>
    <row r="33" spans="1:7" s="20" customFormat="1" ht="15">
      <c r="A33" s="34" t="s">
        <v>137</v>
      </c>
      <c r="B33" s="42">
        <f>IF(21.23394="","-",21.23394)</f>
        <v>21.23394</v>
      </c>
      <c r="C33" s="43" t="s">
        <v>230</v>
      </c>
      <c r="D33" s="42">
        <f>IF(2.06695="","-",2.06695/416515.52507*100)</f>
        <v>0.0004962480089193858</v>
      </c>
      <c r="E33" s="42">
        <f>IF(21.23394="","-",21.23394/528186.96794*100)</f>
        <v>0.004020155984312755</v>
      </c>
      <c r="F33" s="42">
        <f>IF(OR(487807.69987="",62.0314="",2.06695=""),"-",(2.06695-62.0314)/487807.69987*100)</f>
        <v>-0.012292641140346993</v>
      </c>
      <c r="G33" s="42">
        <f>IF(OR(416515.52507="",21.23394="",2.06695=""),"-",(21.23394-2.06695)/416515.52507*100)</f>
        <v>0.004601746836874515</v>
      </c>
    </row>
    <row r="34" spans="1:7" s="20" customFormat="1" ht="15">
      <c r="A34" s="34" t="s">
        <v>142</v>
      </c>
      <c r="B34" s="42">
        <f>IF(2.7095="","-",2.7095)</f>
        <v>2.7095</v>
      </c>
      <c r="C34" s="44">
        <f>IF(OR(82.73317="",2.7095=""),"-",2.7095/82.73317*100)</f>
        <v>3.274986320480649</v>
      </c>
      <c r="D34" s="42">
        <f>IF(82.73317="","-",82.73317/416515.52507*100)</f>
        <v>0.01986316596148386</v>
      </c>
      <c r="E34" s="42">
        <f>IF(2.7095="","-",2.7095/528186.96794*100)</f>
        <v>0.0005129812290839763</v>
      </c>
      <c r="F34" s="42" t="str">
        <f>IF(OR(487807.69987="",""="",82.73317=""),"-",(82.73317-"")/487807.69987*100)</f>
        <v>-</v>
      </c>
      <c r="G34" s="42">
        <f>IF(OR(416515.52507="",2.7095="",82.73317=""),"-",(2.7095-82.73317)/416515.52507*100)</f>
        <v>-0.01921264999343089</v>
      </c>
    </row>
    <row r="35" spans="1:7" s="20" customFormat="1" ht="15">
      <c r="A35" s="34" t="s">
        <v>139</v>
      </c>
      <c r="B35" s="42">
        <f>IF(0.97807="","-",0.97807)</f>
        <v>0.97807</v>
      </c>
      <c r="C35" s="44">
        <f>IF(OR(183.64772="",0.97807=""),"-",0.97807/183.64772*100)</f>
        <v>0.5325794406813219</v>
      </c>
      <c r="D35" s="42">
        <f>IF(183.64772="","-",183.64772/416515.52507*100)</f>
        <v>0.04409144652390472</v>
      </c>
      <c r="E35" s="42">
        <f>IF(0.97807="","-",0.97807/528186.96794*100)</f>
        <v>0.00018517495874890744</v>
      </c>
      <c r="F35" s="42">
        <f>IF(OR(487807.69987="",71.75006="",183.64772=""),"-",(183.64772-71.75006)/487807.69987*100)</f>
        <v>0.02293888760464842</v>
      </c>
      <c r="G35" s="42">
        <f>IF(OR(416515.52507="",0.97807="",183.64772=""),"-",(0.97807-183.64772)/416515.52507*100)</f>
        <v>-0.0438566245446194</v>
      </c>
    </row>
    <row r="36" spans="1:7" s="20" customFormat="1" ht="15">
      <c r="A36" s="19" t="s">
        <v>14</v>
      </c>
      <c r="B36" s="41">
        <f>IF(106019.14823="","-",106019.14823)</f>
        <v>106019.14823</v>
      </c>
      <c r="C36" s="45">
        <f>IF(85004.844="","-",106019.14823/85004.844*100)</f>
        <v>124.72130203544636</v>
      </c>
      <c r="D36" s="41">
        <f>IF(85004.844="","-",85004.844/416515.52507*100)</f>
        <v>20.408565559642465</v>
      </c>
      <c r="E36" s="41">
        <f>IF(106019.14823="","-",106019.14823/528186.96794*100)</f>
        <v>20.072276422019442</v>
      </c>
      <c r="F36" s="41">
        <f>IF(487807.69987="","-",(85004.844-104033.51795)/487807.69987*100)</f>
        <v>-3.900855594339964</v>
      </c>
      <c r="G36" s="41">
        <f>IF(416515.52507="","-",(106019.14823-85004.844)/416515.52507*100)</f>
        <v>5.045263133101299</v>
      </c>
    </row>
    <row r="37" spans="1:7" s="20" customFormat="1" ht="15">
      <c r="A37" s="34" t="s">
        <v>15</v>
      </c>
      <c r="B37" s="42">
        <f>IF(60776.14868="","-",60776.14868)</f>
        <v>60776.14868</v>
      </c>
      <c r="C37" s="44">
        <f>IF(OR(42797.08014="",60776.14868=""),"-",60776.14868/42797.08014*100)</f>
        <v>142.01003545378785</v>
      </c>
      <c r="D37" s="42">
        <f>IF(42797.08014="","-",42797.08014/416515.52507*100)</f>
        <v>10.275026394948299</v>
      </c>
      <c r="E37" s="42">
        <f>IF(60776.14868="","-",60776.14868/528186.96794*100)</f>
        <v>11.506559678485656</v>
      </c>
      <c r="F37" s="42">
        <f>IF(OR(487807.69987="",54419.74028="",42797.08014=""),"-",(42797.08014-54419.74028)/487807.69987*100)</f>
        <v>-2.3826315458114786</v>
      </c>
      <c r="G37" s="42">
        <f>IF(OR(416515.52507="",60776.14868="",42797.08014=""),"-",(60776.14868-42797.08014)/416515.52507*100)</f>
        <v>4.316542231403841</v>
      </c>
    </row>
    <row r="38" spans="1:7" s="20" customFormat="1" ht="15">
      <c r="A38" s="34" t="s">
        <v>16</v>
      </c>
      <c r="B38" s="42">
        <f>IF(28902.33343="","-",28902.33343)</f>
        <v>28902.33343</v>
      </c>
      <c r="C38" s="44">
        <f>IF(OR(26087.59279="",28902.33343=""),"-",28902.33343/26087.59279*100)</f>
        <v>110.7895759591853</v>
      </c>
      <c r="D38" s="42">
        <f>IF(26087.59279="","-",26087.59279/416515.52507*100)</f>
        <v>6.263294215891639</v>
      </c>
      <c r="E38" s="42">
        <f>IF(28902.33343="","-",28902.33343/528186.96794*100)</f>
        <v>5.4719891220949615</v>
      </c>
      <c r="F38" s="42">
        <f>IF(OR(487807.69987="",25324.52068="",26087.59279=""),"-",(26087.59279-25324.52068)/487807.69987*100)</f>
        <v>0.15642887765063052</v>
      </c>
      <c r="G38" s="42">
        <f>IF(OR(416515.52507="",28902.33343="",26087.59279=""),"-",(28902.33343-26087.59279)/416515.52507*100)</f>
        <v>0.6757828869708884</v>
      </c>
    </row>
    <row r="39" spans="1:7" s="20" customFormat="1" ht="15">
      <c r="A39" s="34" t="s">
        <v>17</v>
      </c>
      <c r="B39" s="42">
        <f>IF(11828.82112="","-",11828.82112)</f>
        <v>11828.82112</v>
      </c>
      <c r="C39" s="44">
        <f>IF(OR(11986.53969="",11828.82112=""),"-",11828.82112/11986.53969*100)</f>
        <v>98.68420266332927</v>
      </c>
      <c r="D39" s="42">
        <f>IF(11986.53969="","-",11986.53969/416515.52507*100)</f>
        <v>2.8778134231576438</v>
      </c>
      <c r="E39" s="42">
        <f>IF(11828.82112="","-",11828.82112/528186.96794*100)</f>
        <v>2.2395140050755113</v>
      </c>
      <c r="F39" s="42">
        <f>IF(OR(487807.69987="",9753.5902="",11986.53969=""),"-",(11986.53969-9753.5902)/487807.69987*100)</f>
        <v>0.45775199747668527</v>
      </c>
      <c r="G39" s="42">
        <f>IF(OR(416515.52507="",11828.82112="",11986.53969=""),"-",(11828.82112-11986.53969)/416515.52507*100)</f>
        <v>-0.03786619237626083</v>
      </c>
    </row>
    <row r="40" spans="1:7" s="20" customFormat="1" ht="15">
      <c r="A40" s="34" t="s">
        <v>18</v>
      </c>
      <c r="B40" s="42">
        <f>IF(1877.65298="","-",1877.65298)</f>
        <v>1877.65298</v>
      </c>
      <c r="C40" s="44">
        <f>IF(OR(2016.66488="",1877.65298=""),"-",1877.65298/2016.66488*100)</f>
        <v>93.10684182688796</v>
      </c>
      <c r="D40" s="42">
        <f>IF(2016.66488="","-",2016.66488/416515.52507*100)</f>
        <v>0.48417520083100807</v>
      </c>
      <c r="E40" s="42">
        <f>IF(1877.65298="","-",1877.65298/528186.96794*100)</f>
        <v>0.3554902134982804</v>
      </c>
      <c r="F40" s="42">
        <f>IF(OR(487807.69987="",10807.90176="",2016.66488=""),"-",(2016.66488-10807.90176)/487807.69987*100)</f>
        <v>-1.8021931351929972</v>
      </c>
      <c r="G40" s="42">
        <f>IF(OR(416515.52507="",1877.65298="",2016.66488=""),"-",(1877.65298-2016.66488)/416515.52507*100)</f>
        <v>-0.03337496242826423</v>
      </c>
    </row>
    <row r="41" spans="1:7" s="20" customFormat="1" ht="15">
      <c r="A41" s="34" t="s">
        <v>20</v>
      </c>
      <c r="B41" s="42">
        <f>IF(1175.10333="","-",1175.10333)</f>
        <v>1175.10333</v>
      </c>
      <c r="C41" s="44" t="s">
        <v>253</v>
      </c>
      <c r="D41" s="42">
        <f>IF(675.83781="","-",675.83781/416515.52507*100)</f>
        <v>0.16225993254067014</v>
      </c>
      <c r="E41" s="42">
        <f>IF(1175.10333="","-",1175.10333/528186.96794*100)</f>
        <v>0.2224786678442788</v>
      </c>
      <c r="F41" s="42">
        <f>IF(OR(487807.69987="",2160.96845="",675.83781=""),"-",(675.83781-2160.96845)/487807.69987*100)</f>
        <v>-0.30445002003776994</v>
      </c>
      <c r="G41" s="42">
        <f>IF(OR(416515.52507="",1175.10333="",675.83781=""),"-",(1175.10333-675.83781)/416515.52507*100)</f>
        <v>0.1198672054099527</v>
      </c>
    </row>
    <row r="42" spans="1:7" s="20" customFormat="1" ht="15">
      <c r="A42" s="34" t="s">
        <v>19</v>
      </c>
      <c r="B42" s="42">
        <f>IF(928.42108="","-",928.42108)</f>
        <v>928.42108</v>
      </c>
      <c r="C42" s="44">
        <f>IF(OR(687.87544="",928.42108=""),"-",928.42108/687.87544*100)</f>
        <v>134.96936015043653</v>
      </c>
      <c r="D42" s="42">
        <f>IF(687.87544="","-",687.87544/416515.52507*100)</f>
        <v>0.1651500120876395</v>
      </c>
      <c r="E42" s="42">
        <f>IF(928.42108="","-",928.42108/528186.96794*100)</f>
        <v>0.17577508275544296</v>
      </c>
      <c r="F42" s="42">
        <f>IF(OR(487807.69987="",650.53799="",687.87544=""),"-",(687.87544-650.53799)/487807.69987*100)</f>
        <v>0.007654132972880577</v>
      </c>
      <c r="G42" s="42">
        <f>IF(OR(416515.52507="",928.42108="",687.87544=""),"-",(928.42108-687.87544)/416515.52507*100)</f>
        <v>0.057751902515416106</v>
      </c>
    </row>
    <row r="43" spans="1:7" s="20" customFormat="1" ht="15">
      <c r="A43" s="34" t="s">
        <v>21</v>
      </c>
      <c r="B43" s="42">
        <f>IF(159.50878="","-",159.50878)</f>
        <v>159.50878</v>
      </c>
      <c r="C43" s="44">
        <f>IF(OR(264.32411="",159.50878=""),"-",159.50878/264.32411*100)</f>
        <v>60.345906394993634</v>
      </c>
      <c r="D43" s="42">
        <f>IF(264.32411="","-",264.32411/416515.52507*100)</f>
        <v>0.06346080616216586</v>
      </c>
      <c r="E43" s="42">
        <f>IF(159.50878="","-",159.50878/528186.96794*100)</f>
        <v>0.030199302459525956</v>
      </c>
      <c r="F43" s="42">
        <f>IF(OR(487807.69987="",121.63938="",264.32411=""),"-",(264.32411-121.63938)/487807.69987*100)</f>
        <v>0.0292502004453856</v>
      </c>
      <c r="G43" s="42">
        <f>IF(OR(416515.52507="",159.50878="",264.32411=""),"-",(159.50878-264.32411)/416515.52507*100)</f>
        <v>-0.0251648074780369</v>
      </c>
    </row>
    <row r="44" spans="1:7" s="20" customFormat="1" ht="15">
      <c r="A44" s="34" t="s">
        <v>23</v>
      </c>
      <c r="B44" s="42">
        <f>IF(149.07997="","-",149.07997)</f>
        <v>149.07997</v>
      </c>
      <c r="C44" s="44">
        <f>IF(OR(201.37042="",149.07997=""),"-",149.07997/201.37042*100)</f>
        <v>74.03270549865269</v>
      </c>
      <c r="D44" s="42">
        <f>IF(201.37042="","-",201.37042/416515.52507*100)</f>
        <v>0.04834643797879023</v>
      </c>
      <c r="E44" s="42">
        <f>IF(149.07997="","-",149.07997/528186.96794*100)</f>
        <v>0.028224848216424552</v>
      </c>
      <c r="F44" s="42">
        <f>IF(OR(487807.69987="",231.12331="",201.37042=""),"-",(201.37042-231.12331)/487807.69987*100)</f>
        <v>-0.006099307167133505</v>
      </c>
      <c r="G44" s="42">
        <f>IF(OR(416515.52507="",149.07997="",201.37042=""),"-",(149.07997-201.37042)/416515.52507*100)</f>
        <v>-0.012554261930863684</v>
      </c>
    </row>
    <row r="45" spans="1:7" s="20" customFormat="1" ht="15">
      <c r="A45" s="34" t="s">
        <v>22</v>
      </c>
      <c r="B45" s="42">
        <f>IF(116.31309="","-",116.31309)</f>
        <v>116.31309</v>
      </c>
      <c r="C45" s="43" t="s">
        <v>190</v>
      </c>
      <c r="D45" s="42">
        <f>IF(56.30865="","-",56.30865/416515.52507*100)</f>
        <v>0.013518979872487758</v>
      </c>
      <c r="E45" s="42">
        <f>IF(116.31309="","-",116.31309/528186.96794*100)</f>
        <v>0.022021196481548315</v>
      </c>
      <c r="F45" s="42">
        <f>IF(OR(487807.69987="",460.73486="",56.30865=""),"-",(56.30865-460.73486)/487807.69987*100)</f>
        <v>-0.08290689345571604</v>
      </c>
      <c r="G45" s="42">
        <f>IF(OR(416515.52507="",116.31309="",56.30865=""),"-",(116.31309-56.30865)/416515.52507*100)</f>
        <v>0.014406291335698857</v>
      </c>
    </row>
    <row r="46" spans="1:7" s="20" customFormat="1" ht="15">
      <c r="A46" s="34" t="s">
        <v>24</v>
      </c>
      <c r="B46" s="42">
        <f>IF(105.76577="","-",105.76577)</f>
        <v>105.76577</v>
      </c>
      <c r="C46" s="44">
        <f>IF(OR(231.25007="",105.76577=""),"-",105.76577/231.25007*100)</f>
        <v>45.73653534461633</v>
      </c>
      <c r="D46" s="42">
        <f>IF(231.25007="","-",231.25007/416515.52507*100)</f>
        <v>0.05552015617212249</v>
      </c>
      <c r="E46" s="42">
        <f>IF(105.76577="","-",105.76577/528186.96794*100)</f>
        <v>0.02002430510781072</v>
      </c>
      <c r="F46" s="42">
        <f>IF(OR(487807.69987="",102.76104="",231.25007=""),"-",(231.25007-102.76104)/487807.69987*100)</f>
        <v>0.026340098779548196</v>
      </c>
      <c r="G46" s="42">
        <f>IF(OR(416515.52507="",105.76577="",231.25007=""),"-",(105.76577-231.25007)/416515.52507*100)</f>
        <v>-0.030127160321073505</v>
      </c>
    </row>
    <row r="47" spans="1:7" s="20" customFormat="1" ht="15">
      <c r="A47" s="19" t="s">
        <v>25</v>
      </c>
      <c r="B47" s="41">
        <f>IF(86525.31747="","-",86525.31747)</f>
        <v>86525.31747</v>
      </c>
      <c r="C47" s="46">
        <f>IF(65964.96525="","-",86525.31747/65964.96525*100)</f>
        <v>131.1685940287826</v>
      </c>
      <c r="D47" s="41">
        <f>IF(65964.96525="","-",65964.96525/416515.52507*100)</f>
        <v>15.837336492778716</v>
      </c>
      <c r="E47" s="41">
        <f>IF(86525.31747="","-",86525.31747/528186.96794*100)</f>
        <v>16.381569921624596</v>
      </c>
      <c r="F47" s="41">
        <f>IF(487807.69987="","-",(65964.96525-64157.00514)/487807.69987*100)</f>
        <v>0.37062967855608087</v>
      </c>
      <c r="G47" s="41">
        <f>IF(416515.52507="","-",(86525.31747-65964.96525)/416515.52507*100)</f>
        <v>4.936275116406431</v>
      </c>
    </row>
    <row r="48" spans="1:7" s="20" customFormat="1" ht="15">
      <c r="A48" s="34" t="s">
        <v>144</v>
      </c>
      <c r="B48" s="42">
        <f>IF(25418.00874="","-",25418.00874)</f>
        <v>25418.00874</v>
      </c>
      <c r="C48" s="43" t="s">
        <v>203</v>
      </c>
      <c r="D48" s="42">
        <f>IF(11754.00146="","-",11754.00146/416515.52507*100)</f>
        <v>2.821983996400761</v>
      </c>
      <c r="E48" s="42">
        <f>IF(25418.00874="","-",25418.00874/528186.96794*100)</f>
        <v>4.812312738258886</v>
      </c>
      <c r="F48" s="42">
        <f>IF(OR(487807.69987="",17890.98542="",11754.00146=""),"-",(11754.00146-17890.98542)/487807.69987*100)</f>
        <v>-1.2580744341746755</v>
      </c>
      <c r="G48" s="42">
        <f>IF(OR(416515.52507="",25418.00874="",11754.00146=""),"-",(25418.00874-11754.00146)/416515.52507*100)</f>
        <v>3.280551733984854</v>
      </c>
    </row>
    <row r="49" spans="1:7" s="20" customFormat="1" ht="15">
      <c r="A49" s="34" t="s">
        <v>221</v>
      </c>
      <c r="B49" s="42">
        <f>IF(11500="","-",11500)</f>
        <v>11500</v>
      </c>
      <c r="C49" s="43" t="str">
        <f>IF(OR(""="",11500=""),"-",11500/""*100)</f>
        <v>-</v>
      </c>
      <c r="D49" s="42" t="str">
        <f>IF(""="","-",""/416515.52507*100)</f>
        <v>-</v>
      </c>
      <c r="E49" s="42">
        <f>IF(11500="","-",11500/528186.96794*100)</f>
        <v>2.1772593225560906</v>
      </c>
      <c r="F49" s="42" t="str">
        <f>IF(OR(487807.69987="",""="",""=""),"-",(""-"")/487807.69987*100)</f>
        <v>-</v>
      </c>
      <c r="G49" s="42" t="str">
        <f>IF(OR(416515.52507="",11500="",""=""),"-",(11500-"")/416515.52507*100)</f>
        <v>-</v>
      </c>
    </row>
    <row r="50" spans="1:7" s="20" customFormat="1" ht="15">
      <c r="A50" s="34" t="s">
        <v>227</v>
      </c>
      <c r="B50" s="42">
        <f>IF(7950.83182="","-",7950.83182)</f>
        <v>7950.83182</v>
      </c>
      <c r="C50" s="43" t="s">
        <v>190</v>
      </c>
      <c r="D50" s="42">
        <f>IF(3726.01793="","-",3726.01793/416515.52507*100)</f>
        <v>0.8945687989358384</v>
      </c>
      <c r="E50" s="42">
        <f>IF(7950.83182="","-",7950.83182/528186.96794*100)</f>
        <v>1.505306321927879</v>
      </c>
      <c r="F50" s="42">
        <f>IF(OR(487807.69987="",9650.09993="",3726.01793=""),"-",(3726.01793-9650.09993)/487807.69987*100)</f>
        <v>-1.2144297848473402</v>
      </c>
      <c r="G50" s="42">
        <f>IF(OR(416515.52507="",7950.83182="",3726.01793=""),"-",(7950.83182-3726.01793)/416515.52507*100)</f>
        <v>1.0143232690522097</v>
      </c>
    </row>
    <row r="51" spans="1:7" s="20" customFormat="1" ht="15">
      <c r="A51" s="34" t="s">
        <v>146</v>
      </c>
      <c r="B51" s="42">
        <f>IF(4112.39692="","-",4112.39692)</f>
        <v>4112.39692</v>
      </c>
      <c r="C51" s="44" t="s">
        <v>254</v>
      </c>
      <c r="D51" s="42">
        <f>IF(2563.45283="","-",2563.45283/416515.52507*100)</f>
        <v>0.6154519281290137</v>
      </c>
      <c r="E51" s="42">
        <f>IF(4112.39692="","-",4112.39692/528186.96794*100)</f>
        <v>0.7785873506192134</v>
      </c>
      <c r="F51" s="42">
        <f>IF(OR(487807.69987="",4616.15995="",2563.45283=""),"-",(2563.45283-4616.15995)/487807.69987*100)</f>
        <v>-0.42080252536953455</v>
      </c>
      <c r="G51" s="42">
        <f>IF(OR(416515.52507="",4112.39692="",2563.45283=""),"-",(4112.39692-2563.45283)/416515.52507*100)</f>
        <v>0.3718814778247901</v>
      </c>
    </row>
    <row r="52" spans="1:7" s="20" customFormat="1" ht="15">
      <c r="A52" s="34" t="s">
        <v>145</v>
      </c>
      <c r="B52" s="42">
        <f>IF(4036.6092="","-",4036.6092)</f>
        <v>4036.6092</v>
      </c>
      <c r="C52" s="44">
        <f>IF(OR(16478.0383="",4036.6092=""),"-",4036.6092/16478.0383*100)</f>
        <v>24.49690385778506</v>
      </c>
      <c r="D52" s="42">
        <f>IF(16478.0383="","-",16478.0383/416515.52507*100)</f>
        <v>3.9561642503555388</v>
      </c>
      <c r="E52" s="42">
        <f>IF(4036.6092="","-",4036.6092/528186.96794*100)</f>
        <v>0.7642386967144073</v>
      </c>
      <c r="F52" s="42">
        <f>IF(OR(487807.69987="",2779.42956="",16478.0383=""),"-",(16478.0383-2779.42956)/487807.69987*100)</f>
        <v>2.8081985470197903</v>
      </c>
      <c r="G52" s="42">
        <f>IF(OR(416515.52507="",4036.6092="",16478.0383=""),"-",(4036.6092-16478.0383)/416515.52507*100)</f>
        <v>-2.9870264974898793</v>
      </c>
    </row>
    <row r="53" spans="1:7" s="20" customFormat="1" ht="15">
      <c r="A53" s="34" t="s">
        <v>148</v>
      </c>
      <c r="B53" s="42">
        <f>IF(3549.55883="","-",3549.55883)</f>
        <v>3549.55883</v>
      </c>
      <c r="C53" s="44">
        <f>IF(OR(2613.18693="",3549.55883=""),"-",3549.55883/2613.18693*100)</f>
        <v>135.83256479856956</v>
      </c>
      <c r="D53" s="42">
        <f>IF(2613.18693="","-",2613.18693/416515.52507*100)</f>
        <v>0.6273924434295277</v>
      </c>
      <c r="E53" s="42">
        <f>IF(3549.55883="","-",3549.55883/528186.96794*100)</f>
        <v>0.6720269611807643</v>
      </c>
      <c r="F53" s="42">
        <f>IF(OR(487807.69987="",4084.04001="",2613.18693=""),"-",(2613.18693-4084.04001)/487807.69987*100)</f>
        <v>-0.30152313716900747</v>
      </c>
      <c r="G53" s="42">
        <f>IF(OR(416515.52507="",3549.55883="",2613.18693=""),"-",(3549.55883-2613.18693)/416515.52507*100)</f>
        <v>0.2248108038332143</v>
      </c>
    </row>
    <row r="54" spans="1:7" s="20" customFormat="1" ht="15">
      <c r="A54" s="34" t="s">
        <v>26</v>
      </c>
      <c r="B54" s="42">
        <f>IF(3395.08115="","-",3395.08115)</f>
        <v>3395.08115</v>
      </c>
      <c r="C54" s="44">
        <f>IF(OR(4111.67021="",3395.08115=""),"-",3395.08115/4111.67021*100)</f>
        <v>82.5718254772189</v>
      </c>
      <c r="D54" s="42">
        <f>IF(4111.67021="","-",4111.67021/416515.52507*100)</f>
        <v>0.9871589322652472</v>
      </c>
      <c r="E54" s="42">
        <f>IF(3395.08115="","-",3395.08115/528186.96794*100)</f>
        <v>0.642780181275822</v>
      </c>
      <c r="F54" s="42">
        <f>IF(OR(487807.69987="",7304.53491="",4111.67021=""),"-",(4111.67021-7304.53491)/487807.69987*100)</f>
        <v>-0.6545334771982676</v>
      </c>
      <c r="G54" s="42">
        <f>IF(OR(416515.52507="",3395.08115="",4111.67021=""),"-",(3395.08115-4111.67021)/416515.52507*100)</f>
        <v>-0.17204378153240976</v>
      </c>
    </row>
    <row r="55" spans="1:7" s="20" customFormat="1" ht="15">
      <c r="A55" s="34" t="s">
        <v>151</v>
      </c>
      <c r="B55" s="42">
        <f>IF(2728.18961="","-",2728.18961)</f>
        <v>2728.18961</v>
      </c>
      <c r="C55" s="44">
        <f>IF(OR(3235.92804="",2728.18961=""),"-",2728.18961/3235.92804*100)</f>
        <v>84.309341131084</v>
      </c>
      <c r="D55" s="42">
        <f>IF(3235.92804="","-",3235.92804/416515.52507*100)</f>
        <v>0.7769045438237066</v>
      </c>
      <c r="E55" s="42">
        <f>IF(2728.18961="","-",2728.18961/528186.96794*100)</f>
        <v>0.516519674962884</v>
      </c>
      <c r="F55" s="42">
        <f>IF(OR(487807.69987="",1304.17865="",3235.92804=""),"-",(3235.92804-1304.17865)/487807.69987*100)</f>
        <v>0.3960063341588925</v>
      </c>
      <c r="G55" s="42">
        <f>IF(OR(416515.52507="",2728.18961="",3235.92804=""),"-",(2728.18961-3235.92804)/416515.52507*100)</f>
        <v>-0.12190144170848587</v>
      </c>
    </row>
    <row r="56" spans="1:7" s="20" customFormat="1" ht="15">
      <c r="A56" s="34" t="s">
        <v>147</v>
      </c>
      <c r="B56" s="42">
        <f>IF(2484.71688="","-",2484.71688)</f>
        <v>2484.71688</v>
      </c>
      <c r="C56" s="44">
        <f>IF(OR(2981.36204="",2484.71688=""),"-",2484.71688/2981.36204*100)</f>
        <v>83.341668897079</v>
      </c>
      <c r="D56" s="42">
        <f>IF(2981.36204="","-",2981.36204/416515.52507*100)</f>
        <v>0.71578653388705</v>
      </c>
      <c r="E56" s="42">
        <f>IF(2484.71688="","-",2484.71688/528186.96794*100)</f>
        <v>0.47042373833847684</v>
      </c>
      <c r="F56" s="42">
        <f>IF(OR(487807.69987="",1194.39696="",2981.36204=""),"-",(2981.36204-1194.39696)/487807.69987*100)</f>
        <v>0.3663257223033223</v>
      </c>
      <c r="G56" s="42">
        <f>IF(OR(416515.52507="",2484.71688="",2981.36204=""),"-",(2484.71688-2981.36204)/416515.52507*100)</f>
        <v>-0.11923809080502663</v>
      </c>
    </row>
    <row r="57" spans="1:7" s="20" customFormat="1" ht="15">
      <c r="A57" s="34" t="s">
        <v>149</v>
      </c>
      <c r="B57" s="42">
        <f>IF(1805.20839="","-",1805.20839)</f>
        <v>1805.20839</v>
      </c>
      <c r="C57" s="44" t="s">
        <v>253</v>
      </c>
      <c r="D57" s="42">
        <f>IF(1038.09689="","-",1038.09689/416515.52507*100)</f>
        <v>0.24923366057616617</v>
      </c>
      <c r="E57" s="42">
        <f>IF(1805.20839="","-",1805.20839/528186.96794*100)</f>
        <v>0.34177450402469317</v>
      </c>
      <c r="F57" s="42">
        <f>IF(OR(487807.69987="",513.25902="",1038.09689=""),"-",(1038.09689-513.25902)/487807.69987*100)</f>
        <v>0.10759114096392257</v>
      </c>
      <c r="G57" s="42">
        <f>IF(OR(416515.52507="",1805.20839="",1038.09689=""),"-",(1805.20839-1038.09689)/416515.52507*100)</f>
        <v>0.18417356708878463</v>
      </c>
    </row>
    <row r="58" spans="1:7" s="20" customFormat="1" ht="15">
      <c r="A58" s="34" t="s">
        <v>156</v>
      </c>
      <c r="B58" s="42">
        <f>IF(1676.27693="","-",1676.27693)</f>
        <v>1676.27693</v>
      </c>
      <c r="C58" s="43" t="s">
        <v>192</v>
      </c>
      <c r="D58" s="42">
        <f>IF(426.36271="","-",426.36271/416515.52507*100)</f>
        <v>0.10236418196616923</v>
      </c>
      <c r="E58" s="42">
        <f>IF(1676.27693="","-",1676.27693/528186.96794*100)</f>
        <v>0.3173643106981046</v>
      </c>
      <c r="F58" s="42">
        <f>IF(OR(487807.69987="",521.19896="",426.36271=""),"-",(426.36271-521.19896)/487807.69987*100)</f>
        <v>-0.01944131878715194</v>
      </c>
      <c r="G58" s="42">
        <f>IF(OR(416515.52507="",1676.27693="",426.36271=""),"-",(1676.27693-426.36271)/416515.52507*100)</f>
        <v>0.30008826676747247</v>
      </c>
    </row>
    <row r="59" spans="1:7" s="20" customFormat="1" ht="15">
      <c r="A59" s="34" t="s">
        <v>158</v>
      </c>
      <c r="B59" s="42">
        <f>IF(1155.74398="","-",1155.74398)</f>
        <v>1155.74398</v>
      </c>
      <c r="C59" s="43" t="s">
        <v>203</v>
      </c>
      <c r="D59" s="42">
        <f>IF(537.19645="","-",537.19645/416515.52507*100)</f>
        <v>0.1289739319824197</v>
      </c>
      <c r="E59" s="42">
        <f>IF(1155.74398="","-",1155.74398/528186.96794*100)</f>
        <v>0.21881342216896346</v>
      </c>
      <c r="F59" s="42">
        <f>IF(OR(487807.69987="",803.86002="",537.19645=""),"-",(537.19645-803.86002)/487807.69987*100)</f>
        <v>-0.05466571562340351</v>
      </c>
      <c r="G59" s="42">
        <f>IF(OR(416515.52507="",1155.74398="",537.19645=""),"-",(1155.74398-537.19645)/416515.52507*100)</f>
        <v>0.14850527597885968</v>
      </c>
    </row>
    <row r="60" spans="1:7" s="20" customFormat="1" ht="15">
      <c r="A60" s="34" t="s">
        <v>157</v>
      </c>
      <c r="B60" s="42">
        <f>IF(1143.40781="","-",1143.40781)</f>
        <v>1143.40781</v>
      </c>
      <c r="C60" s="43" t="s">
        <v>231</v>
      </c>
      <c r="D60" s="42">
        <f>IF(79.4932="","-",79.4932/416515.52507*100)</f>
        <v>0.01908529099524929</v>
      </c>
      <c r="E60" s="42">
        <f>IF(1143.40781="","-",1143.40781/528186.96794*100)</f>
        <v>0.21647785337442985</v>
      </c>
      <c r="F60" s="42">
        <f>IF(OR(487807.69987="",430.71616="",79.4932=""),"-",(79.4932-430.71616)/487807.69987*100)</f>
        <v>-0.0720002902975087</v>
      </c>
      <c r="G60" s="42">
        <f>IF(OR(416515.52507="",1143.40781="",79.4932=""),"-",(1143.40781-79.4932)/416515.52507*100)</f>
        <v>0.25543216181946576</v>
      </c>
    </row>
    <row r="61" spans="1:7" s="20" customFormat="1" ht="15">
      <c r="A61" s="34" t="s">
        <v>165</v>
      </c>
      <c r="B61" s="42">
        <f>IF(1004.39401="","-",1004.39401)</f>
        <v>1004.39401</v>
      </c>
      <c r="C61" s="43" t="s">
        <v>232</v>
      </c>
      <c r="D61" s="42">
        <f>IF(268.29061="","-",268.29061/416515.52507*100)</f>
        <v>0.06441311160128085</v>
      </c>
      <c r="E61" s="42">
        <f>IF(1004.39401="","-",1004.39401/528186.96794*100)</f>
        <v>0.19015880189495613</v>
      </c>
      <c r="F61" s="42">
        <f>IF(OR(487807.69987="",133.84739="",268.29061=""),"-",(268.29061-133.84739)/487807.69987*100)</f>
        <v>0.027560700668691564</v>
      </c>
      <c r="G61" s="42">
        <f>IF(OR(416515.52507="",1004.39401="",268.29061=""),"-",(1004.39401-268.29061)/416515.52507*100)</f>
        <v>0.17672892261970063</v>
      </c>
    </row>
    <row r="62" spans="1:7" s="20" customFormat="1" ht="15">
      <c r="A62" s="34" t="s">
        <v>154</v>
      </c>
      <c r="B62" s="42">
        <f>IF(987.60019="","-",987.60019)</f>
        <v>987.60019</v>
      </c>
      <c r="C62" s="44">
        <f>IF(OR(677.79553="",987.60019=""),"-",987.60019/677.79553*100)</f>
        <v>145.70768709554636</v>
      </c>
      <c r="D62" s="42">
        <f>IF(677.79553="","-",677.79553/416515.52507*100)</f>
        <v>0.16272995583684163</v>
      </c>
      <c r="E62" s="42">
        <f>IF(987.60019="","-",987.60019/528186.96794*100)</f>
        <v>0.18697928005527537</v>
      </c>
      <c r="F62" s="42">
        <f>IF(OR(487807.69987="",362.11933="",677.79553=""),"-",(677.79553-362.11933)/487807.69987*100)</f>
        <v>0.0647132466511142</v>
      </c>
      <c r="G62" s="42">
        <f>IF(OR(416515.52507="",987.60019="",677.79553=""),"-",(987.60019-677.79553)/416515.52507*100)</f>
        <v>0.07438009902462435</v>
      </c>
    </row>
    <row r="63" spans="1:7" s="20" customFormat="1" ht="15">
      <c r="A63" s="34" t="s">
        <v>150</v>
      </c>
      <c r="B63" s="42">
        <f>IF(766.2058="","-",766.2058)</f>
        <v>766.2058</v>
      </c>
      <c r="C63" s="44">
        <f>IF(OR(636.48169="",766.2058=""),"-",766.2058/636.48169*100)</f>
        <v>120.38143626723968</v>
      </c>
      <c r="D63" s="42">
        <f>IF(636.48169="","-",636.48169/416515.52507*100)</f>
        <v>0.15281103624961692</v>
      </c>
      <c r="E63" s="42">
        <f>IF(766.2058="","-",766.2058/528186.96794*100)</f>
        <v>0.14506336704752587</v>
      </c>
      <c r="F63" s="42">
        <f>IF(OR(487807.69987="",484.3049="",636.48169=""),"-",(636.48169-484.3049)/487807.69987*100)</f>
        <v>0.031196061489098034</v>
      </c>
      <c r="G63" s="42">
        <f>IF(OR(416515.52507="",766.2058="",636.48169=""),"-",(766.2058-636.48169)/416515.52507*100)</f>
        <v>0.031145083962524196</v>
      </c>
    </row>
    <row r="64" spans="1:7" s="20" customFormat="1" ht="15">
      <c r="A64" s="34" t="s">
        <v>123</v>
      </c>
      <c r="B64" s="42">
        <f>IF(758.1671="","-",758.1671)</f>
        <v>758.1671</v>
      </c>
      <c r="C64" s="43" t="s">
        <v>233</v>
      </c>
      <c r="D64" s="42">
        <f>IF(245.18485="","-",245.18485/416515.52507*100)</f>
        <v>0.05886571694027348</v>
      </c>
      <c r="E64" s="42">
        <f>IF(758.1671="","-",758.1671/528186.96794*100)</f>
        <v>0.14354142491567964</v>
      </c>
      <c r="F64" s="42">
        <f>IF(OR(487807.69987="",243.58674="",245.18485=""),"-",(245.18485-243.58674)/487807.69987*100)</f>
        <v>0.0003276106548596739</v>
      </c>
      <c r="G64" s="42">
        <f>IF(OR(416515.52507="",758.1671="",245.18485=""),"-",(758.1671-245.18485)/416515.52507*100)</f>
        <v>0.12316041518831448</v>
      </c>
    </row>
    <row r="65" spans="1:7" s="20" customFormat="1" ht="15">
      <c r="A65" s="34" t="s">
        <v>155</v>
      </c>
      <c r="B65" s="42">
        <f>IF(538.97142="","-",538.97142)</f>
        <v>538.97142</v>
      </c>
      <c r="C65" s="44">
        <f>IF(OR(1733.15996="",538.97142=""),"-",538.97142/1733.15996*100)</f>
        <v>31.097615479185198</v>
      </c>
      <c r="D65" s="42">
        <f>IF(1733.15996="","-",1733.15996/416515.52507*100)</f>
        <v>0.4161093298283956</v>
      </c>
      <c r="E65" s="42">
        <f>IF(538.97142="","-",538.97142/528186.96794*100)</f>
        <v>0.1020417868509821</v>
      </c>
      <c r="F65" s="42">
        <f>IF(OR(487807.69987="",2909.61938="",1733.15996=""),"-",(1733.15996-2909.61938)/487807.69987*100)</f>
        <v>-0.24117278597970568</v>
      </c>
      <c r="G65" s="42">
        <f>IF(OR(416515.52507="",538.97142="",1733.15996=""),"-",(538.97142-1733.15996)/416515.52507*100)</f>
        <v>-0.2867092504653467</v>
      </c>
    </row>
    <row r="66" spans="1:7" s="20" customFormat="1" ht="15">
      <c r="A66" s="34" t="s">
        <v>228</v>
      </c>
      <c r="B66" s="42">
        <f>IF(407.74851="","-",407.74851)</f>
        <v>407.74851</v>
      </c>
      <c r="C66" s="43" t="s">
        <v>28</v>
      </c>
      <c r="D66" s="42">
        <f>IF(150.06341="","-",150.06341/416515.52507*100)</f>
        <v>0.0360282872948806</v>
      </c>
      <c r="E66" s="42">
        <f>IF(407.74851="","-",407.74851/528186.96794*100)</f>
        <v>0.07719776040485699</v>
      </c>
      <c r="F66" s="42">
        <f>IF(OR(487807.69987="",232.98972="",150.06341=""),"-",(150.06341-232.98972)/487807.69987*100)</f>
        <v>-0.016999795210715152</v>
      </c>
      <c r="G66" s="42">
        <f>IF(OR(416515.52507="",407.74851="",150.06341=""),"-",(407.74851-150.06341)/416515.52507*100)</f>
        <v>0.06186686557642557</v>
      </c>
    </row>
    <row r="67" spans="1:7" s="20" customFormat="1" ht="15">
      <c r="A67" s="34" t="s">
        <v>224</v>
      </c>
      <c r="B67" s="42">
        <f>IF(309.0892="","-",309.0892)</f>
        <v>309.0892</v>
      </c>
      <c r="C67" s="43" t="s">
        <v>127</v>
      </c>
      <c r="D67" s="42">
        <f>IF(129.0466="","-",129.0466/416515.52507*100)</f>
        <v>0.03098242255875392</v>
      </c>
      <c r="E67" s="42">
        <f>IF(309.0892="","-",309.0892/528186.96794*100)</f>
        <v>0.058518899321861224</v>
      </c>
      <c r="F67" s="42" t="str">
        <f>IF(OR(487807.69987="",""="",129.0466=""),"-",(129.0466-"")/487807.69987*100)</f>
        <v>-</v>
      </c>
      <c r="G67" s="42">
        <f>IF(OR(416515.52507="",309.0892="",129.0466=""),"-",(309.0892-129.0466)/416515.52507*100)</f>
        <v>0.04322590375706689</v>
      </c>
    </row>
    <row r="68" spans="1:7" s="20" customFormat="1" ht="15">
      <c r="A68" s="34" t="s">
        <v>166</v>
      </c>
      <c r="B68" s="42">
        <f>IF(235.68349="","-",235.68349)</f>
        <v>235.68349</v>
      </c>
      <c r="C68" s="43" t="s">
        <v>189</v>
      </c>
      <c r="D68" s="42">
        <f>IF(72.17413="","-",72.17413/416515.52507*100)</f>
        <v>0.01732807678366139</v>
      </c>
      <c r="E68" s="42">
        <f>IF(235.68349="","-",235.68349/528186.96794*100)</f>
        <v>0.044621223980439585</v>
      </c>
      <c r="F68" s="42">
        <f>IF(OR(487807.69987="",143.9214="",72.17413=""),"-",(72.17413-143.9214)/487807.69987*100)</f>
        <v>-0.014708105267530736</v>
      </c>
      <c r="G68" s="42">
        <f>IF(OR(416515.52507="",235.68349="",72.17413=""),"-",(235.68349-72.17413)/416515.52507*100)</f>
        <v>0.0392564862912422</v>
      </c>
    </row>
    <row r="69" spans="1:7" s="20" customFormat="1" ht="15">
      <c r="A69" s="34" t="s">
        <v>160</v>
      </c>
      <c r="B69" s="42">
        <f>IF(195.93653="","-",195.93653)</f>
        <v>195.93653</v>
      </c>
      <c r="C69" s="44">
        <f>IF(OR(157.41264="",195.93653=""),"-",195.93653/157.41264*100)</f>
        <v>124.4731871595572</v>
      </c>
      <c r="D69" s="42">
        <f>IF(157.41264="","-",157.41264/416515.52507*100)</f>
        <v>0.037792742533077274</v>
      </c>
      <c r="E69" s="42">
        <f>IF(195.93653="","-",195.93653/528186.96794*100)</f>
        <v>0.03709605535406879</v>
      </c>
      <c r="F69" s="42">
        <f>IF(OR(487807.69987="",190.25019="",157.41264=""),"-",(157.41264-190.25019)/487807.69987*100)</f>
        <v>-0.0067316588091477746</v>
      </c>
      <c r="G69" s="42">
        <f>IF(OR(416515.52507="",195.93653="",157.41264=""),"-",(195.93653-157.41264)/416515.52507*100)</f>
        <v>0.009249088612849577</v>
      </c>
    </row>
    <row r="70" spans="1:7" s="20" customFormat="1" ht="15">
      <c r="A70" s="34" t="s">
        <v>153</v>
      </c>
      <c r="B70" s="42">
        <f>IF(190.67108="","-",190.67108)</f>
        <v>190.67108</v>
      </c>
      <c r="C70" s="44">
        <f>IF(OR(686.96265="",190.67108=""),"-",190.67108/686.96265*100)</f>
        <v>27.75566910369872</v>
      </c>
      <c r="D70" s="42">
        <f>IF(686.96265="","-",686.96265/416515.52507*100)</f>
        <v>0.1649308629935339</v>
      </c>
      <c r="E70" s="42">
        <f>IF(190.67108="","-",190.67108/528186.96794*100)</f>
        <v>0.036099164041029405</v>
      </c>
      <c r="F70" s="42" t="str">
        <f>IF(OR(487807.69987="",""="",686.96265=""),"-",(686.96265-"")/487807.69987*100)</f>
        <v>-</v>
      </c>
      <c r="G70" s="42">
        <f>IF(OR(416515.52507="",190.67108="",686.96265=""),"-",(190.67108-686.96265)/416515.52507*100)</f>
        <v>-0.11915319841117396</v>
      </c>
    </row>
    <row r="71" spans="1:7" s="20" customFormat="1" ht="15">
      <c r="A71" s="34" t="s">
        <v>195</v>
      </c>
      <c r="B71" s="42">
        <f>IF(186.33116="","-",186.33116)</f>
        <v>186.33116</v>
      </c>
      <c r="C71" s="43" t="str">
        <f>IF(OR(""="",186.33116=""),"-",186.33116/""*100)</f>
        <v>-</v>
      </c>
      <c r="D71" s="42" t="str">
        <f>IF(""="","-",""/416515.52507*100)</f>
        <v>-</v>
      </c>
      <c r="E71" s="42">
        <f>IF(186.33116="","-",186.33116/528186.96794*100)</f>
        <v>0.03527750045153831</v>
      </c>
      <c r="F71" s="42" t="str">
        <f>IF(OR(487807.69987="",161.962="",""=""),"-",(""-161.962)/487807.69987*100)</f>
        <v>-</v>
      </c>
      <c r="G71" s="42" t="str">
        <f>IF(OR(416515.52507="",186.33116="",""=""),"-",(186.33116-"")/416515.52507*100)</f>
        <v>-</v>
      </c>
    </row>
    <row r="72" spans="1:7" s="20" customFormat="1" ht="15">
      <c r="A72" s="34" t="s">
        <v>162</v>
      </c>
      <c r="B72" s="42">
        <f>IF(180.4545="","-",180.4545)</f>
        <v>180.4545</v>
      </c>
      <c r="C72" s="44">
        <f>IF(OR(179.00852="",180.4545=""),"-",180.4545/179.00852*100)</f>
        <v>100.80777160774245</v>
      </c>
      <c r="D72" s="42">
        <f>IF(179.00852="","-",179.00852/416515.52507*100)</f>
        <v>0.04297763449991826</v>
      </c>
      <c r="E72" s="42">
        <f>IF(180.4545="","-",180.4545/528186.96794*100)</f>
        <v>0.03416489064540852</v>
      </c>
      <c r="F72" s="42">
        <f>IF(OR(487807.69987="",156.734="",179.00852=""),"-",(179.00852-156.734)/487807.69987*100)</f>
        <v>0.004566250185459582</v>
      </c>
      <c r="G72" s="42">
        <f>IF(OR(416515.52507="",180.4545="",179.00852=""),"-",(180.4545-179.00852)/416515.52507*100)</f>
        <v>0.00034716112916966993</v>
      </c>
    </row>
    <row r="73" spans="1:7" s="20" customFormat="1" ht="15">
      <c r="A73" s="34" t="s">
        <v>159</v>
      </c>
      <c r="B73" s="42">
        <f>IF(178.43487="","-",178.43487)</f>
        <v>178.43487</v>
      </c>
      <c r="C73" s="43" t="s">
        <v>234</v>
      </c>
      <c r="D73" s="42">
        <f>IF(36.52277="","-",36.52277/416515.52507*100)</f>
        <v>0.008768645537008964</v>
      </c>
      <c r="E73" s="42">
        <f>IF(178.43487="","-",178.43487/528186.96794*100)</f>
        <v>0.033782520363181225</v>
      </c>
      <c r="F73" s="42">
        <f>IF(OR(487807.69987="",34.612="",36.52277=""),"-",(36.52277-34.612)/487807.69987*100)</f>
        <v>0.0003917055840875855</v>
      </c>
      <c r="G73" s="42">
        <f>IF(OR(416515.52507="",178.43487="",36.52277=""),"-",(178.43487-36.52277)/416515.52507*100)</f>
        <v>0.03407126300421817</v>
      </c>
    </row>
    <row r="74" spans="1:7" s="20" customFormat="1" ht="15">
      <c r="A74" s="34" t="s">
        <v>167</v>
      </c>
      <c r="B74" s="42">
        <f>IF(164.12356="","-",164.12356)</f>
        <v>164.12356</v>
      </c>
      <c r="C74" s="43" t="s">
        <v>29</v>
      </c>
      <c r="D74" s="42">
        <f>IF(81.9457="","-",81.9457/416515.52507*100)</f>
        <v>0.019674104581390607</v>
      </c>
      <c r="E74" s="42">
        <f>IF(164.12356="","-",164.12356/528186.96794*100)</f>
        <v>0.031073004440095125</v>
      </c>
      <c r="F74" s="42">
        <f>IF(OR(487807.69987="",185.52358="",81.9457=""),"-",(81.9457-185.52358)/487807.69987*100)</f>
        <v>-0.021233342570771915</v>
      </c>
      <c r="G74" s="42">
        <f>IF(OR(416515.52507="",164.12356="",81.9457=""),"-",(164.12356-81.9457)/416515.52507*100)</f>
        <v>0.019729843200007757</v>
      </c>
    </row>
    <row r="75" spans="1:7" s="20" customFormat="1" ht="15">
      <c r="A75" s="34" t="s">
        <v>174</v>
      </c>
      <c r="B75" s="42">
        <f>IF(161.60559="","-",161.60559)</f>
        <v>161.60559</v>
      </c>
      <c r="C75" s="44" t="s">
        <v>255</v>
      </c>
      <c r="D75" s="42">
        <f>IF(85.31325="","-",85.31325/416515.52507*100)</f>
        <v>0.02048260985845898</v>
      </c>
      <c r="E75" s="42">
        <f>IF(161.60559="","-",161.60559/528186.96794*100)</f>
        <v>0.030596284991711076</v>
      </c>
      <c r="F75" s="42" t="str">
        <f>IF(OR(487807.69987="",""="",85.31325=""),"-",(85.31325-"")/487807.69987*100)</f>
        <v>-</v>
      </c>
      <c r="G75" s="42">
        <f>IF(OR(416515.52507="",161.60559="",85.31325=""),"-",(161.60559-85.31325)/416515.52507*100)</f>
        <v>0.018316805835071392</v>
      </c>
    </row>
    <row r="76" spans="1:7" ht="15">
      <c r="A76" s="34" t="s">
        <v>177</v>
      </c>
      <c r="B76" s="42">
        <f>IF(154.30832="","-",154.30832)</f>
        <v>154.30832</v>
      </c>
      <c r="C76" s="43" t="str">
        <f>IF(OR(""="",154.30832=""),"-",154.30832/""*100)</f>
        <v>-</v>
      </c>
      <c r="D76" s="42" t="str">
        <f>IF(""="","-",""/416515.52507*100)</f>
        <v>-</v>
      </c>
      <c r="E76" s="42">
        <f>IF(154.30832="","-",154.30832/528186.96794*100)</f>
        <v>0.029214715501562478</v>
      </c>
      <c r="F76" s="42" t="str">
        <f>IF(OR(487807.69987="",14.5143="",""=""),"-",(""-14.5143)/487807.69987*100)</f>
        <v>-</v>
      </c>
      <c r="G76" s="42" t="str">
        <f>IF(OR(416515.52507="",154.30832="",""=""),"-",(154.30832-"")/416515.52507*100)</f>
        <v>-</v>
      </c>
    </row>
    <row r="77" spans="1:7" ht="15">
      <c r="A77" s="34" t="s">
        <v>118</v>
      </c>
      <c r="B77" s="42">
        <f>IF(105.8603="","-",105.8603)</f>
        <v>105.8603</v>
      </c>
      <c r="C77" s="44">
        <f>IF(OR(228.78173="",105.8603=""),"-",105.8603/228.78173*100)</f>
        <v>46.27130846505968</v>
      </c>
      <c r="D77" s="42">
        <f>IF(228.78173="","-",228.78173/416515.52507*100)</f>
        <v>0.054927539606489044</v>
      </c>
      <c r="E77" s="42">
        <f>IF(105.8603="","-",105.8603/528186.96794*100)</f>
        <v>0.02004220217944213</v>
      </c>
      <c r="F77" s="42">
        <f>IF(OR(487807.69987="",33.804="",228.78173=""),"-",(228.78173-33.804)/487807.69987*100)</f>
        <v>0.0399702034330252</v>
      </c>
      <c r="G77" s="42">
        <f>IF(OR(416515.52507="",105.8603="",228.78173=""),"-",(105.8603-228.78173)/416515.52507*100)</f>
        <v>-0.029511848322902663</v>
      </c>
    </row>
    <row r="78" spans="1:7" ht="15">
      <c r="A78" s="34" t="s">
        <v>225</v>
      </c>
      <c r="B78" s="42">
        <f>IF(99.4423="","-",99.4423)</f>
        <v>99.4423</v>
      </c>
      <c r="C78" s="43" t="str">
        <f>IF(OR(""="",99.4423=""),"-",99.4423/""*100)</f>
        <v>-</v>
      </c>
      <c r="D78" s="42" t="str">
        <f>IF(""="","-",""/416515.52507*100)</f>
        <v>-</v>
      </c>
      <c r="E78" s="42">
        <f>IF(99.4423="","-",99.4423/528186.96794*100)</f>
        <v>0.01882710215055822</v>
      </c>
      <c r="F78" s="42" t="str">
        <f>IF(OR(487807.69987="",27.7076="",""=""),"-",(""-27.7076)/487807.69987*100)</f>
        <v>-</v>
      </c>
      <c r="G78" s="42" t="str">
        <f>IF(OR(416515.52507="",99.4423="",""=""),"-",(99.4423-"")/416515.52507*100)</f>
        <v>-</v>
      </c>
    </row>
    <row r="79" spans="1:7" ht="15">
      <c r="A79" s="34" t="s">
        <v>196</v>
      </c>
      <c r="B79" s="42">
        <f>IF(91.07321="","-",91.07321)</f>
        <v>91.07321</v>
      </c>
      <c r="C79" s="43" t="s">
        <v>193</v>
      </c>
      <c r="D79" s="42">
        <f>IF(21.9411="","-",21.9411/416515.52507*100)</f>
        <v>0.005267774831757485</v>
      </c>
      <c r="E79" s="42">
        <f>IF(91.07321="","-",91.07321/528186.96794*100)</f>
        <v>0.017242608305009444</v>
      </c>
      <c r="F79" s="42">
        <f>IF(OR(487807.69987="",127.1372="",21.9411=""),"-",(21.9411-127.1372)/487807.69987*100)</f>
        <v>-0.02156507575178387</v>
      </c>
      <c r="G79" s="42">
        <f>IF(OR(416515.52507="",91.07321="",21.9411=""),"-",(91.07321-21.9411)/416515.52507*100)</f>
        <v>0.016597727056724142</v>
      </c>
    </row>
    <row r="80" spans="1:7" ht="15">
      <c r="A80" s="34" t="s">
        <v>187</v>
      </c>
      <c r="B80" s="42">
        <f>IF(86.95309="","-",86.95309)</f>
        <v>86.95309</v>
      </c>
      <c r="C80" s="43" t="s">
        <v>211</v>
      </c>
      <c r="D80" s="42">
        <f>IF(32.86435="","-",32.86435/416515.52507*100)</f>
        <v>0.007890306128319416</v>
      </c>
      <c r="E80" s="42">
        <f>IF(86.95309="","-",86.95309/528186.96794*100)</f>
        <v>0.016462558767613808</v>
      </c>
      <c r="F80" s="42">
        <f>IF(OR(487807.69987="",6.13388="",32.86435=""),"-",(32.86435-6.13388)/487807.69987*100)</f>
        <v>0.005479714651311086</v>
      </c>
      <c r="G80" s="42">
        <f>IF(OR(416515.52507="",86.95309="",32.86435=""),"-",(86.95309-32.86435)/416515.52507*100)</f>
        <v>0.01298600814241193</v>
      </c>
    </row>
    <row r="81" spans="1:7" ht="15">
      <c r="A81" s="34" t="s">
        <v>169</v>
      </c>
      <c r="B81" s="42">
        <f>IF(83.95205="","-",83.95205)</f>
        <v>83.95205</v>
      </c>
      <c r="C81" s="44">
        <f>IF(OR(113.41202="",83.95205=""),"-",83.95205/113.41202*100)</f>
        <v>74.02394384651645</v>
      </c>
      <c r="D81" s="42">
        <f>IF(113.41202="","-",113.41202/416515.52507*100)</f>
        <v>0.027228761756465106</v>
      </c>
      <c r="E81" s="42">
        <f>IF(83.95205="","-",83.95205/528186.96794*100)</f>
        <v>0.01589438117479957</v>
      </c>
      <c r="F81" s="42">
        <f>IF(OR(487807.69987="",117.31837="",113.41202=""),"-",(113.41202-117.31837)/487807.69987*100)</f>
        <v>-0.0008007971176020878</v>
      </c>
      <c r="G81" s="42">
        <f>IF(OR(416515.52507="",83.95205="",113.41202=""),"-",(83.95205-113.41202)/416515.52507*100)</f>
        <v>-0.007072958443757632</v>
      </c>
    </row>
    <row r="82" spans="1:7" ht="15">
      <c r="A82" s="34" t="s">
        <v>178</v>
      </c>
      <c r="B82" s="42">
        <f>IF(62.35872="","-",62.35872)</f>
        <v>62.35872</v>
      </c>
      <c r="C82" s="44">
        <f>IF(OR(41.97577="",62.35872=""),"-",62.35872/41.97577*100)</f>
        <v>148.55884716349456</v>
      </c>
      <c r="D82" s="42">
        <f>IF(41.97577="","-",41.97577/416515.52507*100)</f>
        <v>0.010077840434146005</v>
      </c>
      <c r="E82" s="42">
        <f>IF(62.35872="","-",62.35872/528186.96794*100)</f>
        <v>0.011806182996753473</v>
      </c>
      <c r="F82" s="42">
        <f>IF(OR(487807.69987="",93.08682="",41.97577=""),"-",(41.97577-93.08682)/487807.69987*100)</f>
        <v>-0.01047770463927097</v>
      </c>
      <c r="G82" s="42">
        <f>IF(OR(416515.52507="",62.35872="",41.97577=""),"-",(62.35872-41.97577)/416515.52507*100)</f>
        <v>0.004893683133797815</v>
      </c>
    </row>
    <row r="83" spans="1:7" ht="15">
      <c r="A83" s="39" t="s">
        <v>226</v>
      </c>
      <c r="B83" s="47">
        <f>IF(56.89749="","-",56.89749)</f>
        <v>56.89749</v>
      </c>
      <c r="C83" s="48">
        <f>IF(OR(138.86417="",56.89749=""),"-",56.89749/138.86417*100)</f>
        <v>40.97348509698362</v>
      </c>
      <c r="D83" s="47">
        <f>IF(138.86417="","-",138.86417/416515.52507*100)</f>
        <v>0.03333949436258405</v>
      </c>
      <c r="E83" s="47">
        <f>IF(56.89749="","-",56.89749/528186.96794*100)</f>
        <v>0.010772225263699298</v>
      </c>
      <c r="F83" s="47">
        <f>IF(OR(487807.69987="",138.666="",138.86417=""),"-",(138.86417-138.666)/487807.69987*100)</f>
        <v>4.0624614997429646E-05</v>
      </c>
      <c r="G83" s="47">
        <f>IF(OR(416515.52507="",56.89749="",138.86417=""),"-",(56.89749-138.86417)/416515.52507*100)</f>
        <v>-0.01967914160852098</v>
      </c>
    </row>
    <row r="84" spans="1:7" ht="15">
      <c r="A84" s="60" t="s">
        <v>30</v>
      </c>
      <c r="B84" s="60"/>
      <c r="C84" s="60"/>
      <c r="D84" s="60"/>
      <c r="E84" s="60"/>
      <c r="F84" s="60"/>
      <c r="G84" s="60"/>
    </row>
  </sheetData>
  <sheetProtection/>
  <mergeCells count="10">
    <mergeCell ref="A84:G84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00"/>
  <sheetViews>
    <sheetView zoomScalePageLayoutView="0" workbookViewId="0" topLeftCell="A1">
      <selection activeCell="A1" sqref="A1:G1"/>
    </sheetView>
  </sheetViews>
  <sheetFormatPr defaultColWidth="9.00390625" defaultRowHeight="15.75"/>
  <cols>
    <col min="1" max="1" width="27.875" style="0" customWidth="1"/>
    <col min="2" max="2" width="13.00390625" style="0" customWidth="1"/>
    <col min="3" max="3" width="11.25390625" style="0" customWidth="1"/>
    <col min="4" max="5" width="9.00390625" style="0" customWidth="1"/>
    <col min="6" max="6" width="10.00390625" style="0" customWidth="1"/>
    <col min="7" max="7" width="9.75390625" style="0" customWidth="1"/>
  </cols>
  <sheetData>
    <row r="1" spans="1:7" ht="15.75">
      <c r="A1" s="61" t="s">
        <v>33</v>
      </c>
      <c r="B1" s="61"/>
      <c r="C1" s="61"/>
      <c r="D1" s="61"/>
      <c r="E1" s="61"/>
      <c r="F1" s="61"/>
      <c r="G1" s="61"/>
    </row>
    <row r="2" ht="15">
      <c r="A2" s="2"/>
    </row>
    <row r="3" spans="1:7" ht="56.25" customHeight="1">
      <c r="A3" s="62"/>
      <c r="B3" s="65" t="s">
        <v>213</v>
      </c>
      <c r="C3" s="66"/>
      <c r="D3" s="65" t="s">
        <v>0</v>
      </c>
      <c r="E3" s="66"/>
      <c r="F3" s="67" t="s">
        <v>259</v>
      </c>
      <c r="G3" s="68"/>
    </row>
    <row r="4" spans="1:7" ht="27" customHeight="1">
      <c r="A4" s="63"/>
      <c r="B4" s="69" t="s">
        <v>256</v>
      </c>
      <c r="C4" s="71" t="s">
        <v>214</v>
      </c>
      <c r="D4" s="73" t="s">
        <v>215</v>
      </c>
      <c r="E4" s="73"/>
      <c r="F4" s="73" t="s">
        <v>215</v>
      </c>
      <c r="G4" s="65"/>
    </row>
    <row r="5" spans="1:7" ht="22.5" customHeight="1">
      <c r="A5" s="64"/>
      <c r="B5" s="70"/>
      <c r="C5" s="72"/>
      <c r="D5" s="23">
        <v>2016</v>
      </c>
      <c r="E5" s="23">
        <v>2017</v>
      </c>
      <c r="F5" s="23" t="s">
        <v>2</v>
      </c>
      <c r="G5" s="24" t="s">
        <v>194</v>
      </c>
    </row>
    <row r="6" spans="1:7" s="3" customFormat="1" ht="13.5">
      <c r="A6" s="9" t="s">
        <v>32</v>
      </c>
      <c r="B6" s="40">
        <f>IF(1030835.33871="","-",1030835.33871)</f>
        <v>1030835.33871</v>
      </c>
      <c r="C6" s="40">
        <f>IF(861112.79978="","-",1030835.33871/861112.79978*100)</f>
        <v>119.70967554696217</v>
      </c>
      <c r="D6" s="40">
        <v>100</v>
      </c>
      <c r="E6" s="40">
        <v>100</v>
      </c>
      <c r="F6" s="40">
        <f>IF(976123.13927="","-",(861112.79978-976123.13927)/976123.13927*100)</f>
        <v>-11.782359710887631</v>
      </c>
      <c r="G6" s="40">
        <f>IF(861112.79978="","-",(1030835.33871-861112.79978)/861112.79978*100)</f>
        <v>19.709675546962178</v>
      </c>
    </row>
    <row r="7" spans="1:7" ht="12.75" customHeight="1">
      <c r="A7" s="10" t="s">
        <v>3</v>
      </c>
      <c r="B7" s="31"/>
      <c r="C7" s="33"/>
      <c r="D7" s="32"/>
      <c r="E7" s="32"/>
      <c r="F7" s="32"/>
      <c r="G7" s="32"/>
    </row>
    <row r="8" spans="1:7" ht="15">
      <c r="A8" s="11" t="s">
        <v>4</v>
      </c>
      <c r="B8" s="41">
        <f>IF(490727.56525="","-",490727.56525)</f>
        <v>490727.56525</v>
      </c>
      <c r="C8" s="41">
        <f>IF(398472.98025="","-",490727.56525/398472.98025*100)</f>
        <v>123.15203026868218</v>
      </c>
      <c r="D8" s="41">
        <f>IF(398472.98025="","-",398472.98025/861112.79978*100)</f>
        <v>46.274190832119</v>
      </c>
      <c r="E8" s="41">
        <f>IF(490727.56525="","-",490727.56525/1030835.33871*100)</f>
        <v>47.60484500503276</v>
      </c>
      <c r="F8" s="41">
        <f>IF(976123.13927="","-",(398472.98025-433040.25374)/976123.13927*100)</f>
        <v>-3.5412820472477837</v>
      </c>
      <c r="G8" s="41">
        <f>IF(861112.79978="","-",(490727.56525-398472.98025)/861112.79978*100)</f>
        <v>10.713414668039945</v>
      </c>
    </row>
    <row r="9" spans="1:7" s="20" customFormat="1" ht="15">
      <c r="A9" s="34" t="s">
        <v>5</v>
      </c>
      <c r="B9" s="42">
        <f>IF(139051.90822="","-",139051.90822)</f>
        <v>139051.90822</v>
      </c>
      <c r="C9" s="42">
        <f>IF(OR(99930.41421="",139051.90822=""),"-",139051.90822/99930.41421*100)</f>
        <v>139.14873596719778</v>
      </c>
      <c r="D9" s="42">
        <f>IF(99930.41421="","-",99930.41421/861112.79978*100)</f>
        <v>11.60479953793865</v>
      </c>
      <c r="E9" s="42">
        <f>IF(139051.90822="","-",139051.90822/1030835.33871*100)</f>
        <v>13.489245372011718</v>
      </c>
      <c r="F9" s="42">
        <f>IF(OR(976123.13927="",124001.87646="",99930.41421=""),"-",(99930.41421-124001.87646)/976123.13927*100)</f>
        <v>-2.4660272133290473</v>
      </c>
      <c r="G9" s="42">
        <f>IF(OR(861112.79978="",139051.90822="",99930.41421=""),"-",(139051.90822-99930.41421)/861112.79978*100)</f>
        <v>4.543132330630192</v>
      </c>
    </row>
    <row r="10" spans="1:7" s="20" customFormat="1" ht="15">
      <c r="A10" s="34" t="s">
        <v>7</v>
      </c>
      <c r="B10" s="42">
        <f>IF(80843.43268="","-",80843.43268)</f>
        <v>80843.43268</v>
      </c>
      <c r="C10" s="42">
        <f>IF(OR(65376.45218="",80843.43268=""),"-",80843.43268/65376.45218*100)</f>
        <v>123.65833566100375</v>
      </c>
      <c r="D10" s="42">
        <f>IF(65376.45218="","-",65376.45218/861112.79978*100)</f>
        <v>7.592089235777542</v>
      </c>
      <c r="E10" s="42">
        <f>IF(80843.43268="","-",80843.43268/1030835.33871*100)</f>
        <v>7.8425166119322665</v>
      </c>
      <c r="F10" s="42">
        <f>IF(OR(976123.13927="",76738.53552="",65376.45218=""),"-",(65376.45218-76738.53552)/976123.13927*100)</f>
        <v>-1.1640010243479333</v>
      </c>
      <c r="G10" s="42">
        <f>IF(OR(861112.79978="",80843.43268="",65376.45218=""),"-",(80843.43268-65376.45218)/861112.79978*100)</f>
        <v>1.7961619550831847</v>
      </c>
    </row>
    <row r="11" spans="1:7" s="20" customFormat="1" ht="15">
      <c r="A11" s="34" t="s">
        <v>6</v>
      </c>
      <c r="B11" s="42">
        <f>IF(64958.95469="","-",64958.95469)</f>
        <v>64958.95469</v>
      </c>
      <c r="C11" s="42">
        <f>IF(OR(56900.67282="",64958.95469=""),"-",64958.95469/56900.67282*100)</f>
        <v>114.16201508810208</v>
      </c>
      <c r="D11" s="42">
        <f>IF(56900.67282="","-",56900.67282/861112.79978*100)</f>
        <v>6.607807111279403</v>
      </c>
      <c r="E11" s="42">
        <f>IF(64958.95469="","-",64958.95469/1030835.33871*100)</f>
        <v>6.301583992191268</v>
      </c>
      <c r="F11" s="42">
        <f>IF(OR(976123.13927="",57344.30305="",56900.67282=""),"-",(56900.67282-57344.30305)/976123.13927*100)</f>
        <v>-0.045448182934355416</v>
      </c>
      <c r="G11" s="42">
        <f>IF(OR(861112.79978="",64958.95469="",56900.67282=""),"-",(64958.95469-56900.67282)/861112.79978*100)</f>
        <v>0.935798640092071</v>
      </c>
    </row>
    <row r="12" spans="1:7" s="20" customFormat="1" ht="15">
      <c r="A12" s="34" t="s">
        <v>219</v>
      </c>
      <c r="B12" s="42">
        <f>IF(31409.56174="","-",31409.56174)</f>
        <v>31409.56174</v>
      </c>
      <c r="C12" s="42">
        <f>IF(OR(25021.87423="",31409.56174=""),"-",31409.56174/25021.87423*100)</f>
        <v>125.52841346449371</v>
      </c>
      <c r="D12" s="42">
        <f>IF(25021.87423="","-",25021.87423/861112.79978*100)</f>
        <v>2.905760341315641</v>
      </c>
      <c r="E12" s="42">
        <f>IF(31409.56174="","-",31409.56174/1030835.33871*100)</f>
        <v>3.0470008701201796</v>
      </c>
      <c r="F12" s="42">
        <f>IF(OR(976123.13927="",22135.50295="",25021.87423=""),"-",(25021.87423-22135.50295)/976123.13927*100)</f>
        <v>0.2956974549500583</v>
      </c>
      <c r="G12" s="42">
        <f>IF(OR(861112.79978="",31409.56174="",25021.87423=""),"-",(31409.56174-25021.87423)/861112.79978*100)</f>
        <v>0.7417945142183403</v>
      </c>
    </row>
    <row r="13" spans="1:7" s="20" customFormat="1" ht="15">
      <c r="A13" s="34" t="s">
        <v>8</v>
      </c>
      <c r="B13" s="42">
        <f>IF(30221.92643="","-",30221.92643)</f>
        <v>30221.92643</v>
      </c>
      <c r="C13" s="42">
        <f>IF(OR(24510.32214="",30221.92643=""),"-",30221.92643/24510.32214*100)</f>
        <v>123.30285280371267</v>
      </c>
      <c r="D13" s="42">
        <f>IF(24510.32214="","-",24510.32214/861112.79978*100)</f>
        <v>2.8463544086514543</v>
      </c>
      <c r="E13" s="42">
        <f>IF(30221.92643="","-",30221.92643/1030835.33871*100)</f>
        <v>2.9317899081554666</v>
      </c>
      <c r="F13" s="42">
        <f>IF(OR(976123.13927="",24588.06981="",24510.32214=""),"-",(24510.32214-24588.06981)/976123.13927*100)</f>
        <v>-0.007964944879612705</v>
      </c>
      <c r="G13" s="42">
        <f>IF(OR(861112.79978="",30221.92643="",24510.32214=""),"-",(30221.92643-24510.32214)/861112.79978*100)</f>
        <v>0.6632817781200349</v>
      </c>
    </row>
    <row r="14" spans="1:7" s="20" customFormat="1" ht="15">
      <c r="A14" s="34" t="s">
        <v>130</v>
      </c>
      <c r="B14" s="42">
        <f>IF(22900.8816="","-",22900.8816)</f>
        <v>22900.8816</v>
      </c>
      <c r="C14" s="42">
        <f>IF(OR(16018.91525="",22900.8816=""),"-",22900.8816/16018.91525*100)</f>
        <v>142.96150046739277</v>
      </c>
      <c r="D14" s="42">
        <f>IF(16018.91525="","-",16018.91525/861112.79978*100)</f>
        <v>1.860257477776729</v>
      </c>
      <c r="E14" s="42">
        <f>IF(22900.8816="","-",22900.8816/1030835.33871*100)</f>
        <v>2.2215848390159425</v>
      </c>
      <c r="F14" s="42">
        <f>IF(OR(976123.13927="",16992.74591="",16018.91525=""),"-",(16018.91525-16992.74591)/976123.13927*100)</f>
        <v>-0.0997651444599794</v>
      </c>
      <c r="G14" s="42">
        <f>IF(OR(861112.79978="",22900.8816="",16018.91525=""),"-",(22900.8816-16018.91525)/861112.79978*100)</f>
        <v>0.7991945250097582</v>
      </c>
    </row>
    <row r="15" spans="1:7" s="20" customFormat="1" ht="15">
      <c r="A15" s="34" t="s">
        <v>10</v>
      </c>
      <c r="B15" s="42">
        <f>IF(14464.35902="","-",14464.35902)</f>
        <v>14464.35902</v>
      </c>
      <c r="C15" s="42">
        <f>IF(OR(11278.25286="",14464.35902=""),"-",14464.35902/11278.25286*100)</f>
        <v>128.24999757985566</v>
      </c>
      <c r="D15" s="42">
        <f>IF(11278.25286="","-",11278.25286/861112.79978*100)</f>
        <v>1.3097300217673464</v>
      </c>
      <c r="E15" s="42">
        <f>IF(14464.35902="","-",14464.35902/1030835.33871*100)</f>
        <v>1.403168719273912</v>
      </c>
      <c r="F15" s="42">
        <f>IF(OR(976123.13927="",10576.87341="",11278.25286=""),"-",(11278.25286-10576.87341)/976123.13927*100)</f>
        <v>0.07185358299410169</v>
      </c>
      <c r="G15" s="42">
        <f>IF(OR(861112.79978="",14464.35902="",11278.25286=""),"-",(14464.35902-11278.25286)/861112.79978*100)</f>
        <v>0.36999869945191804</v>
      </c>
    </row>
    <row r="16" spans="1:7" s="20" customFormat="1" ht="15">
      <c r="A16" s="34" t="s">
        <v>9</v>
      </c>
      <c r="B16" s="42">
        <f>IF(14455.09795="","-",14455.09795)</f>
        <v>14455.09795</v>
      </c>
      <c r="C16" s="42">
        <f>IF(OR(10083.67335="",14455.09795=""),"-",14455.09795/10083.67335*100)</f>
        <v>143.35150939811035</v>
      </c>
      <c r="D16" s="42">
        <f>IF(10083.67335="","-",10083.67335/861112.79978*100)</f>
        <v>1.1710049313604687</v>
      </c>
      <c r="E16" s="42">
        <f>IF(14455.09795="","-",14455.09795/1030835.33871*100)</f>
        <v>1.4022703148777655</v>
      </c>
      <c r="F16" s="42">
        <f>IF(OR(976123.13927="",10938.69147="",10083.67335=""),"-",(10083.67335-10938.69147)/976123.13927*100)</f>
        <v>-0.08759326416946037</v>
      </c>
      <c r="G16" s="42">
        <f>IF(OR(861112.79978="",14455.09795="",10083.67335=""),"-",(14455.09795-10083.67335)/861112.79978*100)</f>
        <v>0.5076483128710695</v>
      </c>
    </row>
    <row r="17" spans="1:7" s="20" customFormat="1" ht="15">
      <c r="A17" s="34" t="s">
        <v>11</v>
      </c>
      <c r="B17" s="42">
        <f>IF(14250.49986="","-",14250.49986)</f>
        <v>14250.49986</v>
      </c>
      <c r="C17" s="42">
        <f>IF(OR(18375.22451="",14250.49986=""),"-",14250.49986/18375.22451*100)</f>
        <v>77.55279317672947</v>
      </c>
      <c r="D17" s="42">
        <f>IF(18375.22451="","-",18375.22451/861112.79978*100)</f>
        <v>2.1338928552327365</v>
      </c>
      <c r="E17" s="42">
        <f>IF(14250.49986="","-",14250.49986/1030835.33871*100)</f>
        <v>1.3824225193747481</v>
      </c>
      <c r="F17" s="42">
        <f>IF(OR(976123.13927="",19536.56344="",18375.22451=""),"-",(18375.22451-19536.56344)/976123.13927*100)</f>
        <v>-0.11897463376070734</v>
      </c>
      <c r="G17" s="42">
        <f>IF(OR(861112.79978="",14250.49986="",18375.22451=""),"-",(14250.49986-18375.22451)/861112.79978*100)</f>
        <v>-0.47899934260108534</v>
      </c>
    </row>
    <row r="18" spans="1:7" s="20" customFormat="1" ht="15">
      <c r="A18" s="34" t="s">
        <v>128</v>
      </c>
      <c r="B18" s="42">
        <f>IF(13867.04277="","-",13867.04277)</f>
        <v>13867.04277</v>
      </c>
      <c r="C18" s="42">
        <f>IF(OR(12355.2598="",13867.04277=""),"-",13867.04277/12355.2598*100)</f>
        <v>112.23594642663848</v>
      </c>
      <c r="D18" s="42">
        <f>IF(12355.2598="","-",12355.2598/861112.79978*100)</f>
        <v>1.4348015501751412</v>
      </c>
      <c r="E18" s="42">
        <f>IF(13867.04277="","-",13867.04277/1030835.33871*100)</f>
        <v>1.3452238441256184</v>
      </c>
      <c r="F18" s="42">
        <f>IF(OR(976123.13927="",9799.54939="",12355.2598=""),"-",(12355.2598-9799.54939)/976123.13927*100)</f>
        <v>0.26182254135593014</v>
      </c>
      <c r="G18" s="42">
        <f>IF(OR(861112.79978="",13867.04277="",12355.2598=""),"-",(13867.04277-12355.2598)/861112.79978*100)</f>
        <v>0.17556154900800866</v>
      </c>
    </row>
    <row r="19" spans="1:7" s="20" customFormat="1" ht="26.25">
      <c r="A19" s="34" t="s">
        <v>235</v>
      </c>
      <c r="B19" s="42">
        <f>IF(12727.3042="","-",12727.3042)</f>
        <v>12727.3042</v>
      </c>
      <c r="C19" s="42">
        <f>IF(OR(13877.95979="",12727.3042=""),"-",12727.3042/13877.95979*100)</f>
        <v>91.70875541209504</v>
      </c>
      <c r="D19" s="42">
        <f>IF(13877.95979="","-",13877.95979/861112.79978*100)</f>
        <v>1.6116308796647303</v>
      </c>
      <c r="E19" s="42">
        <f>IF(12727.3042="","-",12727.3042/1030835.33871*100)</f>
        <v>1.2346592828227159</v>
      </c>
      <c r="F19" s="42">
        <f>IF(OR(976123.13927="",12340.04691="",13877.95979=""),"-",(13877.95979-12340.04691)/976123.13927*100)</f>
        <v>0.15755316292882265</v>
      </c>
      <c r="G19" s="42">
        <f>IF(OR(861112.79978="",12727.3042="",13877.95979=""),"-",(12727.3042-13877.95979)/861112.79978*100)</f>
        <v>-0.13362425808720688</v>
      </c>
    </row>
    <row r="20" spans="1:7" s="20" customFormat="1" ht="15">
      <c r="A20" s="34" t="s">
        <v>13</v>
      </c>
      <c r="B20" s="42">
        <f>IF(10417.87003="","-",10417.87003)</f>
        <v>10417.87003</v>
      </c>
      <c r="C20" s="42">
        <f>IF(OR(9120.49365="",10417.87003=""),"-",10417.87003/9120.49365*100)</f>
        <v>114.2248482350514</v>
      </c>
      <c r="D20" s="42">
        <f>IF(9120.49365="","-",9120.49365/861112.79978*100)</f>
        <v>1.0591520242563035</v>
      </c>
      <c r="E20" s="42">
        <f>IF(10417.87003="","-",10417.87003/1030835.33871*100)</f>
        <v>1.010624067568061</v>
      </c>
      <c r="F20" s="42">
        <f>IF(OR(976123.13927="",9799.41882="",9120.49365=""),"-",(9120.49365-9799.41882)/976123.13927*100)</f>
        <v>-0.06955322978079784</v>
      </c>
      <c r="G20" s="42">
        <f>IF(OR(861112.79978="",10417.87003="",9120.49365=""),"-",(10417.87003-9120.49365)/861112.79978*100)</f>
        <v>0.15066276802893394</v>
      </c>
    </row>
    <row r="21" spans="1:7" s="20" customFormat="1" ht="15">
      <c r="A21" s="34" t="s">
        <v>129</v>
      </c>
      <c r="B21" s="42">
        <f>IF(8283.99489="","-",8283.99489)</f>
        <v>8283.99489</v>
      </c>
      <c r="C21" s="42">
        <f>IF(OR(6285.88048="",8283.99489=""),"-",8283.99489/6285.88048*100)</f>
        <v>131.7873433380967</v>
      </c>
      <c r="D21" s="42">
        <f>IF(6285.88048="","-",6285.88048/861112.79978*100)</f>
        <v>0.7299717855321552</v>
      </c>
      <c r="E21" s="42">
        <f>IF(8283.99489="","-",8283.99489/1030835.33871*100)</f>
        <v>0.8036196062473655</v>
      </c>
      <c r="F21" s="42">
        <f>IF(OR(976123.13927="",9111.13061="",6285.88048=""),"-",(6285.88048-9111.13061)/976123.13927*100)</f>
        <v>-0.2894358320521816</v>
      </c>
      <c r="G21" s="42">
        <f>IF(OR(861112.79978="",8283.99489="",6285.88048=""),"-",(8283.99489-6285.88048)/861112.79978*100)</f>
        <v>0.23203863773834105</v>
      </c>
    </row>
    <row r="22" spans="1:7" s="20" customFormat="1" ht="15">
      <c r="A22" s="34" t="s">
        <v>132</v>
      </c>
      <c r="B22" s="42">
        <f>IF(4701.15211="","-",4701.15211)</f>
        <v>4701.15211</v>
      </c>
      <c r="C22" s="42">
        <f>IF(OR(3132.27751="",4701.15211=""),"-",4701.15211/3132.27751*100)</f>
        <v>150.08734363386594</v>
      </c>
      <c r="D22" s="42">
        <f>IF(3132.27751="","-",3132.27751/861112.79978*100)</f>
        <v>0.3637476426782002</v>
      </c>
      <c r="E22" s="42">
        <f>IF(4701.15211="","-",4701.15211/1030835.33871*100)</f>
        <v>0.4560526723776349</v>
      </c>
      <c r="F22" s="42">
        <f>IF(OR(976123.13927="",3409.97888="",3132.27751=""),"-",(3132.27751-3409.97888)/976123.13927*100)</f>
        <v>-0.028449419835255726</v>
      </c>
      <c r="G22" s="42">
        <f>IF(OR(861112.79978="",4701.15211="",3132.27751=""),"-",(4701.15211-3132.27751)/861112.79978*100)</f>
        <v>0.182191531748317</v>
      </c>
    </row>
    <row r="23" spans="1:7" s="20" customFormat="1" ht="15">
      <c r="A23" s="34" t="s">
        <v>12</v>
      </c>
      <c r="B23" s="42">
        <f>IF(4433.57409="","-",4433.57409)</f>
        <v>4433.57409</v>
      </c>
      <c r="C23" s="42">
        <f>IF(OR(4325.51588="",4433.57409=""),"-",4433.57409/4325.51588*100)</f>
        <v>102.4981577457531</v>
      </c>
      <c r="D23" s="42">
        <f>IF(4325.51588="","-",4325.51588/861112.79978*100)</f>
        <v>0.5023169881001766</v>
      </c>
      <c r="E23" s="42">
        <f>IF(4433.57409="","-",4433.57409/1030835.33871*100)</f>
        <v>0.43009527550231536</v>
      </c>
      <c r="F23" s="42">
        <f>IF(OR(976123.13927="",3545.43821="",4325.51588=""),"-",(4325.51588-3545.43821)/976123.13927*100)</f>
        <v>0.07991590800556027</v>
      </c>
      <c r="G23" s="42">
        <f>IF(OR(861112.79978="",4433.57409="",4325.51588=""),"-",(4433.57409-4325.51588)/861112.79978*100)</f>
        <v>0.012548670746458213</v>
      </c>
    </row>
    <row r="24" spans="1:7" s="20" customFormat="1" ht="15">
      <c r="A24" s="34" t="s">
        <v>138</v>
      </c>
      <c r="B24" s="42">
        <f>IF(4321.47122="","-",4321.47122)</f>
        <v>4321.47122</v>
      </c>
      <c r="C24" s="42">
        <f>IF(OR(3738.58883="",4321.47122=""),"-",4321.47122/3738.58883*100)</f>
        <v>115.59097339944708</v>
      </c>
      <c r="D24" s="42">
        <f>IF(3738.58883="","-",3738.58883/861112.79978*100)</f>
        <v>0.4341578514400375</v>
      </c>
      <c r="E24" s="42">
        <f>IF(4321.47122="","-",4321.47122/1030835.33871*100)</f>
        <v>0.41922032139565013</v>
      </c>
      <c r="F24" s="42">
        <f>IF(OR(976123.13927="",3701.04976="",3738.58883=""),"-",(3738.58883-3701.04976)/976123.13927*100)</f>
        <v>0.0038457309830882713</v>
      </c>
      <c r="G24" s="42">
        <f>IF(OR(861112.79978="",4321.47122="",3738.58883=""),"-",(4321.47122-3738.58883)/861112.79978*100)</f>
        <v>0.06768943512962726</v>
      </c>
    </row>
    <row r="25" spans="1:7" s="20" customFormat="1" ht="15">
      <c r="A25" s="34" t="s">
        <v>140</v>
      </c>
      <c r="B25" s="42">
        <f>IF(4146.88802="","-",4146.88802)</f>
        <v>4146.88802</v>
      </c>
      <c r="C25" s="42">
        <f>IF(OR(2739.14807="",4146.88802=""),"-",4146.88802/2739.14807*100)</f>
        <v>151.39334983084723</v>
      </c>
      <c r="D25" s="42">
        <f>IF(2739.14807="","-",2739.14807/861112.79978*100)</f>
        <v>0.31809399078724726</v>
      </c>
      <c r="E25" s="42">
        <f>IF(4146.88802="","-",4146.88802/1030835.33871*100)</f>
        <v>0.40228423146508213</v>
      </c>
      <c r="F25" s="42">
        <f>IF(OR(976123.13927="",3663.54641="",2739.14807=""),"-",(2739.14807-3663.54641)/976123.13927*100)</f>
        <v>-0.09470099650453087</v>
      </c>
      <c r="G25" s="42">
        <f>IF(OR(861112.79978="",4146.88802="",2739.14807=""),"-",(4146.88802-2739.14807)/861112.79978*100)</f>
        <v>0.16347915747619293</v>
      </c>
    </row>
    <row r="26" spans="1:7" s="20" customFormat="1" ht="15">
      <c r="A26" s="34" t="s">
        <v>136</v>
      </c>
      <c r="B26" s="42">
        <f>IF(3360.61633="","-",3360.61633)</f>
        <v>3360.61633</v>
      </c>
      <c r="C26" s="42">
        <f>IF(OR(2531.8824="",3360.61633=""),"-",3360.61633/2531.8824*100)</f>
        <v>132.73192822857806</v>
      </c>
      <c r="D26" s="42">
        <f>IF(2531.8824="","-",2531.8824/861112.79978*100)</f>
        <v>0.29402447631098433</v>
      </c>
      <c r="E26" s="42">
        <f>IF(3360.61633="","-",3360.61633/1030835.33871*100)</f>
        <v>0.3260090340136686</v>
      </c>
      <c r="F26" s="42">
        <f>IF(OR(976123.13927="",3325.39592="",2531.8824=""),"-",(2531.8824-3325.39592)/976123.13927*100)</f>
        <v>-0.08129235831797146</v>
      </c>
      <c r="G26" s="42">
        <f>IF(OR(861112.79978="",3360.61633="",2531.8824=""),"-",(3360.61633-2531.8824)/861112.79978*100)</f>
        <v>0.09623988056056391</v>
      </c>
    </row>
    <row r="27" spans="1:7" s="20" customFormat="1" ht="15">
      <c r="A27" s="34" t="s">
        <v>139</v>
      </c>
      <c r="B27" s="42">
        <f>IF(2788.75446="","-",2788.75446)</f>
        <v>2788.75446</v>
      </c>
      <c r="C27" s="42">
        <f>IF(OR(2731.29398="",2788.75446=""),"-",2788.75446/2731.29398*100)</f>
        <v>102.103782325182</v>
      </c>
      <c r="D27" s="42">
        <f>IF(2731.29398="","-",2731.29398/861112.79978*100)</f>
        <v>0.3171819047049121</v>
      </c>
      <c r="E27" s="42">
        <f>IF(2788.75446="","-",2788.75446/1030835.33871*100)</f>
        <v>0.2705334552742324</v>
      </c>
      <c r="F27" s="42">
        <f>IF(OR(976123.13927="",1094.93924="",2731.29398=""),"-",(2731.29398-1094.93924)/976123.13927*100)</f>
        <v>0.1676381466813458</v>
      </c>
      <c r="G27" s="42">
        <f>IF(OR(861112.79978="",2788.75446="",2731.29398=""),"-",(2788.75446-2731.29398)/861112.79978*100)</f>
        <v>0.006672816849857578</v>
      </c>
    </row>
    <row r="28" spans="1:7" s="20" customFormat="1" ht="15">
      <c r="A28" s="34" t="s">
        <v>131</v>
      </c>
      <c r="B28" s="42">
        <f>IF(2647.66217="","-",2647.66217)</f>
        <v>2647.66217</v>
      </c>
      <c r="C28" s="42">
        <f>IF(OR(3986.61041="",2647.66217=""),"-",2647.66217/3986.61041*100)</f>
        <v>66.4138678652575</v>
      </c>
      <c r="D28" s="42">
        <f>IF(3986.61041="","-",3986.61041/861112.79978*100)</f>
        <v>0.4629603010219465</v>
      </c>
      <c r="E28" s="42">
        <f>IF(2647.66217="","-",2647.66217/1030835.33871*100)</f>
        <v>0.2568462751105639</v>
      </c>
      <c r="F28" s="42">
        <f>IF(OR(976123.13927="",1809.6345="",3986.61041=""),"-",(3986.61041-1809.6345)/976123.13927*100)</f>
        <v>0.2230226722858005</v>
      </c>
      <c r="G28" s="42">
        <f>IF(OR(861112.79978="",2647.66217="",3986.61041=""),"-",(2647.66217-3986.61041)/861112.79978*100)</f>
        <v>-0.1554904584326326</v>
      </c>
    </row>
    <row r="29" spans="1:7" s="20" customFormat="1" ht="15">
      <c r="A29" s="34" t="s">
        <v>133</v>
      </c>
      <c r="B29" s="42">
        <f>IF(1639.52612="","-",1639.52612)</f>
        <v>1639.52612</v>
      </c>
      <c r="C29" s="42">
        <f>IF(OR(1997.40357="",1639.52612=""),"-",1639.52612/1997.40357*100)</f>
        <v>82.08286720945432</v>
      </c>
      <c r="D29" s="42">
        <f>IF(1997.40357="","-",1997.40357/861112.79978*100)</f>
        <v>0.23195608873893214</v>
      </c>
      <c r="E29" s="42">
        <f>IF(1639.52612="","-",1639.52612/1030835.33871*100)</f>
        <v>0.15904830368463338</v>
      </c>
      <c r="F29" s="42">
        <f>IF(OR(976123.13927="",1696.16231="",1997.40357=""),"-",(1997.40357-1696.16231)/976123.13927*100)</f>
        <v>0.0308609895494625</v>
      </c>
      <c r="G29" s="42">
        <f>IF(OR(861112.79978="",1639.52612="",1997.40357=""),"-",(1639.52612-1997.40357)/861112.79978*100)</f>
        <v>-0.041559880435110434</v>
      </c>
    </row>
    <row r="30" spans="1:7" s="20" customFormat="1" ht="15">
      <c r="A30" s="34" t="s">
        <v>137</v>
      </c>
      <c r="B30" s="42">
        <f>IF(1499.19649="","-",1499.19649)</f>
        <v>1499.19649</v>
      </c>
      <c r="C30" s="42">
        <f>IF(OR(1579.23181="",1499.19649=""),"-",1499.19649/1579.23181*100)</f>
        <v>94.93200937992758</v>
      </c>
      <c r="D30" s="42">
        <f>IF(1579.23181="","-",1579.23181/861112.79978*100)</f>
        <v>0.18339430216383584</v>
      </c>
      <c r="E30" s="42">
        <f>IF(1499.19649="","-",1499.19649/1030835.33871*100)</f>
        <v>0.14543510817897579</v>
      </c>
      <c r="F30" s="42">
        <f>IF(OR(976123.13927="",2493.98498="",1579.23181=""),"-",(1579.23181-2493.98498)/976123.13927*100)</f>
        <v>-0.09371288654053465</v>
      </c>
      <c r="G30" s="42">
        <f>IF(OR(861112.79978="",1499.19649="",1579.23181=""),"-",(1499.19649-1579.23181)/861112.79978*100)</f>
        <v>-0.009294406031410478</v>
      </c>
    </row>
    <row r="31" spans="1:7" s="20" customFormat="1" ht="15">
      <c r="A31" s="34" t="s">
        <v>141</v>
      </c>
      <c r="B31" s="42">
        <f>IF(1186.15166="","-",1186.15166)</f>
        <v>1186.15166</v>
      </c>
      <c r="C31" s="42">
        <f>IF(OR(1025.32805="",1186.15166=""),"-",1186.15166/1025.32805*100)</f>
        <v>115.68508829930089</v>
      </c>
      <c r="D31" s="42">
        <f>IF(1025.32805="","-",1025.32805/861112.79978*100)</f>
        <v>0.11907012069289347</v>
      </c>
      <c r="E31" s="42">
        <f>IF(1186.15166="","-",1186.15166/1030835.33871*100)</f>
        <v>0.11506703500137712</v>
      </c>
      <c r="F31" s="42">
        <f>IF(OR(976123.13927="",1045.80728="",1025.32805=""),"-",(1025.32805-1045.80728)/976123.13927*100)</f>
        <v>-0.0020980170611789245</v>
      </c>
      <c r="G31" s="42">
        <f>IF(OR(861112.79978="",1186.15166="",1025.32805=""),"-",(1186.15166-1025.32805)/861112.79978*100)</f>
        <v>0.018676253568764473</v>
      </c>
    </row>
    <row r="32" spans="1:7" s="20" customFormat="1" ht="15">
      <c r="A32" s="34" t="s">
        <v>134</v>
      </c>
      <c r="B32" s="42">
        <f>IF(1182.84739="","-",1182.84739)</f>
        <v>1182.84739</v>
      </c>
      <c r="C32" s="42">
        <f>IF(OR(916.88537="",1182.84739=""),"-",1182.84739/916.88537*100)</f>
        <v>129.0071178690527</v>
      </c>
      <c r="D32" s="42">
        <f>IF(916.88537="","-",916.88537/861112.79978*100)</f>
        <v>0.10647680190495937</v>
      </c>
      <c r="E32" s="42">
        <f>IF(1182.84739="","-",1182.84739/1030835.33871*100)</f>
        <v>0.11474649205179845</v>
      </c>
      <c r="F32" s="42">
        <f>IF(OR(976123.13927="",2540.12755="",916.88537=""),"-",(916.88537-2540.12755)/976123.13927*100)</f>
        <v>-0.16629481616570962</v>
      </c>
      <c r="G32" s="42">
        <f>IF(OR(861112.79978="",1182.84739="",916.88537=""),"-",(1182.84739-916.88537)/861112.79978*100)</f>
        <v>0.03088585143176931</v>
      </c>
    </row>
    <row r="33" spans="1:7" s="20" customFormat="1" ht="15">
      <c r="A33" s="34" t="s">
        <v>142</v>
      </c>
      <c r="B33" s="42">
        <f>IF(470.57761="","-",470.57761)</f>
        <v>470.57761</v>
      </c>
      <c r="C33" s="42">
        <f>IF(OR(300.80008="",470.57761=""),"-",470.57761/300.80008*100)</f>
        <v>156.44198299415345</v>
      </c>
      <c r="D33" s="42">
        <f>IF(300.80008="","-",300.80008/861112.79978*100)</f>
        <v>0.03493155369155462</v>
      </c>
      <c r="E33" s="42">
        <f>IF(470.57761="","-",470.57761/1030835.33871*100)</f>
        <v>0.0456501239653742</v>
      </c>
      <c r="F33" s="42">
        <f>IF(OR(976123.13927="",362.69879="",300.80008=""),"-",(300.80008-362.69879)/976123.13927*100)</f>
        <v>-0.006341280880431883</v>
      </c>
      <c r="G33" s="42">
        <f>IF(OR(861112.79978="",470.57761="",300.80008=""),"-",(470.57761-300.80008)/861112.79978*100)</f>
        <v>0.01971606159418085</v>
      </c>
    </row>
    <row r="34" spans="1:7" s="20" customFormat="1" ht="15">
      <c r="A34" s="34" t="s">
        <v>220</v>
      </c>
      <c r="B34" s="42">
        <f>IF(253.1002="","-",253.1002)</f>
        <v>253.1002</v>
      </c>
      <c r="C34" s="42" t="s">
        <v>252</v>
      </c>
      <c r="D34" s="42">
        <f>IF(138.86424="","-",138.86424/861112.79978*100)</f>
        <v>0.01612613818253282</v>
      </c>
      <c r="E34" s="42">
        <f>IF(253.1002="","-",253.1002/1030835.33871*100)</f>
        <v>0.024552922323824545</v>
      </c>
      <c r="F34" s="42">
        <f>IF(OR(976123.13927="",259.44578="",138.86424=""),"-",(138.86424-259.44578)/976123.13927*100)</f>
        <v>-0.012353107425583385</v>
      </c>
      <c r="G34" s="42">
        <f>IF(OR(861112.79978="",253.1002="",138.86424=""),"-",(253.1002-138.86424)/861112.79978*100)</f>
        <v>0.013266085468615192</v>
      </c>
    </row>
    <row r="35" spans="1:7" s="20" customFormat="1" ht="15">
      <c r="A35" s="34" t="s">
        <v>135</v>
      </c>
      <c r="B35" s="42">
        <f>IF(195.24721="","-",195.24721)</f>
        <v>195.24721</v>
      </c>
      <c r="C35" s="42">
        <f>IF(OR(162.18153="",195.24721=""),"-",195.24721/162.18153*100)</f>
        <v>120.38806761781073</v>
      </c>
      <c r="D35" s="42">
        <f>IF(162.18153="","-",162.18153/861112.79978*100)</f>
        <v>0.01883394719500566</v>
      </c>
      <c r="E35" s="42">
        <f>IF(195.24721="","-",195.24721/1030835.33871*100)</f>
        <v>0.01894067875518652</v>
      </c>
      <c r="F35" s="42">
        <f>IF(OR(976123.13927="",178.43086="",162.18153=""),"-",(162.18153-178.43086)/976123.13927*100)</f>
        <v>-0.0016646803406537571</v>
      </c>
      <c r="G35" s="42">
        <f>IF(OR(861112.79978="",195.24721="",162.18153=""),"-",(195.24721-162.18153)/861112.79978*100)</f>
        <v>0.0038398778892205195</v>
      </c>
    </row>
    <row r="36" spans="1:7" s="20" customFormat="1" ht="15">
      <c r="A36" s="34" t="s">
        <v>143</v>
      </c>
      <c r="B36" s="42">
        <f>IF(47.96609="","-",47.96609)</f>
        <v>47.96609</v>
      </c>
      <c r="C36" s="42">
        <f>IF(OR(31.57325="",47.96609=""),"-",47.96609/31.57325*100)</f>
        <v>151.92002723824757</v>
      </c>
      <c r="D36" s="42">
        <f>IF(31.57325="","-",31.57325/861112.79978*100)</f>
        <v>0.0036665637774826293</v>
      </c>
      <c r="E36" s="42">
        <f>IF(47.96609="","-",47.96609/1030835.33871*100)</f>
        <v>0.004653128215416572</v>
      </c>
      <c r="F36" s="42">
        <f>IF(OR(976123.13927="",10.30552="",31.57325=""),"-",(31.57325-10.30552)/976123.13927*100)</f>
        <v>0.0021787958039705124</v>
      </c>
      <c r="G36" s="42">
        <f>IF(OR(861112.79978="",47.96609="",31.57325=""),"-",(47.96609-31.57325)/861112.79978*100)</f>
        <v>0.0019036809119767001</v>
      </c>
    </row>
    <row r="37" spans="1:7" s="20" customFormat="1" ht="15">
      <c r="A37" s="19" t="s">
        <v>14</v>
      </c>
      <c r="B37" s="41">
        <f>IF(271527.88478="","-",271527.88478)</f>
        <v>271527.88478</v>
      </c>
      <c r="C37" s="41">
        <f>IF(250519.17093="","-",271527.88478/250519.17093*100)</f>
        <v>108.3860703242828</v>
      </c>
      <c r="D37" s="41">
        <f>IF(250519.17093="","-",250519.17093/861112.79978*100)</f>
        <v>29.092491830803525</v>
      </c>
      <c r="E37" s="41">
        <f>IF(271527.88478="","-",271527.88478/1030835.33871*100)</f>
        <v>26.34056813766138</v>
      </c>
      <c r="F37" s="41">
        <f>IF(976123.13927="","-",(250519.17093-290043.48103)/976123.13927*100)</f>
        <v>-4.049111071125569</v>
      </c>
      <c r="G37" s="41">
        <f>IF(861112.79978="","-",(271527.88478-250519.17093)/861112.79978*100)</f>
        <v>2.439716824017412</v>
      </c>
    </row>
    <row r="38" spans="1:7" s="20" customFormat="1" ht="15">
      <c r="A38" s="34" t="s">
        <v>236</v>
      </c>
      <c r="B38" s="42">
        <f>IF(159927.76458="","-",159927.76458)</f>
        <v>159927.76458</v>
      </c>
      <c r="C38" s="42">
        <f>IF(OR(158581.71377="",159927.76458=""),"-",159927.76458/158581.71377*100)</f>
        <v>100.84880581625713</v>
      </c>
      <c r="D38" s="42">
        <f>IF(158581.71377="","-",158581.71377/861112.79978*100)</f>
        <v>18.41590483970451</v>
      </c>
      <c r="E38" s="42">
        <f>IF(159927.76458="","-",159927.76458/1030835.33871*100)</f>
        <v>15.514385137410555</v>
      </c>
      <c r="F38" s="42">
        <f>IF(OR(976123.13927="",191900.59086="",158581.71377=""),"-",(158581.71377-191900.59086)/976123.13927*100)</f>
        <v>-3.4133887159890226</v>
      </c>
      <c r="G38" s="42">
        <f>IF(OR(861112.79978="",159927.76458="",158581.71377=""),"-",(159927.76458-158581.71377)/861112.79978*100)</f>
        <v>0.15631527139578924</v>
      </c>
    </row>
    <row r="39" spans="1:7" s="20" customFormat="1" ht="15">
      <c r="A39" s="34" t="s">
        <v>17</v>
      </c>
      <c r="B39" s="42">
        <f>IF(81870.51419="","-",81870.51419)</f>
        <v>81870.51419</v>
      </c>
      <c r="C39" s="42">
        <f>IF(OR(70414.12574="",81870.51419=""),"-",81870.51419/70414.12574*100)</f>
        <v>116.2700144745133</v>
      </c>
      <c r="D39" s="42">
        <f>IF(70414.12574="","-",70414.12574/861112.79978*100)</f>
        <v>8.177108243889725</v>
      </c>
      <c r="E39" s="42">
        <f>IF(81870.51419="","-",81870.51419/1030835.33871*100)</f>
        <v>7.9421524578749665</v>
      </c>
      <c r="F39" s="42">
        <f>IF(OR(976123.13927="",71693.15324="",70414.12574=""),"-",(70414.12574-71693.15324)/976123.13927*100)</f>
        <v>-0.1310313677182702</v>
      </c>
      <c r="G39" s="42">
        <f>IF(OR(861112.79978="",81870.51419="",70414.12574=""),"-",(81870.51419-70414.12574)/861112.79978*100)</f>
        <v>1.330416694877479</v>
      </c>
    </row>
    <row r="40" spans="1:7" s="20" customFormat="1" ht="15">
      <c r="A40" s="34" t="s">
        <v>16</v>
      </c>
      <c r="B40" s="42">
        <f>IF(28040.80669="","-",28040.80669)</f>
        <v>28040.80669</v>
      </c>
      <c r="C40" s="42">
        <f>IF(OR(18736.91781="",28040.80669=""),"-",28040.80669/18736.91781*100)</f>
        <v>149.65538609041914</v>
      </c>
      <c r="D40" s="42">
        <f>IF(18736.91781="","-",18736.91781/861112.79978*100)</f>
        <v>2.175895865766595</v>
      </c>
      <c r="E40" s="42">
        <f>IF(28040.80669="","-",28040.80669/1030835.33871*100)</f>
        <v>2.7202023094290317</v>
      </c>
      <c r="F40" s="42">
        <f>IF(OR(976123.13927="",15855.05116="",18736.91781=""),"-",(18736.91781-15855.05116)/976123.13927*100)</f>
        <v>0.29523597321493894</v>
      </c>
      <c r="G40" s="42">
        <f>IF(OR(861112.79978="",28040.80669="",18736.91781=""),"-",(28040.80669-18736.91781)/861112.79978*100)</f>
        <v>1.0804494930718707</v>
      </c>
    </row>
    <row r="41" spans="1:7" s="20" customFormat="1" ht="15">
      <c r="A41" s="34" t="s">
        <v>20</v>
      </c>
      <c r="B41" s="42">
        <f>IF(927.46247="","-",927.46247)</f>
        <v>927.46247</v>
      </c>
      <c r="C41" s="42">
        <f>IF(OR(879.31886="",927.46247=""),"-",927.46247/879.31886*100)</f>
        <v>105.4751026265944</v>
      </c>
      <c r="D41" s="42">
        <f>IF(879.31886="","-",879.31886/861112.79978*100)</f>
        <v>0.10211424800846663</v>
      </c>
      <c r="E41" s="42">
        <f>IF(927.46247="","-",927.46247/1030835.33871*100)</f>
        <v>0.08997193200231551</v>
      </c>
      <c r="F41" s="42">
        <f>IF(OR(976123.13927="",6551.8695="",879.31886=""),"-",(879.31886-6551.8695)/976123.13927*100)</f>
        <v>-0.5811306393414926</v>
      </c>
      <c r="G41" s="42">
        <f>IF(OR(861112.79978="",927.46247="",879.31886=""),"-",(927.46247-879.31886)/861112.79978*100)</f>
        <v>0.005590859874838694</v>
      </c>
    </row>
    <row r="42" spans="1:7" s="20" customFormat="1" ht="15">
      <c r="A42" s="34" t="s">
        <v>18</v>
      </c>
      <c r="B42" s="42">
        <f>IF(500.84874="","-",500.84874)</f>
        <v>500.84874</v>
      </c>
      <c r="C42" s="42">
        <f>IF(OR(1443.31597="",500.84874=""),"-",500.84874/1443.31597*100)</f>
        <v>34.70125394649378</v>
      </c>
      <c r="D42" s="42">
        <f>IF(1443.31597="","-",1443.31597/861112.79978*100)</f>
        <v>0.16761055814856582</v>
      </c>
      <c r="E42" s="42">
        <f>IF(500.84874="","-",500.84874/1030835.33871*100)</f>
        <v>0.04858668704807581</v>
      </c>
      <c r="F42" s="42">
        <f>IF(OR(976123.13927="",2475.47517="",1443.31597=""),"-",(1443.31597-2475.47517)/976123.13927*100)</f>
        <v>-0.10574067537953324</v>
      </c>
      <c r="G42" s="42">
        <f>IF(OR(861112.79978="",500.84874="",1443.31597=""),"-",(500.84874-1443.31597)/861112.79978*100)</f>
        <v>-0.10944759272429637</v>
      </c>
    </row>
    <row r="43" spans="1:7" s="20" customFormat="1" ht="15">
      <c r="A43" s="34" t="s">
        <v>23</v>
      </c>
      <c r="B43" s="42">
        <f>IF(206.52632="","-",206.52632)</f>
        <v>206.52632</v>
      </c>
      <c r="C43" s="43" t="s">
        <v>238</v>
      </c>
      <c r="D43" s="44">
        <f>IF(19.88276="","-",19.88276/861112.79978*100)</f>
        <v>0.0023089611494660997</v>
      </c>
      <c r="E43" s="44">
        <f>IF(206.52632="","-",206.52632/1030835.33871*100)</f>
        <v>0.02003485059587204</v>
      </c>
      <c r="F43" s="44">
        <f>IF(OR(976123.13927="",35.33054="",19.88276=""),"-",(19.88276-35.33054)/976123.13927*100)</f>
        <v>-0.0015825646763739992</v>
      </c>
      <c r="G43" s="44">
        <f>IF(OR(861112.79978="",206.52632="",19.88276=""),"-",(206.52632-19.88276)/861112.79978*100)</f>
        <v>0.02167469349517094</v>
      </c>
    </row>
    <row r="44" spans="1:7" s="20" customFormat="1" ht="15">
      <c r="A44" s="34" t="s">
        <v>19</v>
      </c>
      <c r="B44" s="42">
        <f>IF(48.80301="","-",48.80301)</f>
        <v>48.80301</v>
      </c>
      <c r="C44" s="44">
        <f>IF(OR(377.93582="",48.80301=""),"-",48.80301/377.93582*100)</f>
        <v>12.913041690517717</v>
      </c>
      <c r="D44" s="44">
        <f>IF(377.93582="","-",377.93582/861112.79978*100)</f>
        <v>0.043889234963939254</v>
      </c>
      <c r="E44" s="44">
        <f>IF(48.80301="","-",48.80301/1030835.33871*100)</f>
        <v>0.004734316739768806</v>
      </c>
      <c r="F44" s="44" t="str">
        <f>IF(OR(976123.13927="",""="",377.93582=""),"-",(377.93582-"")/976123.13927*100)</f>
        <v>-</v>
      </c>
      <c r="G44" s="44">
        <f>IF(OR(861112.79978="",48.80301="",377.93582=""),"-",(48.80301-377.93582)/861112.79978*100)</f>
        <v>-0.038221799755396496</v>
      </c>
    </row>
    <row r="45" spans="1:7" s="20" customFormat="1" ht="15">
      <c r="A45" s="34" t="s">
        <v>22</v>
      </c>
      <c r="B45" s="42">
        <f>IF(4.47522="","-",4.47522)</f>
        <v>4.47522</v>
      </c>
      <c r="C45" s="43" t="s">
        <v>197</v>
      </c>
      <c r="D45" s="44">
        <f>IF(0.63973="","-",0.63973/861112.79978*100)</f>
        <v>7.42910801190553E-05</v>
      </c>
      <c r="E45" s="44">
        <f>IF(4.47522="","-",4.47522/1030835.33871*100)</f>
        <v>0.00043413529124839133</v>
      </c>
      <c r="F45" s="44">
        <f>IF(OR(976123.13927="",1348.89612="",0.63973=""),"-",(0.63973-1348.89612)/976123.13927*100)</f>
        <v>-0.13812359688638282</v>
      </c>
      <c r="G45" s="44">
        <f>IF(OR(861112.79978="",4.47522="",0.63973=""),"-",(4.47522-0.63973)/861112.79978*100)</f>
        <v>0.00044541086846925325</v>
      </c>
    </row>
    <row r="46" spans="1:7" s="20" customFormat="1" ht="15">
      <c r="A46" s="34" t="s">
        <v>21</v>
      </c>
      <c r="B46" s="42">
        <f>IF(0.66757="","-",0.66757)</f>
        <v>0.66757</v>
      </c>
      <c r="C46" s="44">
        <f>IF(OR(65.23106="",0.66757=""),"-",0.66757/65.23106*100)</f>
        <v>1.0233928438385027</v>
      </c>
      <c r="D46" s="44">
        <f>IF(65.23106="","-",65.23106/861112.79978*100)</f>
        <v>0.007575205015726796</v>
      </c>
      <c r="E46" s="44">
        <f>IF(0.66757="","-",0.66757/1030835.33871*100)</f>
        <v>6.476010037019154E-05</v>
      </c>
      <c r="F46" s="44">
        <f>IF(OR(976123.13927="",96.38489="",65.23106=""),"-",(65.23106-96.38489)/976123.13927*100)</f>
        <v>-0.0031915881046830417</v>
      </c>
      <c r="G46" s="44">
        <f>IF(OR(861112.79978="",0.66757="",65.23106=""),"-",(0.66757-65.23106)/861112.79978*100)</f>
        <v>-0.007497680909689752</v>
      </c>
    </row>
    <row r="47" spans="1:7" s="20" customFormat="1" ht="15">
      <c r="A47" s="34" t="s">
        <v>24</v>
      </c>
      <c r="B47" s="42">
        <f>IF(0.01599="","-",0.01599)</f>
        <v>0.01599</v>
      </c>
      <c r="C47" s="44">
        <f>IF(OR(0.08941="",0.01599=""),"-",0.01599/0.08941*100)</f>
        <v>17.883905603400066</v>
      </c>
      <c r="D47" s="44">
        <f>IF(0.08941="","-",0.08941/861112.79978*100)</f>
        <v>1.038307641261897E-05</v>
      </c>
      <c r="E47" s="44">
        <f>IF(0.01599="","-",0.01599/1030835.33871*100)</f>
        <v>1.551169173149427E-06</v>
      </c>
      <c r="F47" s="44">
        <f>IF(OR(976123.13927="",86.72955="",0.08941=""),"-",(0.08941-86.72955)/976123.13927*100)</f>
        <v>-0.008875943670876851</v>
      </c>
      <c r="G47" s="44">
        <f>IF(OR(861112.79978="",0.01599="",0.08941=""),"-",(0.01599-0.08941)/861112.79978*100)</f>
        <v>-8.526176828257296E-06</v>
      </c>
    </row>
    <row r="48" spans="1:7" s="20" customFormat="1" ht="15">
      <c r="A48" s="19" t="s">
        <v>25</v>
      </c>
      <c r="B48" s="41">
        <f>IF(268579.88868="","-",268579.88868)</f>
        <v>268579.88868</v>
      </c>
      <c r="C48" s="45">
        <f>IF(212120.6486="","-",268579.88868/212120.6486*100)</f>
        <v>126.61656960443595</v>
      </c>
      <c r="D48" s="45">
        <f>IF(212120.6486="","-",212120.6486/861112.79978*100)</f>
        <v>24.633317337077475</v>
      </c>
      <c r="E48" s="45">
        <f>IF(268579.88868="","-",268579.88868/1030835.33871*100)</f>
        <v>26.054586857305857</v>
      </c>
      <c r="F48" s="45">
        <f>IF(976123.13927="","-",(212120.6486-253039.4045)/976123.13927*100)</f>
        <v>-4.1919665925142775</v>
      </c>
      <c r="G48" s="45">
        <f>IF(861112.79978="","-",(268579.88868-212120.6486)/861112.79978*100)</f>
        <v>6.556544054904815</v>
      </c>
    </row>
    <row r="49" spans="1:7" s="20" customFormat="1" ht="15">
      <c r="A49" s="34" t="s">
        <v>147</v>
      </c>
      <c r="B49" s="42">
        <f>IF(105217.41857="","-",105217.41857)</f>
        <v>105217.41857</v>
      </c>
      <c r="C49" s="44">
        <f>IF(OR(79862.65833="",105217.41857=""),"-",105217.41857/79862.65833*100)</f>
        <v>131.7479542632199</v>
      </c>
      <c r="D49" s="44">
        <f>IF(79862.65833="","-",79862.65833/861112.79978*100)</f>
        <v>9.27435503808602</v>
      </c>
      <c r="E49" s="44">
        <f>IF(105217.41857="","-",105217.41857/1030835.33871*100)</f>
        <v>10.207005388626895</v>
      </c>
      <c r="F49" s="44">
        <f>IF(OR(976123.13927="",96392.57077="",79862.65833=""),"-",(79862.65833-96392.57077)/976123.13927*100)</f>
        <v>-1.693424914848551</v>
      </c>
      <c r="G49" s="44">
        <f>IF(OR(861112.79978="",105217.41857="",79862.65833=""),"-",(105217.41857-79862.65833)/861112.79978*100)</f>
        <v>2.944417995700181</v>
      </c>
    </row>
    <row r="50" spans="1:7" s="20" customFormat="1" ht="15">
      <c r="A50" s="34" t="s">
        <v>144</v>
      </c>
      <c r="B50" s="42">
        <f>IF(68960.28493="","-",68960.28493)</f>
        <v>68960.28493</v>
      </c>
      <c r="C50" s="44">
        <f>IF(OR(60388.16278="",68960.28493=""),"-",68960.28493/60388.16278*100)</f>
        <v>114.1950371651959</v>
      </c>
      <c r="D50" s="44">
        <f>IF(60388.16278="","-",60388.16278/861112.79978*100)</f>
        <v>7.012805151128652</v>
      </c>
      <c r="E50" s="44">
        <f>IF(68960.28493="","-",68960.28493/1030835.33871*100)</f>
        <v>6.68974785209612</v>
      </c>
      <c r="F50" s="44">
        <f>IF(OR(976123.13927="",60354.18402="",60388.16278=""),"-",(60388.16278-60354.18402)/976123.13927*100)</f>
        <v>0.0034809911406679063</v>
      </c>
      <c r="G50" s="44">
        <f>IF(OR(861112.79978="",68960.28493="",60388.16278=""),"-",(68960.28493-60388.16278)/861112.79978*100)</f>
        <v>0.9954702975254845</v>
      </c>
    </row>
    <row r="51" spans="1:7" s="20" customFormat="1" ht="15">
      <c r="A51" s="34" t="s">
        <v>26</v>
      </c>
      <c r="B51" s="42">
        <f>IF(23707.90847="","-",23707.90847)</f>
        <v>23707.90847</v>
      </c>
      <c r="C51" s="43" t="s">
        <v>29</v>
      </c>
      <c r="D51" s="44">
        <f>IF(12069.5964="","-",12069.5964/861112.79978*100)</f>
        <v>1.4016278010364707</v>
      </c>
      <c r="E51" s="44">
        <f>IF(23707.90847="","-",23707.90847/1030835.33871*100)</f>
        <v>2.2998734695754965</v>
      </c>
      <c r="F51" s="44">
        <f>IF(OR(976123.13927="",13583.65955="",12069.5964=""),"-",(12069.5964-13583.65955)/976123.13927*100)</f>
        <v>-0.15510985131776528</v>
      </c>
      <c r="G51" s="44">
        <f>IF(OR(861112.79978="",23707.90847="",12069.5964=""),"-",(23707.90847-12069.5964)/861112.79978*100)</f>
        <v>1.3515432673830179</v>
      </c>
    </row>
    <row r="52" spans="1:7" s="20" customFormat="1" ht="15">
      <c r="A52" s="34" t="s">
        <v>159</v>
      </c>
      <c r="B52" s="42">
        <f>IF(7169.8759="","-",7169.8759)</f>
        <v>7169.8759</v>
      </c>
      <c r="C52" s="44">
        <f>IF(OR(6502.04619="",7169.8759=""),"-",7169.8759/6502.04619*100)</f>
        <v>110.27106991376203</v>
      </c>
      <c r="D52" s="44">
        <f>IF(6502.04619="","-",6502.04619/861112.79978*100)</f>
        <v>0.7550748510138469</v>
      </c>
      <c r="E52" s="44">
        <f>IF(7169.8759="","-",7169.8759/1030835.33871*100)</f>
        <v>0.6955403671911821</v>
      </c>
      <c r="F52" s="44">
        <f>IF(OR(976123.13927="",7922.68786="",6502.04619=""),"-",(6502.04619-7922.68786)/976123.13927*100)</f>
        <v>-0.145539185871819</v>
      </c>
      <c r="G52" s="44">
        <f>IF(OR(861112.79978="",7169.8759="",6502.04619=""),"-",(7169.8759-6502.04619)/861112.79978*100)</f>
        <v>0.07755426584886665</v>
      </c>
    </row>
    <row r="53" spans="1:7" s="20" customFormat="1" ht="15">
      <c r="A53" s="34" t="s">
        <v>227</v>
      </c>
      <c r="B53" s="42">
        <f>IF(6978.01991="","-",6978.01991)</f>
        <v>6978.01991</v>
      </c>
      <c r="C53" s="44">
        <f>IF(OR(5006.70182="",6978.01991=""),"-",6978.01991/5006.70182*100)</f>
        <v>139.3735868616198</v>
      </c>
      <c r="D53" s="44">
        <f>IF(5006.70182="","-",5006.70182/861112.79978*100)</f>
        <v>0.5814222969719101</v>
      </c>
      <c r="E53" s="44">
        <f>IF(6978.01991="","-",6978.01991/1030835.33871*100)</f>
        <v>0.6769286662923664</v>
      </c>
      <c r="F53" s="44">
        <f>IF(OR(976123.13927="",6757.52756="",5006.70182=""),"-",(5006.70182-6757.52756)/976123.13927*100)</f>
        <v>-0.17936525316973498</v>
      </c>
      <c r="G53" s="44">
        <f>IF(OR(861112.79978="",6978.01991="",5006.70182=""),"-",(6978.01991-5006.70182)/861112.79978*100)</f>
        <v>0.22892681313106006</v>
      </c>
    </row>
    <row r="54" spans="1:7" s="20" customFormat="1" ht="15">
      <c r="A54" s="34" t="s">
        <v>162</v>
      </c>
      <c r="B54" s="42">
        <f>IF(6319.50264="","-",6319.50264)</f>
        <v>6319.50264</v>
      </c>
      <c r="C54" s="43" t="s">
        <v>211</v>
      </c>
      <c r="D54" s="44">
        <f>IF(2397.16164="","-",2397.16164/861112.79978*100)</f>
        <v>0.27837951550742657</v>
      </c>
      <c r="E54" s="44">
        <f>IF(6319.50264="","-",6319.50264/1030835.33871*100)</f>
        <v>0.6130467595249792</v>
      </c>
      <c r="F54" s="44">
        <f>IF(OR(976123.13927="",2195.1577="",2397.16164=""),"-",(2397.16164-2195.1577)/976123.13927*100)</f>
        <v>0.020694514029353874</v>
      </c>
      <c r="G54" s="44">
        <f>IF(OR(861112.79978="",6319.50264="",2397.16164=""),"-",(6319.50264-2397.16164)/861112.79978*100)</f>
        <v>0.4554967712710916</v>
      </c>
    </row>
    <row r="55" spans="1:7" s="20" customFormat="1" ht="15">
      <c r="A55" s="34" t="s">
        <v>166</v>
      </c>
      <c r="B55" s="42">
        <f>IF(5882.61261="","-",5882.61261)</f>
        <v>5882.61261</v>
      </c>
      <c r="C55" s="44">
        <f>IF(OR(6360.51658="",5882.61261=""),"-",5882.61261/6360.51658*100)</f>
        <v>92.4863969146355</v>
      </c>
      <c r="D55" s="44">
        <f>IF(6360.51658="","-",6360.51658/861112.79978*100)</f>
        <v>0.738639186599596</v>
      </c>
      <c r="E55" s="44">
        <f>IF(5882.61261="","-",5882.61261/1030835.33871*100)</f>
        <v>0.5706646240282733</v>
      </c>
      <c r="F55" s="44">
        <f>IF(OR(976123.13927="",20057.96887="",6360.51658=""),"-",(6360.51658-20057.96887)/976123.13927*100)</f>
        <v>-1.4032504444309895</v>
      </c>
      <c r="G55" s="44">
        <f>IF(OR(861112.79978="",5882.61261="",6360.51658=""),"-",(5882.61261-6360.51658)/861112.79978*100)</f>
        <v>-0.05549841671405846</v>
      </c>
    </row>
    <row r="56" spans="1:7" s="20" customFormat="1" ht="15">
      <c r="A56" s="34" t="s">
        <v>118</v>
      </c>
      <c r="B56" s="42">
        <f>IF(5643.08669="","-",5643.08669)</f>
        <v>5643.08669</v>
      </c>
      <c r="C56" s="44">
        <f>IF(OR(3719.58018="",5643.08669=""),"-",5643.08669/3719.58018*100)</f>
        <v>151.71300030962095</v>
      </c>
      <c r="D56" s="44">
        <f>IF(3719.58018="","-",3719.58018/861112.79978*100)</f>
        <v>0.43195039963989507</v>
      </c>
      <c r="E56" s="44">
        <f>IF(5643.08669="","-",5643.08669/1030835.33871*100)</f>
        <v>0.5474285250117471</v>
      </c>
      <c r="F56" s="44">
        <f>IF(OR(976123.13927="",7364.26225="",3719.58018=""),"-",(3719.58018-7364.26225)/976123.13927*100)</f>
        <v>-0.37338343118530093</v>
      </c>
      <c r="G56" s="44">
        <f>IF(OR(861112.79978="",5643.08669="",3719.58018=""),"-",(5643.08669-3719.58018)/861112.79978*100)</f>
        <v>0.223374511503188</v>
      </c>
    </row>
    <row r="57" spans="1:7" s="20" customFormat="1" ht="15">
      <c r="A57" s="34" t="s">
        <v>160</v>
      </c>
      <c r="B57" s="42">
        <f>IF(3405.33975="","-",3405.33975)</f>
        <v>3405.33975</v>
      </c>
      <c r="C57" s="44">
        <f>IF(OR(2292.72949="",3405.33975=""),"-",3405.33975/2292.72949*100)</f>
        <v>148.52775980998962</v>
      </c>
      <c r="D57" s="44">
        <f>IF(2292.72949="","-",2292.72949/861112.79978*100)</f>
        <v>0.2662519347739059</v>
      </c>
      <c r="E57" s="44">
        <f>IF(3405.33975="","-",3405.33975/1030835.33871*100)</f>
        <v>0.33034759501565825</v>
      </c>
      <c r="F57" s="44">
        <f>IF(OR(976123.13927="",2901.21313="",2292.72949=""),"-",(2292.72949-2901.21313)/976123.13927*100)</f>
        <v>-0.06233677038483673</v>
      </c>
      <c r="G57" s="44">
        <f>IF(OR(861112.79978="",3405.33975="",2292.72949=""),"-",(3405.33975-2292.72949)/861112.79978*100)</f>
        <v>0.12920609939653124</v>
      </c>
    </row>
    <row r="58" spans="1:7" s="20" customFormat="1" ht="15">
      <c r="A58" s="34" t="s">
        <v>171</v>
      </c>
      <c r="B58" s="42">
        <f>IF(3336.38002="","-",3336.38002)</f>
        <v>3336.38002</v>
      </c>
      <c r="C58" s="44">
        <f>IF(OR(2841.40636="",3336.38002=""),"-",3336.38002/2841.40636*100)</f>
        <v>117.42002365335735</v>
      </c>
      <c r="D58" s="44">
        <f>IF(2841.40636="","-",2841.40636/861112.79978*100)</f>
        <v>0.3299691237577623</v>
      </c>
      <c r="E58" s="44">
        <f>IF(3336.38002="","-",3336.38002/1030835.33871*100)</f>
        <v>0.32365790099660213</v>
      </c>
      <c r="F58" s="44">
        <f>IF(OR(976123.13927="",1961.16278="",2841.40636=""),"-",(2841.40636-1961.16278)/976123.13927*100)</f>
        <v>0.09017751394135536</v>
      </c>
      <c r="G58" s="44">
        <f>IF(OR(861112.79978="",3336.38002="",2841.40636=""),"-",(3336.38002-2841.40636)/861112.79978*100)</f>
        <v>0.05748069940737818</v>
      </c>
    </row>
    <row r="59" spans="1:7" s="20" customFormat="1" ht="15">
      <c r="A59" s="34" t="s">
        <v>156</v>
      </c>
      <c r="B59" s="42">
        <f>IF(3329.91038="","-",3329.91038)</f>
        <v>3329.91038</v>
      </c>
      <c r="C59" s="44">
        <f>IF(OR(3113.45568="",3329.91038=""),"-",3329.91038/3113.45568*100)</f>
        <v>106.95223321759313</v>
      </c>
      <c r="D59" s="44">
        <f>IF(3113.45568="","-",3113.45568/861112.79978*100)</f>
        <v>0.3615618860613193</v>
      </c>
      <c r="E59" s="44">
        <f>IF(3329.91038="","-",3329.91038/1030835.33871*100)</f>
        <v>0.3230302896063973</v>
      </c>
      <c r="F59" s="44">
        <f>IF(OR(976123.13927="",2812.16047="",3113.45568=""),"-",(3113.45568-2812.16047)/976123.13927*100)</f>
        <v>0.030866516516074576</v>
      </c>
      <c r="G59" s="44">
        <f>IF(OR(861112.79978="",3329.91038="",3113.45568=""),"-",(3329.91038-3113.45568)/861112.79978*100)</f>
        <v>0.025136625544911233</v>
      </c>
    </row>
    <row r="60" spans="1:7" s="20" customFormat="1" ht="15">
      <c r="A60" s="34" t="s">
        <v>154</v>
      </c>
      <c r="B60" s="42">
        <f>IF(2205.02044="","-",2205.02044)</f>
        <v>2205.02044</v>
      </c>
      <c r="C60" s="43" t="s">
        <v>38</v>
      </c>
      <c r="D60" s="44">
        <f>IF(685.3675="","-",685.3675/861112.79978*100)</f>
        <v>0.07959090843558474</v>
      </c>
      <c r="E60" s="44">
        <f>IF(2205.02044="","-",2205.02044/1030835.33871*100)</f>
        <v>0.21390617465243184</v>
      </c>
      <c r="F60" s="44">
        <f>IF(OR(976123.13927="",232.20532="",685.3675=""),"-",(685.3675-232.20532)/976123.13927*100)</f>
        <v>0.046424693951922925</v>
      </c>
      <c r="G60" s="44">
        <f>IF(OR(861112.79978="",2205.02044="",685.3675=""),"-",(2205.02044-685.3675)/861112.79978*100)</f>
        <v>0.17647547921575965</v>
      </c>
    </row>
    <row r="61" spans="1:7" s="20" customFormat="1" ht="15">
      <c r="A61" s="34" t="s">
        <v>150</v>
      </c>
      <c r="B61" s="42">
        <f>IF(2128.76659="","-",2128.76659)</f>
        <v>2128.76659</v>
      </c>
      <c r="C61" s="44">
        <f>IF(OR(2373.38413="",2128.76659=""),"-",2128.76659/2373.38413*100)</f>
        <v>89.69330177496386</v>
      </c>
      <c r="D61" s="44">
        <f>IF(2373.38413="","-",2373.38413/861112.79978*100)</f>
        <v>0.275618261696535</v>
      </c>
      <c r="E61" s="44">
        <f>IF(2128.76659="","-",2128.76659/1030835.33871*100)</f>
        <v>0.2065088875070935</v>
      </c>
      <c r="F61" s="44">
        <f>IF(OR(976123.13927="",4631.34677="",2373.38413=""),"-",(2373.38413-4631.34677)/976123.13927*100)</f>
        <v>-0.23131944620108402</v>
      </c>
      <c r="G61" s="44">
        <f>IF(OR(861112.79978="",2128.76659="",2373.38413=""),"-",(2128.76659-2373.38413)/861112.79978*100)</f>
        <v>-0.028407142486152274</v>
      </c>
    </row>
    <row r="62" spans="1:7" s="20" customFormat="1" ht="15">
      <c r="A62" s="34" t="s">
        <v>161</v>
      </c>
      <c r="B62" s="42">
        <f>IF(1975.09137="","-",1975.09137)</f>
        <v>1975.09137</v>
      </c>
      <c r="C62" s="44">
        <f>IF(OR(1450.1394="",1975.09137=""),"-",1975.09137/1450.1394*100)</f>
        <v>136.2001039348355</v>
      </c>
      <c r="D62" s="44">
        <f>IF(1450.1394="","-",1450.1394/861112.79978*100)</f>
        <v>0.1684029549172288</v>
      </c>
      <c r="E62" s="44">
        <f>IF(1975.09137="","-",1975.09137/1030835.33871*100)</f>
        <v>0.19160105361460092</v>
      </c>
      <c r="F62" s="44">
        <f>IF(OR(976123.13927="",1187.62581="",1450.1394=""),"-",(1450.1394-1187.62581)/976123.13927*100)</f>
        <v>0.02689349114255426</v>
      </c>
      <c r="G62" s="44">
        <f>IF(OR(861112.79978="",1975.09137="",1450.1394=""),"-",(1975.09137-1450.1394)/861112.79978*100)</f>
        <v>0.06096204470937101</v>
      </c>
    </row>
    <row r="63" spans="1:7" s="20" customFormat="1" ht="15">
      <c r="A63" s="34" t="s">
        <v>149</v>
      </c>
      <c r="B63" s="42">
        <f>IF(1868.56301="","-",1868.56301)</f>
        <v>1868.56301</v>
      </c>
      <c r="C63" s="44" t="s">
        <v>252</v>
      </c>
      <c r="D63" s="44">
        <f>IF(1066.86153="","-",1066.86153/861112.79978*100)</f>
        <v>0.12389335407307442</v>
      </c>
      <c r="E63" s="44">
        <f>IF(1868.56301="","-",1868.56301/1030835.33871*100)</f>
        <v>0.1812668754971422</v>
      </c>
      <c r="F63" s="44">
        <f>IF(OR(976123.13927="",2167.18582="",1066.86153=""),"-",(1066.86153-2167.18582)/976123.13927*100)</f>
        <v>-0.11272392239598836</v>
      </c>
      <c r="G63" s="44">
        <f>IF(OR(861112.79978="",1868.56301="",1066.86153=""),"-",(1868.56301-1066.86153)/861112.79978*100)</f>
        <v>0.09310063445867041</v>
      </c>
    </row>
    <row r="64" spans="1:7" s="20" customFormat="1" ht="15">
      <c r="A64" s="34" t="s">
        <v>172</v>
      </c>
      <c r="B64" s="42">
        <f>IF(1723.64333="","-",1723.64333)</f>
        <v>1723.64333</v>
      </c>
      <c r="C64" s="44">
        <f>IF(OR(1461.9101="",1723.64333=""),"-",1723.64333/1461.9101*100)</f>
        <v>117.90351061942866</v>
      </c>
      <c r="D64" s="44">
        <f>IF(1461.9101="","-",1461.9101/861112.79978*100)</f>
        <v>0.16976987223665632</v>
      </c>
      <c r="E64" s="44">
        <f>IF(1723.64333="","-",1723.64333/1030835.33871*100)</f>
        <v>0.16720840519078328</v>
      </c>
      <c r="F64" s="44">
        <f>IF(OR(976123.13927="",798.81783="",1461.9101=""),"-",(1461.9101-798.81783)/976123.13927*100)</f>
        <v>0.06793121106583928</v>
      </c>
      <c r="G64" s="44">
        <f>IF(OR(861112.79978="",1723.64333="",1461.9101=""),"-",(1723.64333-1461.9101)/861112.79978*100)</f>
        <v>0.03039476710448022</v>
      </c>
    </row>
    <row r="65" spans="1:7" s="20" customFormat="1" ht="15">
      <c r="A65" s="34" t="s">
        <v>168</v>
      </c>
      <c r="B65" s="42">
        <f>IF(1617.53288="","-",1617.53288)</f>
        <v>1617.53288</v>
      </c>
      <c r="C65" s="44">
        <f>IF(OR(1416.89675="",1617.53288=""),"-",1617.53288/1416.89675*100)</f>
        <v>114.16025056165877</v>
      </c>
      <c r="D65" s="44">
        <f>IF(1416.89675="","-",1416.89675/861112.79978*100)</f>
        <v>0.16454252571347142</v>
      </c>
      <c r="E65" s="44">
        <f>IF(1617.53288="","-",1617.53288/1030835.33871*100)</f>
        <v>0.15691476798071363</v>
      </c>
      <c r="F65" s="44">
        <f>IF(OR(976123.13927="",1440.00817="",1416.89675=""),"-",(1416.89675-1440.00817)/976123.13927*100)</f>
        <v>-0.0023676746375753347</v>
      </c>
      <c r="G65" s="44">
        <f>IF(OR(861112.79978="",1617.53288="",1416.89675=""),"-",(1617.53288-1416.89675)/861112.79978*100)</f>
        <v>0.023299633921509362</v>
      </c>
    </row>
    <row r="66" spans="1:7" s="20" customFormat="1" ht="15">
      <c r="A66" s="34" t="s">
        <v>152</v>
      </c>
      <c r="B66" s="42">
        <f>IF(1569.7378="","-",1569.7378)</f>
        <v>1569.7378</v>
      </c>
      <c r="C66" s="43" t="s">
        <v>127</v>
      </c>
      <c r="D66" s="44">
        <f>IF(654.43306="","-",654.43306/861112.79978*100)</f>
        <v>0.075998528899721</v>
      </c>
      <c r="E66" s="44">
        <f>IF(1569.7378="","-",1569.7378/1030835.33871*100)</f>
        <v>0.15227822922372736</v>
      </c>
      <c r="F66" s="44">
        <f>IF(OR(976123.13927="",632.81207="",654.43306=""),"-",(654.43306-632.81207)/976123.13927*100)</f>
        <v>0.002214985910094233</v>
      </c>
      <c r="G66" s="44">
        <f>IF(OR(861112.79978="",1569.7378="",654.43306=""),"-",(1569.7378-654.43306)/861112.79978*100)</f>
        <v>0.10629324523266236</v>
      </c>
    </row>
    <row r="67" spans="1:7" s="20" customFormat="1" ht="15">
      <c r="A67" s="34" t="s">
        <v>174</v>
      </c>
      <c r="B67" s="42">
        <f>IF(1323.26138="","-",1323.26138)</f>
        <v>1323.26138</v>
      </c>
      <c r="C67" s="44">
        <f>IF(OR(1268.27196="",1323.26138=""),"-",1323.26138/1268.27196*100)</f>
        <v>104.33577511246088</v>
      </c>
      <c r="D67" s="44">
        <f>IF(1268.27196="","-",1268.27196/861112.79978*100)</f>
        <v>0.14728290652792786</v>
      </c>
      <c r="E67" s="44">
        <f>IF(1323.26138="","-",1323.26138/1030835.33871*100)</f>
        <v>0.1283678712117054</v>
      </c>
      <c r="F67" s="44">
        <f>IF(OR(976123.13927="",1127.38979="",1268.27196=""),"-",(1268.27196-1127.38979)/976123.13927*100)</f>
        <v>0.014432827614901098</v>
      </c>
      <c r="G67" s="44">
        <f>IF(OR(861112.79978="",1323.26138="",1268.27196=""),"-",(1323.26138-1268.27196)/861112.79978*100)</f>
        <v>0.006385855606146926</v>
      </c>
    </row>
    <row r="68" spans="1:7" s="20" customFormat="1" ht="15">
      <c r="A68" s="34" t="s">
        <v>175</v>
      </c>
      <c r="B68" s="42">
        <f>IF(1295.91908="","-",1295.91908)</f>
        <v>1295.91908</v>
      </c>
      <c r="C68" s="44">
        <f>IF(OR(1050.5244="",1295.91908=""),"-",1295.91908/1050.5244*100)</f>
        <v>123.35925562509541</v>
      </c>
      <c r="D68" s="44">
        <f>IF(1050.5244="","-",1050.5244/861112.79978*100)</f>
        <v>0.12199614269679787</v>
      </c>
      <c r="E68" s="44">
        <f>IF(1295.91908="","-",1295.91908/1030835.33871*100)</f>
        <v>0.12571543013084213</v>
      </c>
      <c r="F68" s="44">
        <f>IF(OR(976123.13927="",1143.77493="",1050.5244=""),"-",(1050.5244-1143.77493)/976123.13927*100)</f>
        <v>-0.00955315228668158</v>
      </c>
      <c r="G68" s="44">
        <f>IF(OR(861112.79978="",1295.91908="",1050.5244=""),"-",(1295.91908-1050.5244)/861112.79978*100)</f>
        <v>0.028497390825301186</v>
      </c>
    </row>
    <row r="69" spans="1:7" s="20" customFormat="1" ht="15">
      <c r="A69" s="34" t="s">
        <v>155</v>
      </c>
      <c r="B69" s="42">
        <f>IF(1278.58076="","-",1278.58076)</f>
        <v>1278.58076</v>
      </c>
      <c r="C69" s="44">
        <f>IF(OR(962.56892="",1278.58076=""),"-",1278.58076/962.56892*100)</f>
        <v>132.83004815904508</v>
      </c>
      <c r="D69" s="44">
        <f>IF(962.56892="","-",962.56892/861112.79978*100)</f>
        <v>0.11178197795293722</v>
      </c>
      <c r="E69" s="44">
        <f>IF(1278.58076="","-",1278.58076/1030835.33871*100)</f>
        <v>0.12403346218223675</v>
      </c>
      <c r="F69" s="44">
        <f>IF(OR(976123.13927="",1346.48033="",962.56892=""),"-",(962.56892-1346.48033)/976123.13927*100)</f>
        <v>-0.03933022326333854</v>
      </c>
      <c r="G69" s="44">
        <f>IF(OR(861112.79978="",1278.58076="",962.56892=""),"-",(1278.58076-962.56892)/861112.79978*100)</f>
        <v>0.03669807719508243</v>
      </c>
    </row>
    <row r="70" spans="1:7" s="20" customFormat="1" ht="15">
      <c r="A70" s="34" t="s">
        <v>177</v>
      </c>
      <c r="B70" s="42">
        <f>IF(837.10908="","-",837.10908)</f>
        <v>837.10908</v>
      </c>
      <c r="C70" s="44">
        <f>IF(OR(625.15516="",837.10908=""),"-",837.10908/625.15516*100)</f>
        <v>133.90421027637362</v>
      </c>
      <c r="D70" s="44">
        <f>IF(625.15516="","-",625.15516/861112.79978*100)</f>
        <v>0.07259852137370584</v>
      </c>
      <c r="E70" s="44">
        <f>IF(837.10908="","-",837.10908/1030835.33871*100)</f>
        <v>0.08120686675794103</v>
      </c>
      <c r="F70" s="44">
        <f>IF(OR(976123.13927="",255.19226="",625.15516=""),"-",(625.15516-255.19226)/976123.13927*100)</f>
        <v>0.03790125293789051</v>
      </c>
      <c r="G70" s="44">
        <f>IF(OR(861112.79978="",837.10908="",625.15516=""),"-",(837.10908-625.15516)/861112.79978*100)</f>
        <v>0.02461395534407927</v>
      </c>
    </row>
    <row r="71" spans="1:7" s="20" customFormat="1" ht="15">
      <c r="A71" s="34" t="s">
        <v>173</v>
      </c>
      <c r="B71" s="42">
        <f>IF(704.5643="","-",704.5643)</f>
        <v>704.5643</v>
      </c>
      <c r="C71" s="44">
        <f>IF(OR(1521.38668="",704.5643=""),"-",704.5643/1521.38668*100)</f>
        <v>46.31066574080956</v>
      </c>
      <c r="D71" s="44">
        <f>IF(1521.38668="","-",1521.38668/861112.79978*100)</f>
        <v>0.1766768163693176</v>
      </c>
      <c r="E71" s="44">
        <f>IF(704.5643="","-",704.5643/1030835.33871*100)</f>
        <v>0.06834886945976264</v>
      </c>
      <c r="F71" s="44">
        <f>IF(OR(976123.13927="",1843.52651="",1521.38668=""),"-",(1521.38668-1843.52651)/976123.13927*100)</f>
        <v>-0.03300196635446161</v>
      </c>
      <c r="G71" s="44">
        <f>IF(OR(861112.79978="",704.5643="",1521.38668=""),"-",(704.5643-1521.38668)/861112.79978*100)</f>
        <v>-0.09485660649901902</v>
      </c>
    </row>
    <row r="72" spans="1:7" s="20" customFormat="1" ht="15">
      <c r="A72" s="34" t="s">
        <v>179</v>
      </c>
      <c r="B72" s="42">
        <f>IF(675.75634="","-",675.75634)</f>
        <v>675.75634</v>
      </c>
      <c r="C72" s="44" t="s">
        <v>255</v>
      </c>
      <c r="D72" s="44">
        <f>IF(359.49332="","-",359.49332/861112.79978*100)</f>
        <v>0.04174752948647895</v>
      </c>
      <c r="E72" s="44">
        <f>IF(675.75634="","-",675.75634/1030835.33871*100)</f>
        <v>0.06555424660214403</v>
      </c>
      <c r="F72" s="44">
        <f>IF(OR(976123.13927="",290.16531="",359.49332=""),"-",(359.49332-290.16531)/976123.13927*100)</f>
        <v>0.007102383624656967</v>
      </c>
      <c r="G72" s="44">
        <f>IF(OR(861112.79978="",675.75634="",359.49332=""),"-",(675.75634-359.49332)/861112.79978*100)</f>
        <v>0.03672724642820313</v>
      </c>
    </row>
    <row r="73" spans="1:7" s="20" customFormat="1" ht="15">
      <c r="A73" s="34" t="s">
        <v>176</v>
      </c>
      <c r="B73" s="42">
        <f>IF(622.24538="","-",622.24538)</f>
        <v>622.24538</v>
      </c>
      <c r="C73" s="44">
        <f>IF(OR(697.83758="",622.24538=""),"-",622.24538/697.83758*100)</f>
        <v>89.16765130361709</v>
      </c>
      <c r="D73" s="44">
        <f>IF(697.83758="","-",697.83758/861112.79978*100)</f>
        <v>0.08103904391832126</v>
      </c>
      <c r="E73" s="44">
        <f>IF(622.24538="","-",622.24538/1030835.33871*100)</f>
        <v>0.06036321773550036</v>
      </c>
      <c r="F73" s="44">
        <f>IF(OR(976123.13927="",638.64876="",697.83758=""),"-",(697.83758-638.64876)/976123.13927*100)</f>
        <v>0.006063663242761022</v>
      </c>
      <c r="G73" s="44">
        <f>IF(OR(861112.79978="",622.24538="",697.83758=""),"-",(622.24538-697.83758)/861112.79978*100)</f>
        <v>-0.008778431817447446</v>
      </c>
    </row>
    <row r="74" spans="1:7" s="20" customFormat="1" ht="15">
      <c r="A74" s="34" t="s">
        <v>146</v>
      </c>
      <c r="B74" s="42">
        <f>IF(602.10141="","-",602.10141)</f>
        <v>602.10141</v>
      </c>
      <c r="C74" s="43" t="s">
        <v>189</v>
      </c>
      <c r="D74" s="44">
        <f>IF(181.57402="","-",181.57402/861112.79978*100)</f>
        <v>0.02108597387547707</v>
      </c>
      <c r="E74" s="44">
        <f>IF(602.10141="","-",602.10141/1030835.33871*100)</f>
        <v>0.05840907731718599</v>
      </c>
      <c r="F74" s="44">
        <f>IF(OR(976123.13927="",509.07145="",181.57402=""),"-",(181.57402-509.07145)/976123.13927*100)</f>
        <v>-0.03355083153186196</v>
      </c>
      <c r="G74" s="44">
        <f>IF(OR(861112.79978="",602.10141="",181.57402=""),"-",(602.10141-181.57402)/861112.79978*100)</f>
        <v>0.04883534307090055</v>
      </c>
    </row>
    <row r="75" spans="1:7" s="20" customFormat="1" ht="15">
      <c r="A75" s="34" t="s">
        <v>164</v>
      </c>
      <c r="B75" s="42">
        <f>IF(585.22152="","-",585.22152)</f>
        <v>585.22152</v>
      </c>
      <c r="C75" s="44">
        <f>IF(OR(773.42159="",585.22152=""),"-",585.22152/773.42159*100)</f>
        <v>75.66656110543798</v>
      </c>
      <c r="D75" s="44">
        <f>IF(773.42159="","-",773.42159/861112.79978*100)</f>
        <v>0.08981652464085964</v>
      </c>
      <c r="E75" s="44">
        <f>IF(585.22152="","-",585.22152/1030835.33871*100)</f>
        <v>0.056771581068646076</v>
      </c>
      <c r="F75" s="44">
        <f>IF(OR(976123.13927="",966.92686="",773.42159=""),"-",(773.42159-966.92686)/976123.13927*100)</f>
        <v>-0.01982385850874452</v>
      </c>
      <c r="G75" s="44">
        <f>IF(OR(861112.79978="",585.22152="",773.42159=""),"-",(585.22152-773.42159)/861112.79978*100)</f>
        <v>-0.021855449140702816</v>
      </c>
    </row>
    <row r="76" spans="1:7" s="20" customFormat="1" ht="15">
      <c r="A76" s="34" t="s">
        <v>163</v>
      </c>
      <c r="B76" s="42">
        <f>IF(573.21921="","-",573.21921)</f>
        <v>573.21921</v>
      </c>
      <c r="C76" s="44">
        <f>IF(OR(635.21592="",573.21921=""),"-",573.21921/635.21592*100)</f>
        <v>90.24005727060494</v>
      </c>
      <c r="D76" s="44">
        <f>IF(635.21592="","-",635.21592/861112.79978*100)</f>
        <v>0.07376686540512313</v>
      </c>
      <c r="E76" s="44">
        <f>IF(573.21921="","-",573.21921/1030835.33871*100)</f>
        <v>0.055607252533400105</v>
      </c>
      <c r="F76" s="44">
        <f>IF(OR(976123.13927="",306.16476="",635.21592=""),"-",(635.21592-306.16476)/976123.13927*100)</f>
        <v>0.03371000509690642</v>
      </c>
      <c r="G76" s="44">
        <f>IF(OR(861112.79978="",573.21921="",635.21592=""),"-",(573.21921-635.21592)/861112.79978*100)</f>
        <v>-0.007199603816809961</v>
      </c>
    </row>
    <row r="77" spans="1:7" s="20" customFormat="1" ht="15">
      <c r="A77" s="34" t="s">
        <v>158</v>
      </c>
      <c r="B77" s="42">
        <f>IF(540.84998="","-",540.84998)</f>
        <v>540.84998</v>
      </c>
      <c r="C77" s="44">
        <f>IF(OR(700.51059="",540.84998=""),"-",540.84998/700.51059*100)</f>
        <v>77.20796626357925</v>
      </c>
      <c r="D77" s="44">
        <f>IF(700.51059="","-",700.51059/861112.79978*100)</f>
        <v>0.08134945737410579</v>
      </c>
      <c r="E77" s="44">
        <f>IF(540.84998="","-",540.84998/1030835.33871*100)</f>
        <v>0.05246715548933609</v>
      </c>
      <c r="F77" s="44">
        <f>IF(OR(976123.13927="",635.12242="",700.51059=""),"-",(700.51059-635.12242)/976123.13927*100)</f>
        <v>0.006698762417301254</v>
      </c>
      <c r="G77" s="44">
        <f>IF(OR(861112.79978="",540.84998="",700.51059=""),"-",(540.84998-700.51059)/861112.79978*100)</f>
        <v>-0.018541195769101404</v>
      </c>
    </row>
    <row r="78" spans="1:7" s="20" customFormat="1" ht="15">
      <c r="A78" s="34" t="s">
        <v>165</v>
      </c>
      <c r="B78" s="42">
        <f>IF(450.9233="","-",450.9233)</f>
        <v>450.9233</v>
      </c>
      <c r="C78" s="44">
        <f>IF(OR(323.80259="",450.9233=""),"-",450.9233/323.80259*100)</f>
        <v>139.2587069794593</v>
      </c>
      <c r="D78" s="44">
        <f>IF(323.80259="","-",323.80259/861112.79978*100)</f>
        <v>0.03760280767893895</v>
      </c>
      <c r="E78" s="44">
        <f>IF(450.9233="","-",450.9233/1030835.33871*100)</f>
        <v>0.043743484828943774</v>
      </c>
      <c r="F78" s="44">
        <f>IF(OR(976123.13927="",168.89888="",323.80259=""),"-",(323.80259-168.89888)/976123.13927*100)</f>
        <v>0.015869279578378376</v>
      </c>
      <c r="G78" s="44">
        <f>IF(OR(861112.79978="",450.9233="",323.80259=""),"-",(450.9233-323.80259)/861112.79978*100)</f>
        <v>0.014762376082724262</v>
      </c>
    </row>
    <row r="79" spans="1:7" s="20" customFormat="1" ht="15">
      <c r="A79" s="34" t="s">
        <v>178</v>
      </c>
      <c r="B79" s="42">
        <f>IF(411.03615="","-",411.03615)</f>
        <v>411.03615</v>
      </c>
      <c r="C79" s="43" t="s">
        <v>211</v>
      </c>
      <c r="D79" s="44">
        <f>IF(157.65463="","-",157.65463/861112.79978*100)</f>
        <v>0.018308243709799474</v>
      </c>
      <c r="E79" s="44">
        <f>IF(411.03615="","-",411.03615/1030835.33871*100)</f>
        <v>0.03987408411069567</v>
      </c>
      <c r="F79" s="44">
        <f>IF(OR(976123.13927="",496.07771="",157.65463=""),"-",(157.65463-496.07771)/976123.13927*100)</f>
        <v>-0.034670121666523744</v>
      </c>
      <c r="G79" s="44">
        <f>IF(OR(861112.79978="",411.03615="",157.65463=""),"-",(411.03615-157.65463)/861112.79978*100)</f>
        <v>0.029424893006437112</v>
      </c>
    </row>
    <row r="80" spans="1:7" s="20" customFormat="1" ht="15">
      <c r="A80" s="34" t="s">
        <v>185</v>
      </c>
      <c r="B80" s="42">
        <f>IF(389.71043="","-",389.71043)</f>
        <v>389.71043</v>
      </c>
      <c r="C80" s="43" t="s">
        <v>190</v>
      </c>
      <c r="D80" s="44">
        <f>IF(186.26117="","-",186.26117/861112.79978*100)</f>
        <v>0.021630287001608458</v>
      </c>
      <c r="E80" s="44">
        <f>IF(389.71043="","-",389.71043/1030835.33871*100)</f>
        <v>0.03780530365671091</v>
      </c>
      <c r="F80" s="44">
        <f>IF(OR(976123.13927="",513.1182="",186.26117=""),"-",(186.26117-513.1182)/976123.13927*100)</f>
        <v>-0.03348522505515463</v>
      </c>
      <c r="G80" s="44">
        <f>IF(OR(861112.79978="",389.71043="",186.26117=""),"-",(389.71043-186.26117)/861112.79978*100)</f>
        <v>0.023626319345384006</v>
      </c>
    </row>
    <row r="81" spans="1:7" s="20" customFormat="1" ht="15">
      <c r="A81" s="34" t="s">
        <v>186</v>
      </c>
      <c r="B81" s="42">
        <f>IF(326.62599="","-",326.62599)</f>
        <v>326.62599</v>
      </c>
      <c r="C81" s="44">
        <f>IF(OR(238.86413="",326.62599=""),"-",326.62599/238.86413*100)</f>
        <v>136.74133073057055</v>
      </c>
      <c r="D81" s="44">
        <f>IF(238.86413="","-",238.86413/861112.79978*100)</f>
        <v>0.027739005860907627</v>
      </c>
      <c r="E81" s="44">
        <f>IF(326.62599="","-",326.62599/1030835.33871*100)</f>
        <v>0.031685563904778793</v>
      </c>
      <c r="F81" s="44">
        <f>IF(OR(976123.13927="",119.68726="",238.86413=""),"-",(238.86413-119.68726)/976123.13927*100)</f>
        <v>0.012209204474870576</v>
      </c>
      <c r="G81" s="44">
        <f>IF(OR(861112.79978="",326.62599="",238.86413=""),"-",(326.62599-238.86413)/861112.79978*100)</f>
        <v>0.010191679884728425</v>
      </c>
    </row>
    <row r="82" spans="1:7" s="20" customFormat="1" ht="15">
      <c r="A82" s="34" t="s">
        <v>183</v>
      </c>
      <c r="B82" s="42">
        <f>IF(277.38659="","-",277.38659)</f>
        <v>277.38659</v>
      </c>
      <c r="C82" s="44">
        <f>IF(OR(269.97211="",277.38659=""),"-",277.38659/269.97211*100)</f>
        <v>102.74638739534984</v>
      </c>
      <c r="D82" s="44">
        <f>IF(269.97211="","-",269.97211/861112.79978*100)</f>
        <v>0.03135153838950871</v>
      </c>
      <c r="E82" s="44">
        <f>IF(277.38659="","-",277.38659/1030835.33871*100)</f>
        <v>0.026908913536775426</v>
      </c>
      <c r="F82" s="44">
        <f>IF(OR(976123.13927="",492.43413="",269.97211=""),"-",(269.97211-492.43413)/976123.13927*100)</f>
        <v>-0.022790364355707176</v>
      </c>
      <c r="G82" s="44">
        <f>IF(OR(861112.79978="",277.38659="",269.97211=""),"-",(277.38659-269.97211)/861112.79978*100)</f>
        <v>0.0008610346985777359</v>
      </c>
    </row>
    <row r="83" spans="1:7" s="20" customFormat="1" ht="15">
      <c r="A83" s="34" t="s">
        <v>157</v>
      </c>
      <c r="B83" s="42">
        <f>IF(267.19953="","-",267.19953)</f>
        <v>267.19953</v>
      </c>
      <c r="C83" s="44">
        <f>IF(OR(448.25499="",267.19953=""),"-",267.19953/448.25499*100)</f>
        <v>59.60882443271852</v>
      </c>
      <c r="D83" s="44">
        <f>IF(448.25499="","-",448.25499/861112.79978*100)</f>
        <v>0.05205531611125996</v>
      </c>
      <c r="E83" s="44">
        <f>IF(267.19953="","-",267.19953/1030835.33871*100)</f>
        <v>0.02592068005103286</v>
      </c>
      <c r="F83" s="44">
        <f>IF(OR(976123.13927="",129.72965="",448.25499=""),"-",(448.25499-129.72965)/976123.13927*100)</f>
        <v>0.032631675982828484</v>
      </c>
      <c r="G83" s="44">
        <f>IF(OR(861112.79978="",267.19953="",448.25499=""),"-",(267.19953-448.25499)/861112.79978*100)</f>
        <v>-0.02102575412260237</v>
      </c>
    </row>
    <row r="84" spans="1:7" s="20" customFormat="1" ht="15">
      <c r="A84" s="34" t="s">
        <v>181</v>
      </c>
      <c r="B84" s="42">
        <f>IF(245.71238="","-",245.71238)</f>
        <v>245.71238</v>
      </c>
      <c r="C84" s="44">
        <f>IF(OR(255.63107="",245.71238=""),"-",245.71238/255.63107*100)</f>
        <v>96.11992000815863</v>
      </c>
      <c r="D84" s="44">
        <f>IF(255.63107="","-",255.63107/861112.79978*100)</f>
        <v>0.029686130558657296</v>
      </c>
      <c r="E84" s="44">
        <f>IF(245.71238="","-",245.71238/1030835.33871*100)</f>
        <v>0.02383623948199986</v>
      </c>
      <c r="F84" s="44">
        <f>IF(OR(976123.13927="",332.84214="",255.63107=""),"-",(255.63107-332.84214)/976123.13927*100)</f>
        <v>-0.007909972307156121</v>
      </c>
      <c r="G84" s="44">
        <f>IF(OR(861112.79978="",245.71238="",255.63107=""),"-",(245.71238-255.63107)/861112.79978*100)</f>
        <v>-0.0011518456121583675</v>
      </c>
    </row>
    <row r="85" spans="1:7" s="20" customFormat="1" ht="15">
      <c r="A85" s="34" t="s">
        <v>126</v>
      </c>
      <c r="B85" s="42">
        <f>IF(230.43411="","-",230.43411)</f>
        <v>230.43411</v>
      </c>
      <c r="C85" s="44">
        <f>IF(OR(1058.37531="",230.43411=""),"-",230.43411/1058.37531*100)</f>
        <v>21.772438172239678</v>
      </c>
      <c r="D85" s="44">
        <f>IF(1058.37531="","-",1058.37531/861112.79978*100)</f>
        <v>0.1229078594895346</v>
      </c>
      <c r="E85" s="44">
        <f>IF(230.43411="","-",230.43411/1030835.33871*100)</f>
        <v>0.02235411431357874</v>
      </c>
      <c r="F85" s="44">
        <f>IF(OR(976123.13927="",749.35555="",1058.37531=""),"-",(1058.37531-749.35555)/976123.13927*100)</f>
        <v>0.031657866468681635</v>
      </c>
      <c r="G85" s="44">
        <f>IF(OR(861112.79978="",230.43411="",1058.37531=""),"-",(230.43411-1058.37531)/861112.79978*100)</f>
        <v>-0.09614782177335246</v>
      </c>
    </row>
    <row r="86" spans="1:7" s="20" customFormat="1" ht="15">
      <c r="A86" s="34" t="s">
        <v>125</v>
      </c>
      <c r="B86" s="42">
        <f>IF(227.40013="","-",227.40013)</f>
        <v>227.40013</v>
      </c>
      <c r="C86" s="44">
        <f>IF(OR(812.05145="",227.40013=""),"-",227.40013/812.05145*100)</f>
        <v>28.003167779578497</v>
      </c>
      <c r="D86" s="44">
        <f>IF(812.05145="","-",812.05145/861112.79978*100)</f>
        <v>0.09430256410164449</v>
      </c>
      <c r="E86" s="44">
        <f>IF(227.40013="","-",227.40013/1030835.33871*100)</f>
        <v>0.022059791846539847</v>
      </c>
      <c r="F86" s="44">
        <f>IF(OR(976123.13927="",1050.10051="",812.05145=""),"-",(812.05145-1050.10051)/976123.13927*100)</f>
        <v>-0.024387195674720554</v>
      </c>
      <c r="G86" s="44">
        <f>IF(OR(861112.79978="",227.40013="",812.05145=""),"-",(227.40013-812.05145)/861112.79978*100)</f>
        <v>-0.06789485885581642</v>
      </c>
    </row>
    <row r="87" spans="1:7" s="20" customFormat="1" ht="15">
      <c r="A87" s="34" t="s">
        <v>180</v>
      </c>
      <c r="B87" s="42">
        <f>IF(208.84673="","-",208.84673)</f>
        <v>208.84673</v>
      </c>
      <c r="C87" s="44">
        <f>IF(OR(369.73413="",208.84673=""),"-",208.84673/369.73413*100)</f>
        <v>56.48565091894546</v>
      </c>
      <c r="D87" s="44">
        <f>IF(369.73413="","-",369.73413/861112.79978*100)</f>
        <v>0.042936782509151054</v>
      </c>
      <c r="E87" s="44">
        <f>IF(208.84673="","-",208.84673/1030835.33871*100)</f>
        <v>0.020259950562167704</v>
      </c>
      <c r="F87" s="44">
        <f>IF(OR(976123.13927="",121.74737="",369.73413=""),"-",(369.73413-121.74737)/976123.13927*100)</f>
        <v>0.025405274193731182</v>
      </c>
      <c r="G87" s="44">
        <f>IF(OR(861112.79978="",208.84673="",369.73413=""),"-",(208.84673-369.73413)/861112.79978*100)</f>
        <v>-0.018683661425205157</v>
      </c>
    </row>
    <row r="88" spans="1:7" s="20" customFormat="1" ht="15">
      <c r="A88" s="34" t="s">
        <v>170</v>
      </c>
      <c r="B88" s="42">
        <f>IF(202.01156="","-",202.01156)</f>
        <v>202.01156</v>
      </c>
      <c r="C88" s="44">
        <f>IF(OR(314.32989="",202.01156=""),"-",202.01156/314.32989*100)</f>
        <v>64.26737209114921</v>
      </c>
      <c r="D88" s="44">
        <f>IF(314.32989="","-",314.32989/861112.79978*100)</f>
        <v>0.03650275435231087</v>
      </c>
      <c r="E88" s="44">
        <f>IF(202.01156="","-",202.01156/1030835.33871*100)</f>
        <v>0.01959687958047691</v>
      </c>
      <c r="F88" s="44">
        <f>IF(OR(976123.13927="",179.98659="",314.32989=""),"-",(314.32989-179.98659)/976123.13927*100)</f>
        <v>0.013762945943528136</v>
      </c>
      <c r="G88" s="44">
        <f>IF(OR(861112.79978="",202.01156="",314.32989=""),"-",(202.01156-314.32989)/861112.79978*100)</f>
        <v>-0.013043393389193081</v>
      </c>
    </row>
    <row r="89" spans="1:7" s="20" customFormat="1" ht="15">
      <c r="A89" s="34" t="s">
        <v>148</v>
      </c>
      <c r="B89" s="42">
        <f>IF(185.99133="","-",185.99133)</f>
        <v>185.99133</v>
      </c>
      <c r="C89" s="44">
        <f>IF(OR(368.27436="",185.99133=""),"-",185.99133/368.27436*100)</f>
        <v>50.50346975010696</v>
      </c>
      <c r="D89" s="44">
        <f>IF(368.27436="","-",368.27436/861112.79978*100)</f>
        <v>0.042767261164168964</v>
      </c>
      <c r="E89" s="44">
        <f>IF(185.99133="","-",185.99133/1030835.33871*100)</f>
        <v>0.018042777834212768</v>
      </c>
      <c r="F89" s="44">
        <f>IF(OR(976123.13927="",205.28261="",368.27436=""),"-",(368.27436-205.28261)/976123.13927*100)</f>
        <v>0.01669786766062061</v>
      </c>
      <c r="G89" s="44">
        <f>IF(OR(861112.79978="",185.99133="",368.27436=""),"-",(185.99133-368.27436)/861112.79978*100)</f>
        <v>-0.021168310359173652</v>
      </c>
    </row>
    <row r="90" spans="1:7" s="20" customFormat="1" ht="15">
      <c r="A90" s="34" t="s">
        <v>184</v>
      </c>
      <c r="B90" s="42">
        <f>IF(182.36774="","-",182.36774)</f>
        <v>182.36774</v>
      </c>
      <c r="C90" s="44">
        <f>IF(OR(182.26921="",182.36774=""),"-",182.36774/182.26921*100)</f>
        <v>100.05405740223487</v>
      </c>
      <c r="D90" s="44">
        <f>IF(182.26921="","-",182.26921/861112.79978*100)</f>
        <v>0.021166705459095107</v>
      </c>
      <c r="E90" s="44">
        <f>IF(182.36774="","-",182.36774/1030835.33871*100)</f>
        <v>0.017691258065348943</v>
      </c>
      <c r="F90" s="44">
        <f>IF(OR(976123.13927="",361.43715="",182.26921=""),"-",(182.26921-361.43715)/976123.13927*100)</f>
        <v>-0.018355055094175093</v>
      </c>
      <c r="G90" s="44">
        <f>IF(OR(861112.79978="",182.36774="",182.26921=""),"-",(182.36774-182.26921)/861112.79978*100)</f>
        <v>1.1442171109892184E-05</v>
      </c>
    </row>
    <row r="91" spans="1:7" s="20" customFormat="1" ht="15">
      <c r="A91" s="34" t="s">
        <v>188</v>
      </c>
      <c r="B91" s="42">
        <f>IF(179.38521="","-",179.38521)</f>
        <v>179.38521</v>
      </c>
      <c r="C91" s="44">
        <f>IF(OR(160.54996="",179.38521=""),"-",179.38521/160.54996*100)</f>
        <v>111.73170644203212</v>
      </c>
      <c r="D91" s="44">
        <f>IF(160.54996="","-",160.54996/861112.79978*100)</f>
        <v>0.0186444749214061</v>
      </c>
      <c r="E91" s="44">
        <f>IF(179.38521="","-",179.38521/1030835.33871*100)</f>
        <v>0.01740192669611859</v>
      </c>
      <c r="F91" s="44">
        <f>IF(OR(976123.13927="",546.56598="",160.54996=""),"-",(160.54996-546.56598)/976123.13927*100)</f>
        <v>-0.03954583233101968</v>
      </c>
      <c r="G91" s="44">
        <f>IF(OR(861112.79978="",179.38521="",160.54996=""),"-",(179.38521-160.54996)/861112.79978*100)</f>
        <v>0.0021873150654376635</v>
      </c>
    </row>
    <row r="92" spans="1:7" s="20" customFormat="1" ht="15">
      <c r="A92" s="34" t="s">
        <v>182</v>
      </c>
      <c r="B92" s="42">
        <f>IF(176.17722="","-",176.17722)</f>
        <v>176.17722</v>
      </c>
      <c r="C92" s="44">
        <f>IF(OR(264.19934="",176.17722=""),"-",176.17722/264.19934*100)</f>
        <v>66.68344440224567</v>
      </c>
      <c r="D92" s="44">
        <f>IF(264.19934="","-",264.19934/861112.79978*100)</f>
        <v>0.030681153510608433</v>
      </c>
      <c r="E92" s="44">
        <f>IF(176.17722="","-",176.17722/1030835.33871*100)</f>
        <v>0.017090723744538128</v>
      </c>
      <c r="F92" s="44">
        <f>IF(OR(976123.13927="",484.05525="",264.19934=""),"-",(264.19934-484.05525)/976123.13927*100)</f>
        <v>-0.02252337857336531</v>
      </c>
      <c r="G92" s="44">
        <f>IF(OR(861112.79978="",176.17722="",264.19934=""),"-",(176.17722-264.19934)/861112.79978*100)</f>
        <v>-0.010221903567394212</v>
      </c>
    </row>
    <row r="93" spans="1:7" s="20" customFormat="1" ht="15">
      <c r="A93" s="34" t="s">
        <v>123</v>
      </c>
      <c r="B93" s="42">
        <f>IF(148.76047="","-",148.76047)</f>
        <v>148.76047</v>
      </c>
      <c r="C93" s="43" t="s">
        <v>198</v>
      </c>
      <c r="D93" s="44">
        <f>IF(58.80178="","-",58.80178/861112.79978*100)</f>
        <v>0.00682858041536752</v>
      </c>
      <c r="E93" s="44">
        <f>IF(148.76047="","-",148.76047/1030835.33871*100)</f>
        <v>0.014431060365679805</v>
      </c>
      <c r="F93" s="44">
        <f>IF(OR(976123.13927="",5.96357="",58.80178=""),"-",(58.80178-5.96357)/976123.13927*100)</f>
        <v>0.005413068072488826</v>
      </c>
      <c r="G93" s="44">
        <f>IF(OR(861112.79978="",148.76047="",58.80178=""),"-",(148.76047-58.80178)/861112.79978*100)</f>
        <v>0.01044679512637403</v>
      </c>
    </row>
    <row r="94" spans="1:7" s="20" customFormat="1" ht="15">
      <c r="A94" s="34" t="s">
        <v>201</v>
      </c>
      <c r="B94" s="42">
        <f>IF(145.82963="","-",145.82963)</f>
        <v>145.82963</v>
      </c>
      <c r="C94" s="44">
        <f>IF(OR(98.24766="",145.82963=""),"-",145.82963/98.24766*100)</f>
        <v>148.43063946764738</v>
      </c>
      <c r="D94" s="44">
        <f>IF(98.24766="","-",98.24766/861112.79978*100)</f>
        <v>0.011409383303221207</v>
      </c>
      <c r="E94" s="44">
        <f>IF(145.82963="","-",145.82963/1030835.33871*100)</f>
        <v>0.014146743376346896</v>
      </c>
      <c r="F94" s="44">
        <f>IF(OR(976123.13927="",70.83499="",98.24766=""),"-",(98.24766-70.83499)/976123.13927*100)</f>
        <v>0.002808320886696809</v>
      </c>
      <c r="G94" s="44">
        <f>IF(OR(861112.79978="",145.82963="",98.24766=""),"-",(145.82963-98.24766)/861112.79978*100)</f>
        <v>0.005525637293065022</v>
      </c>
    </row>
    <row r="95" spans="1:7" s="20" customFormat="1" ht="15">
      <c r="A95" s="34" t="s">
        <v>200</v>
      </c>
      <c r="B95" s="42">
        <f>IF(116.68223="","-",116.68223)</f>
        <v>116.68223</v>
      </c>
      <c r="C95" s="43" t="s">
        <v>29</v>
      </c>
      <c r="D95" s="44">
        <f>IF(57.8195="","-",57.8195/861112.79978*100)</f>
        <v>0.006714509413258277</v>
      </c>
      <c r="E95" s="44">
        <f>IF(116.68223="","-",116.68223/1030835.33871*100)</f>
        <v>0.011319191884323405</v>
      </c>
      <c r="F95" s="44">
        <f>IF(OR(976123.13927="",12.28849="",57.8195=""),"-",(57.8195-12.28849)/976123.13927*100)</f>
        <v>0.004664473995980738</v>
      </c>
      <c r="G95" s="44">
        <f>IF(OR(861112.79978="",116.68223="",57.8195=""),"-",(116.68223-57.8195)/861112.79978*100)</f>
        <v>0.006835658466003345</v>
      </c>
    </row>
    <row r="96" spans="1:7" ht="15">
      <c r="A96" s="34" t="s">
        <v>187</v>
      </c>
      <c r="B96" s="42">
        <f>IF(104.40918="","-",104.40918)</f>
        <v>104.40918</v>
      </c>
      <c r="C96" s="44">
        <f>IF(OR(82.28878="",104.40918=""),"-",104.40918/82.28878*100)</f>
        <v>126.88142903564739</v>
      </c>
      <c r="D96" s="44">
        <f>IF(82.28878="","-",82.28878/861112.79978*100)</f>
        <v>0.009556097647256366</v>
      </c>
      <c r="E96" s="44">
        <f>IF(104.40918="","-",104.40918/1030835.33871*100)</f>
        <v>0.010128599212620992</v>
      </c>
      <c r="F96" s="44">
        <f>IF(OR(976123.13927="",327.62567="",82.28878=""),"-",(82.28878-327.62567)/976123.13927*100)</f>
        <v>-0.025133805370445045</v>
      </c>
      <c r="G96" s="44">
        <f>IF(OR(861112.79978="",104.40918="",82.28878=""),"-",(104.40918-82.28878)/861112.79978*100)</f>
        <v>0.00256881560762439</v>
      </c>
    </row>
    <row r="97" spans="1:7" ht="15">
      <c r="A97" s="34" t="s">
        <v>228</v>
      </c>
      <c r="B97" s="42">
        <f>IF(79.42832="","-",79.42832)</f>
        <v>79.42832</v>
      </c>
      <c r="C97" s="44">
        <f>IF(OR(68.17502="",79.42832=""),"-",79.42832/68.17502*100)</f>
        <v>116.50648580667816</v>
      </c>
      <c r="D97" s="44">
        <f>IF(68.17502="","-",68.17502/861112.79978*100)</f>
        <v>0.00791708357109749</v>
      </c>
      <c r="E97" s="44">
        <f>IF(79.42832="","-",79.42832/1030835.33871*100)</f>
        <v>0.007705238365168734</v>
      </c>
      <c r="F97" s="44">
        <f>IF(OR(976123.13927="",41.79938="",68.17502=""),"-",(68.17502-41.79938)/976123.13927*100)</f>
        <v>0.002702081216896999</v>
      </c>
      <c r="G97" s="44">
        <f>IF(OR(861112.79978="",79.42832="",68.17502=""),"-",(79.42832-68.17502)/861112.79978*100)</f>
        <v>0.0013068322759660553</v>
      </c>
    </row>
    <row r="98" spans="1:7" ht="15">
      <c r="A98" s="34" t="s">
        <v>237</v>
      </c>
      <c r="B98" s="42">
        <f>IF(70.48541="","-",70.48541)</f>
        <v>70.48541</v>
      </c>
      <c r="C98" s="44">
        <f>IF(OR(64.04617="",70.48541=""),"-",70.48541/64.04617*100)</f>
        <v>110.05405943868305</v>
      </c>
      <c r="D98" s="44">
        <f>IF(64.04617="","-",64.04617/861112.79978*100)</f>
        <v>0.007437605156532656</v>
      </c>
      <c r="E98" s="44">
        <f>IF(70.48541="","-",70.48541/1030835.33871*100)</f>
        <v>0.0068376982582112784</v>
      </c>
      <c r="F98" s="44">
        <f>IF(OR(976123.13927="",10.83424="",64.04617=""),"-",(64.04617-10.83424)/976123.13927*100)</f>
        <v>0.0054513542256353935</v>
      </c>
      <c r="G98" s="44">
        <f>IF(OR(861112.79978="",70.48541="",64.04617=""),"-",(70.48541-64.04617)/861112.79978*100)</f>
        <v>0.0007477812432523493</v>
      </c>
    </row>
    <row r="99" spans="1:7" ht="15">
      <c r="A99" s="34" t="s">
        <v>202</v>
      </c>
      <c r="B99" s="42">
        <f>IF(68.17046="","-",68.17046)</f>
        <v>68.17046</v>
      </c>
      <c r="C99" s="44" t="s">
        <v>252</v>
      </c>
      <c r="D99" s="44">
        <f>IF(37.65312="","-",37.65312/861112.79978*100)</f>
        <v>0.004372611812252674</v>
      </c>
      <c r="E99" s="44">
        <f>IF(68.17046="","-",68.17046/1030835.33871*100)</f>
        <v>0.006613127959438154</v>
      </c>
      <c r="F99" s="44">
        <f>IF(OR(976123.13927="",42.41101="",37.65312=""),"-",(37.65312-42.41101)/976123.13927*100)</f>
        <v>-0.0004874272321377623</v>
      </c>
      <c r="G99" s="44">
        <f>IF(OR(861112.79978="",68.17046="",37.65312=""),"-",(68.17046-37.65312)/861112.79978*100)</f>
        <v>0.0035439422114961795</v>
      </c>
    </row>
    <row r="100" spans="1:7" ht="15">
      <c r="A100" s="74" t="s">
        <v>30</v>
      </c>
      <c r="B100" s="74"/>
      <c r="C100" s="74"/>
      <c r="D100" s="74"/>
      <c r="E100" s="74"/>
      <c r="F100" s="74"/>
      <c r="G100" s="74"/>
    </row>
  </sheetData>
  <sheetProtection/>
  <mergeCells count="10">
    <mergeCell ref="A100:G100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10"/>
  <sheetViews>
    <sheetView zoomScalePageLayoutView="0" workbookViewId="0" topLeftCell="A1">
      <selection activeCell="A1" sqref="A1:D1"/>
    </sheetView>
  </sheetViews>
  <sheetFormatPr defaultColWidth="9.00390625" defaultRowHeight="15.75"/>
  <cols>
    <col min="1" max="1" width="44.875" style="0" customWidth="1"/>
    <col min="2" max="3" width="14.125" style="0" customWidth="1"/>
    <col min="4" max="4" width="16.75390625" style="0" customWidth="1"/>
  </cols>
  <sheetData>
    <row r="1" spans="1:4" ht="15.75">
      <c r="A1" s="61" t="s">
        <v>37</v>
      </c>
      <c r="B1" s="61"/>
      <c r="C1" s="61"/>
      <c r="D1" s="61"/>
    </row>
    <row r="2" ht="15">
      <c r="A2" s="4"/>
    </row>
    <row r="3" spans="1:5" ht="21.75" customHeight="1">
      <c r="A3" s="71"/>
      <c r="B3" s="76" t="s">
        <v>216</v>
      </c>
      <c r="C3" s="66"/>
      <c r="D3" s="67" t="s">
        <v>217</v>
      </c>
      <c r="E3" s="1"/>
    </row>
    <row r="4" spans="1:5" ht="23.25" customHeight="1">
      <c r="A4" s="72"/>
      <c r="B4" s="25">
        <v>2016</v>
      </c>
      <c r="C4" s="24">
        <v>2017</v>
      </c>
      <c r="D4" s="77"/>
      <c r="E4" s="1"/>
    </row>
    <row r="5" spans="1:4" ht="17.25" customHeight="1">
      <c r="A5" s="9" t="s">
        <v>212</v>
      </c>
      <c r="B5" s="40">
        <f>IF(-444597.27471="","-",-444597.27471)</f>
        <v>-444597.27471</v>
      </c>
      <c r="C5" s="40">
        <f>IF(-502648.37077="","-",-502648.37077)</f>
        <v>-502648.37077</v>
      </c>
      <c r="D5" s="51">
        <f>IF(-444597.27471="","-",-502648.37077/-444597.27471*100)</f>
        <v>113.05700672543826</v>
      </c>
    </row>
    <row r="6" spans="1:4" ht="15">
      <c r="A6" s="10" t="s">
        <v>35</v>
      </c>
      <c r="B6" s="32"/>
      <c r="C6" s="33"/>
      <c r="D6" s="33"/>
    </row>
    <row r="7" spans="1:4" ht="15">
      <c r="A7" s="56" t="s">
        <v>4</v>
      </c>
      <c r="B7" s="41">
        <f>IF(-132927.26443="","-",-132927.26443)</f>
        <v>-132927.26443</v>
      </c>
      <c r="C7" s="41">
        <f>IF(-155085.06301="","-",-155085.06301)</f>
        <v>-155085.06301</v>
      </c>
      <c r="D7" s="45">
        <f>IF(-132927.26443="","-",-155085.06301/-132927.26443*100)</f>
        <v>116.66911500437021</v>
      </c>
    </row>
    <row r="8" spans="1:4" ht="15">
      <c r="A8" s="34" t="s">
        <v>7</v>
      </c>
      <c r="B8" s="42">
        <f>IF(-36651.21211="","-",-36651.21211)</f>
        <v>-36651.21211</v>
      </c>
      <c r="C8" s="42">
        <f>IF(-44399.12505="","-",-44399.12505)</f>
        <v>-44399.12505</v>
      </c>
      <c r="D8" s="44">
        <f>IF(OR(-36651.21211="",-44399.12505="",-36651.21211=0),"-",-44399.12505/-36651.21211*100)</f>
        <v>121.139581732649</v>
      </c>
    </row>
    <row r="9" spans="1:4" ht="15">
      <c r="A9" s="34" t="s">
        <v>6</v>
      </c>
      <c r="B9" s="42">
        <f>IF(-16933.99609="","-",-16933.99609)</f>
        <v>-16933.99609</v>
      </c>
      <c r="C9" s="42">
        <f>IF(-16964.24351="","-",-16964.24351)</f>
        <v>-16964.24351</v>
      </c>
      <c r="D9" s="44">
        <f>IF(OR(-16933.99609="",-16964.24351="",-16933.99609=0),"-",-16964.24351/-16933.99609*100)</f>
        <v>100.17861950504323</v>
      </c>
    </row>
    <row r="10" spans="1:4" ht="15">
      <c r="A10" s="34" t="s">
        <v>130</v>
      </c>
      <c r="B10" s="42">
        <f>IF(-15049.98886="","-",-15049.98886)</f>
        <v>-15049.98886</v>
      </c>
      <c r="C10" s="42">
        <f>IF(-21639.61195="","-",-21639.61195)</f>
        <v>-21639.61195</v>
      </c>
      <c r="D10" s="44">
        <f>IF(OR(-15049.98886="",-21639.61195="",-15049.98886=0),"-",-21639.61195/-15049.98886*100)</f>
        <v>143.78490343945677</v>
      </c>
    </row>
    <row r="11" spans="1:4" ht="15">
      <c r="A11" s="34" t="s">
        <v>11</v>
      </c>
      <c r="B11" s="42">
        <f>IF(-12926.67256="","-",-12926.67256)</f>
        <v>-12926.67256</v>
      </c>
      <c r="C11" s="42">
        <f>IF(-6710.21841="","-",-6710.21841)</f>
        <v>-6710.21841</v>
      </c>
      <c r="D11" s="44">
        <f>IF(OR(-12926.67256="",-6710.21841="",-12926.67256=0),"-",-6710.21841/-12926.67256*100)</f>
        <v>51.909866045218365</v>
      </c>
    </row>
    <row r="12" spans="1:4" ht="15">
      <c r="A12" s="34" t="s">
        <v>219</v>
      </c>
      <c r="B12" s="42">
        <f>IF(-12441.90569="","-",-12441.90569)</f>
        <v>-12441.90569</v>
      </c>
      <c r="C12" s="42">
        <f>IF(-20394.5269="","-",-20394.5269)</f>
        <v>-20394.5269</v>
      </c>
      <c r="D12" s="44" t="s">
        <v>254</v>
      </c>
    </row>
    <row r="13" spans="1:4" ht="15">
      <c r="A13" s="34" t="s">
        <v>128</v>
      </c>
      <c r="B13" s="42">
        <f>IF(-11555.6378="","-",-11555.6378)</f>
        <v>-11555.6378</v>
      </c>
      <c r="C13" s="42">
        <f>IF(-7641.64107="","-",-7641.64107)</f>
        <v>-7641.64107</v>
      </c>
      <c r="D13" s="44">
        <f>IF(OR(-11555.6378="",-7641.64107="",-11555.6378=0),"-",-7641.64107/-11555.6378*100)</f>
        <v>66.12911552142971</v>
      </c>
    </row>
    <row r="14" spans="1:4" ht="15">
      <c r="A14" s="34" t="s">
        <v>8</v>
      </c>
      <c r="B14" s="42">
        <f>IF(-9065.58805="","-",-9065.58805)</f>
        <v>-9065.58805</v>
      </c>
      <c r="C14" s="42">
        <f>IF(-13043.24016="","-",-13043.24016)</f>
        <v>-13043.24016</v>
      </c>
      <c r="D14" s="44">
        <f>IF(OR(-9065.58805="",-13043.24016="",-9065.58805=0),"-",-13043.24016/-9065.58805*100)</f>
        <v>143.87638273503944</v>
      </c>
    </row>
    <row r="15" spans="1:4" ht="15">
      <c r="A15" s="34" t="s">
        <v>13</v>
      </c>
      <c r="B15" s="42">
        <f>IF(-4311.51763="","-",-4311.51763)</f>
        <v>-4311.51763</v>
      </c>
      <c r="C15" s="42">
        <f>IF(-4101.47902="","-",-4101.47902)</f>
        <v>-4101.47902</v>
      </c>
      <c r="D15" s="44">
        <f>IF(OR(-4311.51763="",-4101.47902="",-4311.51763=0),"-",-4101.47902/-4311.51763*100)</f>
        <v>95.12842975432758</v>
      </c>
    </row>
    <row r="16" spans="1:4" ht="15">
      <c r="A16" s="34" t="s">
        <v>129</v>
      </c>
      <c r="B16" s="42">
        <f>IF(-4223.34435="","-",-4223.34435)</f>
        <v>-4223.34435</v>
      </c>
      <c r="C16" s="42">
        <f>IF(-5143.20297="","-",-5143.20297)</f>
        <v>-5143.20297</v>
      </c>
      <c r="D16" s="44">
        <f>IF(OR(-4223.34435="",-5143.20297="",-4223.34435=0),"-",-5143.20297/-4223.34435*100)</f>
        <v>121.78033671348632</v>
      </c>
    </row>
    <row r="17" spans="1:4" ht="15">
      <c r="A17" s="34" t="s">
        <v>10</v>
      </c>
      <c r="B17" s="42">
        <f>IF(-3914.4978="","-",-3914.4978)</f>
        <v>-3914.4978</v>
      </c>
      <c r="C17" s="42">
        <f>IF(-7567.52374="","-",-7567.52374)</f>
        <v>-7567.52374</v>
      </c>
      <c r="D17" s="44" t="s">
        <v>255</v>
      </c>
    </row>
    <row r="18" spans="1:4" ht="15">
      <c r="A18" s="34" t="s">
        <v>138</v>
      </c>
      <c r="B18" s="42">
        <f>IF(-3555.03565="","-",-3555.03565)</f>
        <v>-3555.03565</v>
      </c>
      <c r="C18" s="42">
        <f>IF(-3775.07622="","-",-3775.07622)</f>
        <v>-3775.07622</v>
      </c>
      <c r="D18" s="44">
        <f>IF(OR(-3555.03565="",-3775.07622="",-3555.03565=0),"-",-3775.07622/-3555.03565*100)</f>
        <v>106.18954608795555</v>
      </c>
    </row>
    <row r="19" spans="1:4" ht="15">
      <c r="A19" s="34" t="s">
        <v>140</v>
      </c>
      <c r="B19" s="42">
        <f>IF(-2699.69049="","-",-2699.69049)</f>
        <v>-2699.69049</v>
      </c>
      <c r="C19" s="42">
        <f>IF(-4094.47019="","-",-4094.47019)</f>
        <v>-4094.47019</v>
      </c>
      <c r="D19" s="44">
        <f>IF(OR(-2699.69049="",-4094.47019="",-2699.69049=0),"-",-4094.47019/-2699.69049*100)</f>
        <v>151.66442987321855</v>
      </c>
    </row>
    <row r="20" spans="1:4" ht="15">
      <c r="A20" s="34" t="s">
        <v>139</v>
      </c>
      <c r="B20" s="42">
        <f>IF(-2547.64626="","-",-2547.64626)</f>
        <v>-2547.64626</v>
      </c>
      <c r="C20" s="42">
        <f>IF(-2787.77639="","-",-2787.77639)</f>
        <v>-2787.77639</v>
      </c>
      <c r="D20" s="44">
        <f>IF(OR(-2547.64626="",-2787.77639="",-2547.64626=0),"-",-2787.77639/-2547.64626*100)</f>
        <v>109.42556797504533</v>
      </c>
    </row>
    <row r="21" spans="1:4" ht="15">
      <c r="A21" s="34" t="s">
        <v>136</v>
      </c>
      <c r="B21" s="42">
        <f>IF(-2091.09458="","-",-2091.09458)</f>
        <v>-2091.09458</v>
      </c>
      <c r="C21" s="42">
        <f>IF(-2724.21888="","-",-2724.21888)</f>
        <v>-2724.21888</v>
      </c>
      <c r="D21" s="44">
        <f>IF(OR(-2091.09458="",-2724.21888="",-2091.09458=0),"-",-2724.21888/-2091.09458*100)</f>
        <v>130.2771718723502</v>
      </c>
    </row>
    <row r="22" spans="1:4" ht="15">
      <c r="A22" s="34" t="s">
        <v>131</v>
      </c>
      <c r="B22" s="42">
        <f>IF(-1973.93473="","-",-1973.93473)</f>
        <v>-1973.93473</v>
      </c>
      <c r="C22" s="42">
        <f>IF(-108.10492="","-",-108.10492)</f>
        <v>-108.10492</v>
      </c>
      <c r="D22" s="44">
        <f>IF(OR(-1973.93473="",-108.10492="",-1973.93473=0),"-",-108.10492/-1973.93473*100)</f>
        <v>5.4766207999187495</v>
      </c>
    </row>
    <row r="23" spans="1:4" ht="15">
      <c r="A23" s="34" t="s">
        <v>132</v>
      </c>
      <c r="B23" s="42">
        <f>IF(-1653.43618="","-",-1653.43618)</f>
        <v>-1653.43618</v>
      </c>
      <c r="C23" s="42">
        <f>IF(-3051.97141="","-",-3051.97141)</f>
        <v>-3051.97141</v>
      </c>
      <c r="D23" s="44" t="s">
        <v>252</v>
      </c>
    </row>
    <row r="24" spans="1:4" ht="15">
      <c r="A24" s="34" t="s">
        <v>137</v>
      </c>
      <c r="B24" s="42">
        <f>IF(-1577.16486="","-",-1577.16486)</f>
        <v>-1577.16486</v>
      </c>
      <c r="C24" s="42">
        <f>IF(-1477.96255="","-",-1477.96255)</f>
        <v>-1477.96255</v>
      </c>
      <c r="D24" s="44">
        <f>IF(OR(-1577.16486="",-1477.96255="",-1577.16486=0),"-",-1477.96255/-1577.16486*100)</f>
        <v>93.71008621127913</v>
      </c>
    </row>
    <row r="25" spans="1:4" ht="15">
      <c r="A25" s="34" t="s">
        <v>141</v>
      </c>
      <c r="B25" s="42">
        <f>IF(-1022.70205="","-",-1022.70205)</f>
        <v>-1022.70205</v>
      </c>
      <c r="C25" s="42">
        <f>IF(-1046.79316="","-",-1046.79316)</f>
        <v>-1046.79316</v>
      </c>
      <c r="D25" s="44">
        <f>IF(OR(-1022.70205="",-1046.79316="",-1022.70205=0),"-",-1046.79316/-1022.70205*100)</f>
        <v>102.3556332951518</v>
      </c>
    </row>
    <row r="26" spans="1:4" ht="15">
      <c r="A26" s="34" t="s">
        <v>133</v>
      </c>
      <c r="B26" s="42">
        <f>IF(-929.70319="","-",-929.70319)</f>
        <v>-929.70319</v>
      </c>
      <c r="C26" s="42">
        <f>IF(-482.65025="","-",-482.65025)</f>
        <v>-482.65025</v>
      </c>
      <c r="D26" s="44">
        <f>IF(OR(-929.70319="",-482.65025="",-929.70319=0),"-",-482.65025/-929.70319*100)</f>
        <v>51.91444486707635</v>
      </c>
    </row>
    <row r="27" spans="1:4" ht="15">
      <c r="A27" s="34" t="s">
        <v>5</v>
      </c>
      <c r="B27" s="42">
        <f>IF(-672.60132="","-",-672.60132)</f>
        <v>-672.60132</v>
      </c>
      <c r="C27" s="42">
        <f>IF(-10742.64945="","-",-10742.64945)</f>
        <v>-10742.64945</v>
      </c>
      <c r="D27" s="43" t="s">
        <v>239</v>
      </c>
    </row>
    <row r="28" spans="1:4" ht="15">
      <c r="A28" s="34" t="s">
        <v>9</v>
      </c>
      <c r="B28" s="42">
        <f>IF(-291.11416="","-",-291.11416)</f>
        <v>-291.11416</v>
      </c>
      <c r="C28" s="42">
        <f>IF(3256.12809="","-",3256.12809)</f>
        <v>3256.12809</v>
      </c>
      <c r="D28" s="43" t="s">
        <v>36</v>
      </c>
    </row>
    <row r="29" spans="1:4" ht="15">
      <c r="A29" s="34" t="s">
        <v>142</v>
      </c>
      <c r="B29" s="42">
        <f>IF(-218.06691="","-",-218.06691)</f>
        <v>-218.06691</v>
      </c>
      <c r="C29" s="42">
        <f>IF(-467.86811="","-",-467.86811)</f>
        <v>-467.86811</v>
      </c>
      <c r="D29" s="43" t="s">
        <v>190</v>
      </c>
    </row>
    <row r="30" spans="1:4" ht="15">
      <c r="A30" s="34" t="s">
        <v>12</v>
      </c>
      <c r="B30" s="42">
        <f>IF(-113.15776="","-",-113.15776)</f>
        <v>-113.15776</v>
      </c>
      <c r="C30" s="42">
        <f>IF(911.92984="","-",911.92984)</f>
        <v>911.92984</v>
      </c>
      <c r="D30" s="43" t="s">
        <v>36</v>
      </c>
    </row>
    <row r="31" spans="1:4" ht="15">
      <c r="A31" s="34" t="s">
        <v>218</v>
      </c>
      <c r="B31" s="42">
        <f>IF(-58.72194="","-",-58.72194)</f>
        <v>-58.72194</v>
      </c>
      <c r="C31" s="42">
        <f>IF(-199.74236="","-",-199.74236)</f>
        <v>-199.74236</v>
      </c>
      <c r="D31" s="43" t="s">
        <v>205</v>
      </c>
    </row>
    <row r="32" spans="1:4" ht="15">
      <c r="A32" s="34" t="s">
        <v>143</v>
      </c>
      <c r="B32" s="42">
        <f>IF(-7.38054="","-",-7.38054)</f>
        <v>-7.38054</v>
      </c>
      <c r="C32" s="42">
        <f>IF(-47.96609="","-",-47.96609)</f>
        <v>-47.96609</v>
      </c>
      <c r="D32" s="43" t="s">
        <v>240</v>
      </c>
    </row>
    <row r="33" spans="1:4" ht="15">
      <c r="A33" s="34" t="s">
        <v>134</v>
      </c>
      <c r="B33" s="42">
        <f>IF(63.45224="","-",63.45224)</f>
        <v>63.45224</v>
      </c>
      <c r="C33" s="42">
        <f>IF(-618.05431="","-",-618.05431)</f>
        <v>-618.05431</v>
      </c>
      <c r="D33" s="43" t="s">
        <v>36</v>
      </c>
    </row>
    <row r="34" spans="1:4" ht="15">
      <c r="A34" s="34" t="s">
        <v>135</v>
      </c>
      <c r="B34" s="42">
        <f>IF(686.15352="","-",686.15352)</f>
        <v>686.15352</v>
      </c>
      <c r="C34" s="42">
        <f>IF(915.58393="","-",915.58393)</f>
        <v>915.58393</v>
      </c>
      <c r="D34" s="44">
        <f>IF(OR(686.15352="",915.58393="",686.15352=0),"-",915.58393/686.15352*100)</f>
        <v>133.43718327058937</v>
      </c>
    </row>
    <row r="35" spans="1:4" ht="15">
      <c r="A35" s="34" t="s">
        <v>235</v>
      </c>
      <c r="B35" s="42">
        <f>IF(12808.94137="","-",12808.94137)</f>
        <v>12808.94137</v>
      </c>
      <c r="C35" s="42">
        <f>IF(19061.4122="","-",19061.4122)</f>
        <v>19061.4122</v>
      </c>
      <c r="D35" s="44">
        <f>IF(OR(12808.94137="",19061.4122="",12808.94137=0),"-",19061.4122/12808.94137*100)</f>
        <v>148.81333007459926</v>
      </c>
    </row>
    <row r="36" spans="1:4" ht="15">
      <c r="A36" s="56" t="s">
        <v>14</v>
      </c>
      <c r="B36" s="41">
        <f>IF(-165514.32693="","-",-165514.32693)</f>
        <v>-165514.32693</v>
      </c>
      <c r="C36" s="41">
        <f>IF(-165508.73655="","-",-165508.73655)</f>
        <v>-165508.73655</v>
      </c>
      <c r="D36" s="45">
        <f>IF(-165514.32693="","-",-165508.73655/-165514.32693*100)</f>
        <v>99.99662241927712</v>
      </c>
    </row>
    <row r="37" spans="1:4" ht="15">
      <c r="A37" s="34" t="s">
        <v>236</v>
      </c>
      <c r="B37" s="42">
        <f>IF(-115784.63363="","-",-115784.63363)</f>
        <v>-115784.63363</v>
      </c>
      <c r="C37" s="42">
        <f>IF(-99151.6159="","-",-99151.6159)</f>
        <v>-99151.6159</v>
      </c>
      <c r="D37" s="44">
        <f>IF(OR(-115784.63363="",-99151.6159="",-115784.63363=0),"-",-99151.6159/-115784.63363*100)</f>
        <v>85.63452056759772</v>
      </c>
    </row>
    <row r="38" spans="1:4" ht="15">
      <c r="A38" s="34" t="s">
        <v>17</v>
      </c>
      <c r="B38" s="42">
        <f>IF(-58427.58605="","-",-58427.58605)</f>
        <v>-58427.58605</v>
      </c>
      <c r="C38" s="42">
        <f>IF(-70041.69307="","-",-70041.69307)</f>
        <v>-70041.69307</v>
      </c>
      <c r="D38" s="44">
        <f>IF(OR(-58427.58605="",-70041.69307="",-58427.58605=0),"-",-70041.69307/-58427.58605*100)</f>
        <v>119.87778000970484</v>
      </c>
    </row>
    <row r="39" spans="1:4" ht="15">
      <c r="A39" s="34" t="s">
        <v>20</v>
      </c>
      <c r="B39" s="42">
        <f>IF(-203.48105="","-",-203.48105)</f>
        <v>-203.48105</v>
      </c>
      <c r="C39" s="42">
        <f>IF(247.64086="","-",247.64086)</f>
        <v>247.64086</v>
      </c>
      <c r="D39" s="43" t="s">
        <v>36</v>
      </c>
    </row>
    <row r="40" spans="1:4" ht="15">
      <c r="A40" s="34" t="s">
        <v>22</v>
      </c>
      <c r="B40" s="42">
        <f>IF(55.66892="","-",55.66892)</f>
        <v>55.66892</v>
      </c>
      <c r="C40" s="42">
        <f>IF(111.83787="","-",111.83787)</f>
        <v>111.83787</v>
      </c>
      <c r="D40" s="43" t="s">
        <v>29</v>
      </c>
    </row>
    <row r="41" spans="1:4" ht="15">
      <c r="A41" s="34" t="s">
        <v>23</v>
      </c>
      <c r="B41" s="42">
        <f>IF(181.48766="","-",181.48766)</f>
        <v>181.48766</v>
      </c>
      <c r="C41" s="42">
        <f>IF(-57.44635="","-",-57.44635)</f>
        <v>-57.44635</v>
      </c>
      <c r="D41" s="43" t="s">
        <v>36</v>
      </c>
    </row>
    <row r="42" spans="1:4" ht="15">
      <c r="A42" s="34" t="s">
        <v>21</v>
      </c>
      <c r="B42" s="42">
        <f>IF(199.09305="","-",199.09305)</f>
        <v>199.09305</v>
      </c>
      <c r="C42" s="42">
        <f>IF(158.84121="","-",158.84121)</f>
        <v>158.84121</v>
      </c>
      <c r="D42" s="44">
        <f>IF(OR(199.09305="",158.84121="",199.09305=0),"-",158.84121/199.09305*100)</f>
        <v>79.78239823037518</v>
      </c>
    </row>
    <row r="43" spans="1:4" ht="15">
      <c r="A43" s="34" t="s">
        <v>24</v>
      </c>
      <c r="B43" s="42">
        <f>IF(231.16066="","-",231.16066)</f>
        <v>231.16066</v>
      </c>
      <c r="C43" s="42">
        <f>IF(105.74978="","-",105.74978)</f>
        <v>105.74978</v>
      </c>
      <c r="D43" s="44">
        <f>IF(OR(231.16066="",105.74978="",231.16066=0),"-",105.74978/231.16066*100)</f>
        <v>45.74730838716242</v>
      </c>
    </row>
    <row r="44" spans="1:4" ht="15">
      <c r="A44" s="34" t="s">
        <v>19</v>
      </c>
      <c r="B44" s="42">
        <f>IF(309.93962="","-",309.93962)</f>
        <v>309.93962</v>
      </c>
      <c r="C44" s="42">
        <f>IF(879.61807="","-",879.61807)</f>
        <v>879.61807</v>
      </c>
      <c r="D44" s="43" t="s">
        <v>191</v>
      </c>
    </row>
    <row r="45" spans="1:4" ht="15">
      <c r="A45" s="34" t="s">
        <v>18</v>
      </c>
      <c r="B45" s="42">
        <f>IF(573.34891="","-",573.34891)</f>
        <v>573.34891</v>
      </c>
      <c r="C45" s="42">
        <f>IF(1376.80424="","-",1376.80424)</f>
        <v>1376.80424</v>
      </c>
      <c r="D45" s="43" t="s">
        <v>127</v>
      </c>
    </row>
    <row r="46" spans="1:4" ht="15">
      <c r="A46" s="34" t="s">
        <v>16</v>
      </c>
      <c r="B46" s="42">
        <f>IF(7350.67498="","-",7350.67498)</f>
        <v>7350.67498</v>
      </c>
      <c r="C46" s="42">
        <f>IF(861.52674="","-",861.52674)</f>
        <v>861.52674</v>
      </c>
      <c r="D46" s="44">
        <f>IF(OR(7350.67498="",861.52674="",7350.67498=0),"-",861.52674/7350.67498*100)</f>
        <v>11.720375915736653</v>
      </c>
    </row>
    <row r="47" spans="1:4" ht="15">
      <c r="A47" s="11" t="s">
        <v>25</v>
      </c>
      <c r="B47" s="41">
        <f>IF(-146155.68335="","-",-146155.68335)</f>
        <v>-146155.68335</v>
      </c>
      <c r="C47" s="41">
        <f>IF(-182054.57121="","-",-182054.57121)</f>
        <v>-182054.57121</v>
      </c>
      <c r="D47" s="45">
        <f>IF(-146155.68335="","-",-182054.57121/-146155.68335*100)</f>
        <v>124.5620882042833</v>
      </c>
    </row>
    <row r="48" spans="1:4" ht="15">
      <c r="A48" s="34" t="s">
        <v>147</v>
      </c>
      <c r="B48" s="42">
        <f>IF(-76881.29629="","-",-76881.29629)</f>
        <v>-76881.29629</v>
      </c>
      <c r="C48" s="42">
        <f>IF(-102732.70169="","-",-102732.70169)</f>
        <v>-102732.70169</v>
      </c>
      <c r="D48" s="44">
        <f>IF(OR(-76881.29629="",-102732.70169="",-76881.29629=0),"-",-102732.70169/-76881.29629*100)</f>
        <v>133.62509042834975</v>
      </c>
    </row>
    <row r="49" spans="1:4" ht="15">
      <c r="A49" s="34" t="s">
        <v>144</v>
      </c>
      <c r="B49" s="42">
        <f>IF(-48634.16132="","-",-48634.16132)</f>
        <v>-48634.16132</v>
      </c>
      <c r="C49" s="42">
        <f>IF(-43542.27619="","-",-43542.27619)</f>
        <v>-43542.27619</v>
      </c>
      <c r="D49" s="44">
        <f>IF(OR(-48634.16132="",-43542.27619="",-48634.16132=0),"-",-43542.27619/-48634.16132*100)</f>
        <v>89.53022938650727</v>
      </c>
    </row>
    <row r="50" spans="1:4" ht="15">
      <c r="A50" s="34" t="s">
        <v>26</v>
      </c>
      <c r="B50" s="42">
        <f>IF(-7957.92619="","-",-7957.92619)</f>
        <v>-7957.92619</v>
      </c>
      <c r="C50" s="42">
        <f>IF(-20312.82732="","-",-20312.82732)</f>
        <v>-20312.82732</v>
      </c>
      <c r="D50" s="43" t="s">
        <v>211</v>
      </c>
    </row>
    <row r="51" spans="1:4" ht="15">
      <c r="A51" s="34" t="s">
        <v>159</v>
      </c>
      <c r="B51" s="42">
        <f>IF(-6465.52342="","-",-6465.52342)</f>
        <v>-6465.52342</v>
      </c>
      <c r="C51" s="42">
        <f>IF(-6991.44103="","-",-6991.44103)</f>
        <v>-6991.44103</v>
      </c>
      <c r="D51" s="44">
        <f>IF(OR(-6465.52342="",-6991.44103="",-6465.52342=0),"-",-6991.44103/-6465.52342*100)</f>
        <v>108.13418459475628</v>
      </c>
    </row>
    <row r="52" spans="1:4" ht="15">
      <c r="A52" s="34" t="s">
        <v>162</v>
      </c>
      <c r="B52" s="42">
        <f>IF(-2218.15312="","-",-2218.15312)</f>
        <v>-2218.15312</v>
      </c>
      <c r="C52" s="42">
        <f>IF(-6139.04814="","-",-6139.04814)</f>
        <v>-6139.04814</v>
      </c>
      <c r="D52" s="43" t="s">
        <v>191</v>
      </c>
    </row>
    <row r="53" spans="1:4" ht="15">
      <c r="A53" s="34" t="s">
        <v>166</v>
      </c>
      <c r="B53" s="42">
        <f>IF(-6288.34245="","-",-6288.34245)</f>
        <v>-6288.34245</v>
      </c>
      <c r="C53" s="42">
        <f>IF(-5646.92912="","-",-5646.92912)</f>
        <v>-5646.92912</v>
      </c>
      <c r="D53" s="44">
        <f>IF(OR(-6288.34245="",-5646.92912="",-6288.34245=0),"-",-5646.92912/-6288.34245*100)</f>
        <v>89.79996183254937</v>
      </c>
    </row>
    <row r="54" spans="1:4" ht="15">
      <c r="A54" s="34" t="s">
        <v>118</v>
      </c>
      <c r="B54" s="42">
        <f>IF(-3490.79845="","-",-3490.79845)</f>
        <v>-3490.79845</v>
      </c>
      <c r="C54" s="42">
        <f>IF(-5537.22639="","-",-5537.22639)</f>
        <v>-5537.22639</v>
      </c>
      <c r="D54" s="44">
        <f>IF(OR(-3490.79845="",-5537.22639="",-3490.79845=0),"-",-5537.22639/-3490.79845*100)</f>
        <v>158.62349171147363</v>
      </c>
    </row>
    <row r="55" spans="1:4" ht="15">
      <c r="A55" s="34" t="s">
        <v>171</v>
      </c>
      <c r="B55" s="42">
        <f>IF(-2841.40636="","-",-2841.40636)</f>
        <v>-2841.40636</v>
      </c>
      <c r="C55" s="42">
        <f>IF(-3336.38002="","-",-3336.38002)</f>
        <v>-3336.38002</v>
      </c>
      <c r="D55" s="44">
        <f>IF(OR(-2841.40636="",-3336.38002="",-2841.40636=0),"-",-3336.38002/-2841.40636*100)</f>
        <v>117.42002365335735</v>
      </c>
    </row>
    <row r="56" spans="1:4" ht="15">
      <c r="A56" s="34" t="s">
        <v>160</v>
      </c>
      <c r="B56" s="42">
        <f>IF(-2135.31685="","-",-2135.31685)</f>
        <v>-2135.31685</v>
      </c>
      <c r="C56" s="42">
        <f>IF(-3209.40322="","-",-3209.40322)</f>
        <v>-3209.40322</v>
      </c>
      <c r="D56" s="44">
        <f>IF(OR(-2135.31685="",-3209.40322="",-2135.31685=0),"-",-3209.40322/-2135.31685*100)</f>
        <v>150.3010300321472</v>
      </c>
    </row>
    <row r="57" spans="1:4" ht="15">
      <c r="A57" s="34" t="s">
        <v>161</v>
      </c>
      <c r="B57" s="42">
        <f>IF(-1450.1394="","-",-1450.1394)</f>
        <v>-1450.1394</v>
      </c>
      <c r="C57" s="42">
        <f>IF(-1975.09137="","-",-1975.09137)</f>
        <v>-1975.09137</v>
      </c>
      <c r="D57" s="44">
        <f>IF(OR(-1450.1394="",-1975.09137="",-1450.1394=0),"-",-1975.09137/-1450.1394*100)</f>
        <v>136.2001039348355</v>
      </c>
    </row>
    <row r="58" spans="1:4" ht="15">
      <c r="A58" s="34" t="s">
        <v>172</v>
      </c>
      <c r="B58" s="42">
        <f>IF(-1448.5569="","-",-1448.5569)</f>
        <v>-1448.5569</v>
      </c>
      <c r="C58" s="42">
        <f>IF(-1723.64333="","-",-1723.64333)</f>
        <v>-1723.64333</v>
      </c>
      <c r="D58" s="44">
        <f>IF(OR(-1448.5569="",-1723.64333="",-1448.5569=0),"-",-1723.64333/-1448.5569*100)</f>
        <v>118.99037794097009</v>
      </c>
    </row>
    <row r="59" spans="1:4" ht="15">
      <c r="A59" s="34" t="s">
        <v>156</v>
      </c>
      <c r="B59" s="42">
        <f>IF(-2687.09297="","-",-2687.09297)</f>
        <v>-2687.09297</v>
      </c>
      <c r="C59" s="42">
        <f>IF(-1653.63345="","-",-1653.63345)</f>
        <v>-1653.63345</v>
      </c>
      <c r="D59" s="44">
        <f>IF(OR(-2687.09297="",-1653.63345="",-2687.09297=0),"-",-1653.63345/-2687.09297*100)</f>
        <v>61.539867375709</v>
      </c>
    </row>
    <row r="60" spans="1:4" ht="15">
      <c r="A60" s="34" t="s">
        <v>168</v>
      </c>
      <c r="B60" s="42">
        <f>IF(-1239.44138="","-",-1239.44138)</f>
        <v>-1239.44138</v>
      </c>
      <c r="C60" s="42">
        <f>IF(-1612.62517="","-",-1612.62517)</f>
        <v>-1612.62517</v>
      </c>
      <c r="D60" s="44">
        <f>IF(OR(-1239.44138="",-1612.62517="",-1239.44138=0),"-",-1612.62517/-1239.44138*100)</f>
        <v>130.1090310539737</v>
      </c>
    </row>
    <row r="61" spans="1:4" ht="15">
      <c r="A61" s="34" t="s">
        <v>152</v>
      </c>
      <c r="B61" s="42">
        <f>IF(1362.15937="","-",1362.15937)</f>
        <v>1362.15937</v>
      </c>
      <c r="C61" s="42">
        <f>IF(-1544.60703="","-",-1544.60703)</f>
        <v>-1544.60703</v>
      </c>
      <c r="D61" s="43" t="s">
        <v>36</v>
      </c>
    </row>
    <row r="62" spans="1:4" ht="15">
      <c r="A62" s="34" t="s">
        <v>150</v>
      </c>
      <c r="B62" s="42">
        <f>IF(-1736.90244="","-",-1736.90244)</f>
        <v>-1736.90244</v>
      </c>
      <c r="C62" s="42">
        <f>IF(-1362.56079="","-",-1362.56079)</f>
        <v>-1362.56079</v>
      </c>
      <c r="D62" s="44">
        <f>IF(OR(-1736.90244="",-1362.56079="",-1736.90244=0),"-",-1362.56079/-1736.90244*100)</f>
        <v>78.44774459525775</v>
      </c>
    </row>
    <row r="63" spans="1:4" ht="15">
      <c r="A63" s="34" t="s">
        <v>175</v>
      </c>
      <c r="B63" s="42">
        <f>IF(-1050.27683="","-",-1050.27683)</f>
        <v>-1050.27683</v>
      </c>
      <c r="C63" s="42">
        <f>IF(-1295.19297="","-",-1295.19297)</f>
        <v>-1295.19297</v>
      </c>
      <c r="D63" s="44">
        <f>IF(OR(-1050.27683="",-1295.19297="",-1050.27683=0),"-",-1295.19297/-1050.27683*100)</f>
        <v>123.3191986154736</v>
      </c>
    </row>
    <row r="64" spans="1:4" ht="15">
      <c r="A64" s="34" t="s">
        <v>154</v>
      </c>
      <c r="B64" s="42">
        <f>IF(-7.57197="","-",-7.57197)</f>
        <v>-7.57197</v>
      </c>
      <c r="C64" s="42">
        <f>IF(-1217.42025="","-",-1217.42025)</f>
        <v>-1217.42025</v>
      </c>
      <c r="D64" s="43" t="s">
        <v>241</v>
      </c>
    </row>
    <row r="65" spans="1:4" ht="15">
      <c r="A65" s="34" t="s">
        <v>174</v>
      </c>
      <c r="B65" s="42">
        <f>IF(-1182.95871="","-",-1182.95871)</f>
        <v>-1182.95871</v>
      </c>
      <c r="C65" s="42">
        <f>IF(-1161.65579="","-",-1161.65579)</f>
        <v>-1161.65579</v>
      </c>
      <c r="D65" s="44">
        <f>IF(OR(-1182.95871="",-1161.65579="",-1182.95871=0),"-",-1161.65579/-1182.95871*100)</f>
        <v>98.19918313125231</v>
      </c>
    </row>
    <row r="66" spans="1:4" ht="15">
      <c r="A66" s="34" t="s">
        <v>155</v>
      </c>
      <c r="B66" s="42">
        <f>IF(770.59104="","-",770.59104)</f>
        <v>770.59104</v>
      </c>
      <c r="C66" s="42">
        <f>IF(-739.60934="","-",-739.60934)</f>
        <v>-739.60934</v>
      </c>
      <c r="D66" s="43" t="s">
        <v>36</v>
      </c>
    </row>
    <row r="67" spans="1:4" ht="15">
      <c r="A67" s="34" t="s">
        <v>173</v>
      </c>
      <c r="B67" s="42">
        <f>IF(-1521.38668="","-",-1521.38668)</f>
        <v>-1521.38668</v>
      </c>
      <c r="C67" s="42">
        <f>IF(-689.62407="","-",-689.62407)</f>
        <v>-689.62407</v>
      </c>
      <c r="D67" s="44">
        <f>IF(OR(-1521.38668="",-689.62407="",-1521.38668=0),"-",-689.62407/-1521.38668*100)</f>
        <v>45.32865175341222</v>
      </c>
    </row>
    <row r="68" spans="1:4" ht="15">
      <c r="A68" s="34" t="s">
        <v>177</v>
      </c>
      <c r="B68" s="42">
        <f>IF(-625.15516="","-",-625.15516)</f>
        <v>-625.15516</v>
      </c>
      <c r="C68" s="42">
        <f>IF(-682.80076="","-",-682.80076)</f>
        <v>-682.80076</v>
      </c>
      <c r="D68" s="44">
        <f>IF(OR(-625.15516="",-682.80076="",-625.15516=0),"-",-682.80076/-625.15516*100)</f>
        <v>109.22100682972847</v>
      </c>
    </row>
    <row r="69" spans="1:4" ht="15">
      <c r="A69" s="34" t="s">
        <v>179</v>
      </c>
      <c r="B69" s="42">
        <f>IF(-359.49332="","-",-359.49332)</f>
        <v>-359.49332</v>
      </c>
      <c r="C69" s="42">
        <f>IF(-675.75634="","-",-675.75634)</f>
        <v>-675.75634</v>
      </c>
      <c r="D69" s="44">
        <f>IF(OR(-359.49332="",-675.75634="",-359.49332=0),"-",-675.75634/-359.49332*100)</f>
        <v>187.9746583330116</v>
      </c>
    </row>
    <row r="70" spans="1:4" ht="15">
      <c r="A70" s="34" t="s">
        <v>176</v>
      </c>
      <c r="B70" s="42">
        <f>IF(-696.16258="","-",-696.16258)</f>
        <v>-696.16258</v>
      </c>
      <c r="C70" s="42">
        <f>IF(-617.10338="","-",-617.10338)</f>
        <v>-617.10338</v>
      </c>
      <c r="D70" s="44">
        <f>IF(OR(-696.16258="",-617.10338="",-696.16258=0),"-",-617.10338/-696.16258*100)</f>
        <v>88.64357231036463</v>
      </c>
    </row>
    <row r="71" spans="1:4" ht="15">
      <c r="A71" s="34" t="s">
        <v>164</v>
      </c>
      <c r="B71" s="42">
        <f>IF(-773.42159="","-",-773.42159)</f>
        <v>-773.42159</v>
      </c>
      <c r="C71" s="42">
        <f>IF(-585.22152="","-",-585.22152)</f>
        <v>-585.22152</v>
      </c>
      <c r="D71" s="44">
        <f>IF(OR(-773.42159="",-585.22152="",-773.42159=0),"-",-585.22152/-773.42159*100)</f>
        <v>75.66656110543798</v>
      </c>
    </row>
    <row r="72" spans="1:4" ht="15">
      <c r="A72" s="34" t="s">
        <v>163</v>
      </c>
      <c r="B72" s="42">
        <f>IF(-68.67869="","-",-68.67869)</f>
        <v>-68.67869</v>
      </c>
      <c r="C72" s="42">
        <f>IF(-573.21921="","-",-573.21921)</f>
        <v>-573.21921</v>
      </c>
      <c r="D72" s="43" t="s">
        <v>242</v>
      </c>
    </row>
    <row r="73" spans="1:4" ht="15">
      <c r="A73" s="34" t="s">
        <v>185</v>
      </c>
      <c r="B73" s="42">
        <f>IF(-186.26117="","-",-186.26117)</f>
        <v>-186.26117</v>
      </c>
      <c r="C73" s="42">
        <f>IF(-389.71043="","-",-389.71043)</f>
        <v>-389.71043</v>
      </c>
      <c r="D73" s="43" t="s">
        <v>190</v>
      </c>
    </row>
    <row r="74" spans="1:4" ht="15">
      <c r="A74" s="34" t="s">
        <v>178</v>
      </c>
      <c r="B74" s="42">
        <f>IF(-115.67886="","-",-115.67886)</f>
        <v>-115.67886</v>
      </c>
      <c r="C74" s="42">
        <f>IF(-348.67743="","-",-348.67743)</f>
        <v>-348.67743</v>
      </c>
      <c r="D74" s="43" t="s">
        <v>243</v>
      </c>
    </row>
    <row r="75" spans="1:4" ht="15">
      <c r="A75" s="34" t="s">
        <v>186</v>
      </c>
      <c r="B75" s="42">
        <f>IF(-237.61793="","-",-237.61793)</f>
        <v>-237.61793</v>
      </c>
      <c r="C75" s="42">
        <f>IF(-326.27878="","-",-326.27878)</f>
        <v>-326.27878</v>
      </c>
      <c r="D75" s="44">
        <f>IF(OR(-237.61793="",-326.27878="",-237.61793=0),"-",-326.27878/-237.61793*100)</f>
        <v>137.31235685791893</v>
      </c>
    </row>
    <row r="76" spans="1:4" ht="15">
      <c r="A76" s="34" t="s">
        <v>183</v>
      </c>
      <c r="B76" s="42">
        <f>IF(-269.97211="","-",-269.97211)</f>
        <v>-269.97211</v>
      </c>
      <c r="C76" s="42">
        <f>IF(-277.38659="","-",-277.38659)</f>
        <v>-277.38659</v>
      </c>
      <c r="D76" s="44">
        <f>IF(OR(-269.97211="",-277.38659="",-269.97211=0),"-",-277.38659/-269.97211*100)</f>
        <v>102.74638739534984</v>
      </c>
    </row>
    <row r="77" spans="1:4" ht="15">
      <c r="A77" s="34" t="s">
        <v>181</v>
      </c>
      <c r="B77" s="42">
        <f>IF(-255.63107="","-",-255.63107)</f>
        <v>-255.63107</v>
      </c>
      <c r="C77" s="42">
        <f>IF(-245.71238="","-",-245.71238)</f>
        <v>-245.71238</v>
      </c>
      <c r="D77" s="44">
        <f>IF(OR(-255.63107="",-245.71238="",-255.63107=0),"-",-245.71238/-255.63107*100)</f>
        <v>96.11992000815863</v>
      </c>
    </row>
    <row r="78" spans="1:4" ht="15">
      <c r="A78" s="34" t="s">
        <v>126</v>
      </c>
      <c r="B78" s="42">
        <f>IF(-1033.75131="","-",-1033.75131)</f>
        <v>-1033.75131</v>
      </c>
      <c r="C78" s="42">
        <f>IF(-230.43411="","-",-230.43411)</f>
        <v>-230.43411</v>
      </c>
      <c r="D78" s="44">
        <f>IF(OR(-1033.75131="",-230.43411="",-1033.75131=0),"-",-230.43411/-1033.75131*100)</f>
        <v>22.29105857191126</v>
      </c>
    </row>
    <row r="79" spans="1:4" ht="15">
      <c r="A79" s="34" t="s">
        <v>180</v>
      </c>
      <c r="B79" s="42">
        <f>IF(-369.73413="","-",-369.73413)</f>
        <v>-369.73413</v>
      </c>
      <c r="C79" s="42">
        <f>IF(-208.84673="","-",-208.84673)</f>
        <v>-208.84673</v>
      </c>
      <c r="D79" s="44">
        <f>IF(OR(-369.73413="",-208.84673="",-369.73413=0),"-",-208.84673/-369.73413*100)</f>
        <v>56.48565091894546</v>
      </c>
    </row>
    <row r="80" spans="1:7" ht="15">
      <c r="A80" s="34" t="s">
        <v>170</v>
      </c>
      <c r="B80" s="42">
        <f>IF(-265.4452="","-",-265.4452)</f>
        <v>-265.4452</v>
      </c>
      <c r="C80" s="42">
        <f>IF(-202.01156="","-",-202.01156)</f>
        <v>-202.01156</v>
      </c>
      <c r="D80" s="44">
        <f>IF(OR(-265.4452="",-202.01156="",-265.4452=0),"-",-202.01156/-265.4452*100)</f>
        <v>76.10292444542226</v>
      </c>
      <c r="E80" s="15"/>
      <c r="F80" s="15"/>
      <c r="G80" s="15"/>
    </row>
    <row r="81" spans="1:4" ht="15">
      <c r="A81" s="34" t="s">
        <v>125</v>
      </c>
      <c r="B81" s="42">
        <f>IF(-804.03268="","-",-804.03268)</f>
        <v>-804.03268</v>
      </c>
      <c r="C81" s="42">
        <f>IF(-193.43508="","-",-193.43508)</f>
        <v>-193.43508</v>
      </c>
      <c r="D81" s="44">
        <f>IF(OR(-804.03268="",-193.43508="",-804.03268=0),"-",-193.43508/-804.03268*100)</f>
        <v>24.058111667799373</v>
      </c>
    </row>
    <row r="82" spans="1:4" ht="15">
      <c r="A82" s="34" t="s">
        <v>184</v>
      </c>
      <c r="B82" s="42">
        <f>IF(-182.26921="","-",-182.26921)</f>
        <v>-182.26921</v>
      </c>
      <c r="C82" s="42">
        <f>IF(-182.36774="","-",-182.36774)</f>
        <v>-182.36774</v>
      </c>
      <c r="D82" s="44">
        <f>IF(OR(-182.26921="",-182.36774="",-182.26921=0),"-",-182.36774/-182.26921*100)</f>
        <v>100.05405740223487</v>
      </c>
    </row>
    <row r="83" spans="1:4" ht="15">
      <c r="A83" s="34" t="s">
        <v>199</v>
      </c>
      <c r="B83" s="42">
        <f>IF(-159.87632="","-",-159.87632)</f>
        <v>-159.87632</v>
      </c>
      <c r="C83" s="42">
        <f>IF(-179.38521="","-",-179.38521)</f>
        <v>-179.38521</v>
      </c>
      <c r="D83" s="44">
        <f>IF(OR(-159.87632="",-179.38521="",-159.87632=0),"-",-179.38521/-159.87632*100)</f>
        <v>112.20248877382217</v>
      </c>
    </row>
    <row r="84" spans="1:4" ht="15">
      <c r="A84" s="34" t="s">
        <v>182</v>
      </c>
      <c r="B84" s="42">
        <f>IF(-264.19934="","-",-264.19934)</f>
        <v>-264.19934</v>
      </c>
      <c r="C84" s="42">
        <f>IF(-176.17722="","-",-176.17722)</f>
        <v>-176.17722</v>
      </c>
      <c r="D84" s="44">
        <f>IF(OR(-264.19934="",-176.17722="",-264.19934=0),"-",-176.17722/-264.19934*100)</f>
        <v>66.68344440224567</v>
      </c>
    </row>
    <row r="85" spans="1:4" ht="15">
      <c r="A85" s="34" t="s">
        <v>201</v>
      </c>
      <c r="B85" s="42">
        <f>IF(-98.24766="","-",-98.24766)</f>
        <v>-98.24766</v>
      </c>
      <c r="C85" s="42">
        <f>IF(-145.82963="","-",-145.82963)</f>
        <v>-145.82963</v>
      </c>
      <c r="D85" s="44">
        <f>IF(OR(-98.24766="",-145.82963="",-98.24766=0),"-",-145.82963/-98.24766*100)</f>
        <v>148.43063946764738</v>
      </c>
    </row>
    <row r="86" spans="1:4" ht="15">
      <c r="A86" s="34" t="s">
        <v>200</v>
      </c>
      <c r="B86" s="42">
        <f>IF(-57.8195="","-",-57.8195)</f>
        <v>-57.8195</v>
      </c>
      <c r="C86" s="42">
        <f>IF(-116.68223="","-",-116.68223)</f>
        <v>-116.68223</v>
      </c>
      <c r="D86" s="43" t="s">
        <v>29</v>
      </c>
    </row>
    <row r="87" spans="1:4" ht="15">
      <c r="A87" s="34" t="s">
        <v>237</v>
      </c>
      <c r="B87" s="42">
        <f>IF(-64.04617="","-",-64.04617)</f>
        <v>-64.04617</v>
      </c>
      <c r="C87" s="42">
        <f>IF(-70.48541="","-",-70.48541)</f>
        <v>-70.48541</v>
      </c>
      <c r="D87" s="44">
        <f>IF(OR(-64.04617="",-70.48541="",-64.04617=0),"-",-70.48541/-64.04617*100)</f>
        <v>110.05405943868305</v>
      </c>
    </row>
    <row r="88" spans="1:4" ht="15">
      <c r="A88" s="34" t="s">
        <v>149</v>
      </c>
      <c r="B88" s="42">
        <f>IF(-28.76464="","-",-28.76464)</f>
        <v>-28.76464</v>
      </c>
      <c r="C88" s="42">
        <f>IF(-63.35462="","-",-63.35462)</f>
        <v>-63.35462</v>
      </c>
      <c r="D88" s="43" t="s">
        <v>203</v>
      </c>
    </row>
    <row r="89" spans="1:4" ht="15">
      <c r="A89" s="34" t="s">
        <v>202</v>
      </c>
      <c r="B89" s="42">
        <f>IF(-27.28154="","-",-27.28154)</f>
        <v>-27.28154</v>
      </c>
      <c r="C89" s="42">
        <f>IF(-57.79931="","-",-57.79931)</f>
        <v>-57.79931</v>
      </c>
      <c r="D89" s="43" t="s">
        <v>190</v>
      </c>
    </row>
    <row r="90" spans="1:4" ht="15">
      <c r="A90" s="34" t="s">
        <v>187</v>
      </c>
      <c r="B90" s="42">
        <f>IF(-49.42443="","-",-49.42443)</f>
        <v>-49.42443</v>
      </c>
      <c r="C90" s="42">
        <f>IF(-17.45609="","-",-17.45609)</f>
        <v>-17.45609</v>
      </c>
      <c r="D90" s="44">
        <f>IF(OR(-49.42443="",-17.45609="",-49.42443=0),"-",-17.45609/-49.42443*100)</f>
        <v>35.318748238472345</v>
      </c>
    </row>
    <row r="91" spans="1:4" ht="15">
      <c r="A91" s="34" t="s">
        <v>226</v>
      </c>
      <c r="B91" s="42">
        <f>IF(133.61595="","-",133.61595)</f>
        <v>133.61595</v>
      </c>
      <c r="C91" s="42">
        <f>IF(56.42347="","-",56.42347)</f>
        <v>56.42347</v>
      </c>
      <c r="D91" s="44">
        <f>IF(OR(133.61595="",56.42347="",133.61595=0),"-",56.42347/133.61595*100)</f>
        <v>42.22809477461336</v>
      </c>
    </row>
    <row r="92" spans="1:4" ht="15">
      <c r="A92" s="34" t="s">
        <v>169</v>
      </c>
      <c r="B92" s="42">
        <f>IF(-480.76374="","-",-480.76374)</f>
        <v>-480.76374</v>
      </c>
      <c r="C92" s="42">
        <f>IF(74.30561="","-",74.30561)</f>
        <v>74.30561</v>
      </c>
      <c r="D92" s="43" t="s">
        <v>36</v>
      </c>
    </row>
    <row r="93" spans="1:4" ht="15">
      <c r="A93" s="34" t="s">
        <v>196</v>
      </c>
      <c r="B93" s="42">
        <f>IF(21.9411="","-",21.9411)</f>
        <v>21.9411</v>
      </c>
      <c r="C93" s="42">
        <f>IF(91.07321="","-",91.07321)</f>
        <v>91.07321</v>
      </c>
      <c r="D93" s="43" t="s">
        <v>193</v>
      </c>
    </row>
    <row r="94" spans="1:4" ht="15">
      <c r="A94" s="34" t="s">
        <v>225</v>
      </c>
      <c r="B94" s="42">
        <f>IF(0="","-",0)</f>
        <v>0</v>
      </c>
      <c r="C94" s="42">
        <f>IF(99.4423="","-",99.4423)</f>
        <v>99.4423</v>
      </c>
      <c r="D94" s="43" t="s">
        <v>36</v>
      </c>
    </row>
    <row r="95" spans="1:4" ht="15">
      <c r="A95" s="34" t="s">
        <v>153</v>
      </c>
      <c r="B95" s="42">
        <f>IF(677.36217="","-",677.36217)</f>
        <v>677.36217</v>
      </c>
      <c r="C95" s="42">
        <f>IF(157.27547="","-",157.27547)</f>
        <v>157.27547</v>
      </c>
      <c r="D95" s="44">
        <f>IF(OR(677.36217="",157.27547="",677.36217=0),"-",157.27547/677.36217*100)</f>
        <v>23.218815128102005</v>
      </c>
    </row>
    <row r="96" spans="1:4" ht="15">
      <c r="A96" s="34" t="s">
        <v>167</v>
      </c>
      <c r="B96" s="42">
        <f>IF(81.9457="","-",81.9457)</f>
        <v>81.9457</v>
      </c>
      <c r="C96" s="42">
        <f>IF(163.84491="","-",163.84491)</f>
        <v>163.84491</v>
      </c>
      <c r="D96" s="43" t="s">
        <v>29</v>
      </c>
    </row>
    <row r="97" spans="1:4" ht="15">
      <c r="A97" s="34" t="s">
        <v>195</v>
      </c>
      <c r="B97" s="42">
        <f>IF(0="","-",0)</f>
        <v>0</v>
      </c>
      <c r="C97" s="42">
        <f>IF(186.33116="","-",186.33116)</f>
        <v>186.33116</v>
      </c>
      <c r="D97" s="43" t="s">
        <v>36</v>
      </c>
    </row>
    <row r="98" spans="1:4" ht="15">
      <c r="A98" s="34" t="s">
        <v>224</v>
      </c>
      <c r="B98" s="42">
        <f>IF(129.0466="","-",129.0466)</f>
        <v>129.0466</v>
      </c>
      <c r="C98" s="42">
        <f>IF(309.0892="","-",309.0892)</f>
        <v>309.0892</v>
      </c>
      <c r="D98" s="43" t="s">
        <v>127</v>
      </c>
    </row>
    <row r="99" spans="1:4" ht="15">
      <c r="A99" s="34" t="s">
        <v>223</v>
      </c>
      <c r="B99" s="42">
        <f>IF(81.88839="","-",81.88839)</f>
        <v>81.88839</v>
      </c>
      <c r="C99" s="42">
        <f>IF(328.32019="","-",328.32019)</f>
        <v>328.32019</v>
      </c>
      <c r="D99" s="43" t="s">
        <v>210</v>
      </c>
    </row>
    <row r="100" spans="1:7" ht="15">
      <c r="A100" s="34" t="s">
        <v>165</v>
      </c>
      <c r="B100" s="42">
        <f>IF(-55.51198="","-",-55.51198)</f>
        <v>-55.51198</v>
      </c>
      <c r="C100" s="42">
        <f>IF(553.47071="","-",553.47071)</f>
        <v>553.47071</v>
      </c>
      <c r="D100" s="43" t="s">
        <v>36</v>
      </c>
      <c r="E100" s="15"/>
      <c r="F100" s="15"/>
      <c r="G100" s="15"/>
    </row>
    <row r="101" spans="1:7" ht="15">
      <c r="A101" s="34" t="s">
        <v>222</v>
      </c>
      <c r="B101" s="42">
        <f>IF(186.38307="","-",186.38307)</f>
        <v>186.38307</v>
      </c>
      <c r="C101" s="42">
        <f>IF(609.40663="","-",609.40663)</f>
        <v>609.40663</v>
      </c>
      <c r="D101" s="43" t="s">
        <v>189</v>
      </c>
      <c r="E101" s="36"/>
      <c r="F101" s="36"/>
      <c r="G101" s="36"/>
    </row>
    <row r="102" spans="1:7" ht="15">
      <c r="A102" s="34" t="s">
        <v>158</v>
      </c>
      <c r="B102" s="42">
        <f>IF(-163.31414="","-",-163.31414)</f>
        <v>-163.31414</v>
      </c>
      <c r="C102" s="42">
        <f>IF(614.894="","-",614.894)</f>
        <v>614.894</v>
      </c>
      <c r="D102" s="43" t="s">
        <v>36</v>
      </c>
      <c r="E102" s="36"/>
      <c r="F102" s="36"/>
      <c r="G102" s="36"/>
    </row>
    <row r="103" spans="1:7" ht="15">
      <c r="A103" s="34" t="s">
        <v>157</v>
      </c>
      <c r="B103" s="42">
        <f>IF(-368.76179="","-",-368.76179)</f>
        <v>-368.76179</v>
      </c>
      <c r="C103" s="42">
        <f>IF(876.20828="","-",876.20828)</f>
        <v>876.20828</v>
      </c>
      <c r="D103" s="43" t="s">
        <v>36</v>
      </c>
      <c r="E103" s="36"/>
      <c r="F103" s="36"/>
      <c r="G103" s="36"/>
    </row>
    <row r="104" spans="1:7" ht="15">
      <c r="A104" s="34" t="s">
        <v>204</v>
      </c>
      <c r="B104" s="42">
        <f>IF(-1280.68389="","-",-1280.68389)</f>
        <v>-1280.68389</v>
      </c>
      <c r="C104" s="42">
        <f>IF(972.81191="","-",972.81191)</f>
        <v>972.81191</v>
      </c>
      <c r="D104" s="43" t="s">
        <v>36</v>
      </c>
      <c r="E104" s="36"/>
      <c r="F104" s="36"/>
      <c r="G104" s="36"/>
    </row>
    <row r="105" spans="1:7" ht="15">
      <c r="A105" s="34" t="s">
        <v>151</v>
      </c>
      <c r="B105" s="42">
        <f>IF(3234.98628="","-",3234.98628)</f>
        <v>3234.98628</v>
      </c>
      <c r="C105" s="42">
        <f>IF(2725.77747="","-",2725.77747)</f>
        <v>2725.77747</v>
      </c>
      <c r="D105" s="44">
        <f>IF(OR(3234.98628="",2725.77747="",3234.98628=0),"-",2725.77747/3234.98628*100)</f>
        <v>84.25932087724341</v>
      </c>
      <c r="E105" s="36"/>
      <c r="F105" s="36"/>
      <c r="G105" s="36"/>
    </row>
    <row r="106" spans="1:7" ht="15">
      <c r="A106" s="34" t="s">
        <v>148</v>
      </c>
      <c r="B106" s="42">
        <f>IF(2244.91257="","-",2244.91257)</f>
        <v>2244.91257</v>
      </c>
      <c r="C106" s="42">
        <f>IF(3363.5675="","-",3363.5675)</f>
        <v>3363.5675</v>
      </c>
      <c r="D106" s="44">
        <f>IF(OR(2244.91257="",3363.5675="",2244.91257=0),"-",3363.5675/2244.91257*100)</f>
        <v>149.83066801572588</v>
      </c>
      <c r="E106" s="1"/>
      <c r="F106" s="1"/>
      <c r="G106" s="1"/>
    </row>
    <row r="107" spans="1:7" ht="15">
      <c r="A107" s="34" t="s">
        <v>146</v>
      </c>
      <c r="B107" s="42">
        <f>IF(2381.87881="","-",2381.87881)</f>
        <v>2381.87881</v>
      </c>
      <c r="C107" s="42">
        <f>IF(3510.29551="","-",3510.29551)</f>
        <v>3510.29551</v>
      </c>
      <c r="D107" s="44">
        <f>IF(OR(2381.87881="",3510.29551="",2381.87881=0),"-",3510.29551/2381.87881*100)</f>
        <v>147.3750677516628</v>
      </c>
      <c r="E107" s="1"/>
      <c r="F107" s="1"/>
      <c r="G107" s="1"/>
    </row>
    <row r="108" spans="1:7" ht="15">
      <c r="A108" s="34" t="s">
        <v>145</v>
      </c>
      <c r="B108" s="42">
        <f>IF(16478.0383="","-",16478.0383)</f>
        <v>16478.0383</v>
      </c>
      <c r="C108" s="42">
        <f>IF(4036.6092="","-",4036.6092)</f>
        <v>4036.6092</v>
      </c>
      <c r="D108" s="44">
        <f>IF(OR(16478.0383="",4036.6092="",16478.0383=0),"-",4036.6092/16478.0383*100)</f>
        <v>24.49690385778506</v>
      </c>
      <c r="E108" s="1"/>
      <c r="F108" s="1"/>
      <c r="G108" s="1"/>
    </row>
    <row r="109" spans="1:7" ht="15">
      <c r="A109" s="39" t="s">
        <v>221</v>
      </c>
      <c r="B109" s="47">
        <f>IF(-0.11843="","-",-0.11843)</f>
        <v>-0.11843</v>
      </c>
      <c r="C109" s="47">
        <f>IF(11492.23301="","-",11492.23301)</f>
        <v>11492.23301</v>
      </c>
      <c r="D109" s="57" t="s">
        <v>36</v>
      </c>
      <c r="E109" s="21"/>
      <c r="F109" s="21"/>
      <c r="G109" s="21"/>
    </row>
    <row r="110" spans="1:7" ht="15">
      <c r="A110" s="75" t="s">
        <v>30</v>
      </c>
      <c r="B110" s="75"/>
      <c r="C110" s="75"/>
      <c r="D110" s="75"/>
      <c r="E110" s="30"/>
      <c r="F110" s="30"/>
      <c r="G110" s="30"/>
    </row>
  </sheetData>
  <sheetProtection/>
  <mergeCells count="5">
    <mergeCell ref="A110:D110"/>
    <mergeCell ref="A1:D1"/>
    <mergeCell ref="A3:A4"/>
    <mergeCell ref="B3:C3"/>
    <mergeCell ref="D3:D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74"/>
  <sheetViews>
    <sheetView zoomScalePageLayoutView="0" workbookViewId="0" topLeftCell="A1">
      <selection activeCell="A1" sqref="A1:G1"/>
    </sheetView>
  </sheetViews>
  <sheetFormatPr defaultColWidth="9.00390625" defaultRowHeight="15.75"/>
  <cols>
    <col min="1" max="1" width="29.125" style="0" customWidth="1"/>
    <col min="2" max="2" width="11.125" style="0" customWidth="1"/>
    <col min="3" max="3" width="10.375" style="0" customWidth="1"/>
    <col min="4" max="4" width="8.375" style="0" customWidth="1"/>
    <col min="5" max="5" width="8.625" style="0" customWidth="1"/>
    <col min="6" max="6" width="9.625" style="0" customWidth="1"/>
    <col min="7" max="7" width="9.875" style="0" customWidth="1"/>
  </cols>
  <sheetData>
    <row r="1" spans="1:7" ht="15.75">
      <c r="A1" s="61" t="s">
        <v>119</v>
      </c>
      <c r="B1" s="61"/>
      <c r="C1" s="61"/>
      <c r="D1" s="61"/>
      <c r="E1" s="61"/>
      <c r="F1" s="61"/>
      <c r="G1" s="61"/>
    </row>
    <row r="2" spans="1:7" ht="15.75">
      <c r="A2" s="61" t="s">
        <v>39</v>
      </c>
      <c r="B2" s="61"/>
      <c r="C2" s="61"/>
      <c r="D2" s="61"/>
      <c r="E2" s="61"/>
      <c r="F2" s="61"/>
      <c r="G2" s="61"/>
    </row>
    <row r="3" ht="15">
      <c r="A3" s="8"/>
    </row>
    <row r="4" spans="1:7" ht="63" customHeight="1">
      <c r="A4" s="62"/>
      <c r="B4" s="65" t="s">
        <v>213</v>
      </c>
      <c r="C4" s="66"/>
      <c r="D4" s="65" t="s">
        <v>0</v>
      </c>
      <c r="E4" s="66"/>
      <c r="F4" s="67" t="s">
        <v>257</v>
      </c>
      <c r="G4" s="68"/>
    </row>
    <row r="5" spans="1:7" ht="18.75" customHeight="1">
      <c r="A5" s="63"/>
      <c r="B5" s="69" t="s">
        <v>207</v>
      </c>
      <c r="C5" s="71" t="s">
        <v>214</v>
      </c>
      <c r="D5" s="73" t="s">
        <v>215</v>
      </c>
      <c r="E5" s="73"/>
      <c r="F5" s="73" t="s">
        <v>215</v>
      </c>
      <c r="G5" s="65"/>
    </row>
    <row r="6" spans="1:7" ht="25.5" customHeight="1">
      <c r="A6" s="64"/>
      <c r="B6" s="70"/>
      <c r="C6" s="72"/>
      <c r="D6" s="23">
        <v>2016</v>
      </c>
      <c r="E6" s="23">
        <v>2017</v>
      </c>
      <c r="F6" s="23" t="s">
        <v>2</v>
      </c>
      <c r="G6" s="24" t="s">
        <v>194</v>
      </c>
    </row>
    <row r="7" spans="1:7" ht="15">
      <c r="A7" s="9" t="s">
        <v>208</v>
      </c>
      <c r="B7" s="40">
        <f>IF(528186.96794="","-",528186.96794)</f>
        <v>528186.96794</v>
      </c>
      <c r="C7" s="51">
        <f>IF(416515.52507="","-",528186.96794/416515.52507*100)</f>
        <v>126.8108716598817</v>
      </c>
      <c r="D7" s="49">
        <v>100</v>
      </c>
      <c r="E7" s="49">
        <v>100</v>
      </c>
      <c r="F7" s="51">
        <f>IF(487807.69987="","-",(416515.52507-487807.69987)/487807.69987*100)</f>
        <v>-14.614811291211534</v>
      </c>
      <c r="G7" s="51">
        <f>IF(416515.52507="","-",(528186.96794-416515.52507)/416515.52507*100)</f>
        <v>26.810871659881684</v>
      </c>
    </row>
    <row r="8" spans="1:7" ht="15">
      <c r="A8" s="10" t="s">
        <v>112</v>
      </c>
      <c r="B8" s="35"/>
      <c r="C8" s="50"/>
      <c r="D8" s="50"/>
      <c r="E8" s="50"/>
      <c r="F8" s="50"/>
      <c r="G8" s="50"/>
    </row>
    <row r="9" spans="1:7" ht="15">
      <c r="A9" s="11" t="s">
        <v>40</v>
      </c>
      <c r="B9" s="52">
        <f>IF(122201.13432="","-",122201.13432)</f>
        <v>122201.13432</v>
      </c>
      <c r="C9" s="53">
        <f>IF(86771.71227="","-",122201.13432/86771.71227*100)</f>
        <v>140.83061302254512</v>
      </c>
      <c r="D9" s="53">
        <f>IF(86771.71227="","-",86771.71227/416515.52507*100)</f>
        <v>20.832767819498944</v>
      </c>
      <c r="E9" s="53">
        <f>IF(122201.13432="","-",122201.13432/528186.96794*100)</f>
        <v>23.135961645665134</v>
      </c>
      <c r="F9" s="53">
        <f>IF(487807.69987="","-",(86771.71227-132914.51691)/487807.69987*100)</f>
        <v>-9.45922023213184</v>
      </c>
      <c r="G9" s="53">
        <f>IF(416515.52507="","-",(122201.13432-86771.71227)/416515.52507*100)</f>
        <v>8.506146810264923</v>
      </c>
    </row>
    <row r="10" spans="1:7" s="20" customFormat="1" ht="15">
      <c r="A10" s="18" t="s">
        <v>41</v>
      </c>
      <c r="B10" s="54">
        <f>IF(1966.22145="","-",1966.22145)</f>
        <v>1966.22145</v>
      </c>
      <c r="C10" s="55">
        <f>IF(OR(2504.69687="",1966.22145=""),"-",1966.22145/2504.69687*100)</f>
        <v>78.50137370116168</v>
      </c>
      <c r="D10" s="55">
        <f>IF(2504.69687="","-",2504.69687/416515.52507*100)</f>
        <v>0.6013453807223773</v>
      </c>
      <c r="E10" s="55">
        <f>IF(1966.22145="","-",1966.22145/528186.96794*100)</f>
        <v>0.3722586071497612</v>
      </c>
      <c r="F10" s="55">
        <f>IF(OR(487807.69987="",1603.75396="",2504.69687=""),"-",(2504.69687-1603.75396)/487807.69987*100)</f>
        <v>0.18469222815468064</v>
      </c>
      <c r="G10" s="55">
        <f>IF(OR(416515.52507="",1966.22145="",2504.69687=""),"-",(1966.22145-2504.69687)/416515.52507*100)</f>
        <v>-0.1292809961668304</v>
      </c>
    </row>
    <row r="11" spans="1:7" s="20" customFormat="1" ht="15">
      <c r="A11" s="18" t="s">
        <v>42</v>
      </c>
      <c r="B11" s="54">
        <f>IF(1902.9879="","-",1902.9879)</f>
        <v>1902.9879</v>
      </c>
      <c r="C11" s="55" t="s">
        <v>203</v>
      </c>
      <c r="D11" s="55">
        <f>IF(869.15584="","-",869.15584/416515.52507*100)</f>
        <v>0.20867309564365671</v>
      </c>
      <c r="E11" s="55">
        <f>IF(1902.9879="","-",1902.9879/528186.96794*100)</f>
        <v>0.3602867953031685</v>
      </c>
      <c r="F11" s="55">
        <f>IF(OR(487807.69987="",603.54266="",869.15584=""),"-",(869.15584-603.54266)/487807.69987*100)</f>
        <v>0.054450386919022715</v>
      </c>
      <c r="G11" s="55">
        <f>IF(OR(416515.52507="",1902.9879="",869.15584=""),"-",(1902.9879-869.15584)/416515.52507*100)</f>
        <v>0.24820972995574495</v>
      </c>
    </row>
    <row r="12" spans="1:7" s="20" customFormat="1" ht="15">
      <c r="A12" s="18" t="s">
        <v>43</v>
      </c>
      <c r="B12" s="54">
        <f>IF(4908.92808="","-",4908.92808)</f>
        <v>4908.92808</v>
      </c>
      <c r="C12" s="55">
        <f>IF(OR(3174.52993="",4908.92808=""),"-",4908.92808/3174.52993*100)</f>
        <v>154.6348022618895</v>
      </c>
      <c r="D12" s="55">
        <f>IF(3174.52993="","-",3174.52993/416515.52507*100)</f>
        <v>0.7621636503144716</v>
      </c>
      <c r="E12" s="55">
        <f>IF(4908.92808="","-",4908.92808/528186.96794*100)</f>
        <v>0.929392123994554</v>
      </c>
      <c r="F12" s="55">
        <f>IF(OR(487807.69987="",2539.21494="",3174.52993=""),"-",(3174.52993-2539.21494)/487807.69987*100)</f>
        <v>0.1302388195531376</v>
      </c>
      <c r="G12" s="55">
        <f>IF(OR(416515.52507="",4908.92808="",3174.52993=""),"-",(4908.92808-3174.52993)/416515.52507*100)</f>
        <v>0.41640660326131057</v>
      </c>
    </row>
    <row r="13" spans="1:7" s="20" customFormat="1" ht="15">
      <c r="A13" s="18" t="s">
        <v>45</v>
      </c>
      <c r="B13" s="54">
        <f>IF(36621.21655="","-",36621.21655)</f>
        <v>36621.21655</v>
      </c>
      <c r="C13" s="55" t="s">
        <v>190</v>
      </c>
      <c r="D13" s="55">
        <f>IF(17800.58647="","-",17800.58647/416515.52507*100)</f>
        <v>4.273690990752005</v>
      </c>
      <c r="E13" s="55">
        <f>IF(36621.21655="","-",36621.21655/528186.96794*100)</f>
        <v>6.933381316246338</v>
      </c>
      <c r="F13" s="55">
        <f>IF(OR(487807.69987="",38447.67633="",17800.58647=""),"-",(17800.58647-38447.67633)/487807.69987*100)</f>
        <v>-4.232628936669598</v>
      </c>
      <c r="G13" s="55">
        <f>IF(OR(416515.52507="",36621.21655="",17800.58647=""),"-",(36621.21655-17800.58647)/416515.52507*100)</f>
        <v>4.5185902918833545</v>
      </c>
    </row>
    <row r="14" spans="1:7" s="20" customFormat="1" ht="15">
      <c r="A14" s="18" t="s">
        <v>46</v>
      </c>
      <c r="B14" s="54">
        <f>IF(58996.10956="","-",58996.10956)</f>
        <v>58996.10956</v>
      </c>
      <c r="C14" s="55">
        <f>IF(OR(47425.71502="",58996.10956=""),"-",58996.10956/47425.71502*100)</f>
        <v>124.39687948852351</v>
      </c>
      <c r="D14" s="55">
        <f>IF(47425.71502="","-",47425.71502/416515.52507*100)</f>
        <v>11.386301870027436</v>
      </c>
      <c r="E14" s="55">
        <f>IF(58996.10956="","-",58996.10956/528186.96794*100)</f>
        <v>11.169550394265261</v>
      </c>
      <c r="F14" s="55">
        <f>IF(OR(487807.69987="",70656.96644="",47425.71502=""),"-",(47425.71502-70656.96644)/487807.69987*100)</f>
        <v>-4.762378992006705</v>
      </c>
      <c r="G14" s="55">
        <f>IF(OR(416515.52507="",58996.10956="",47425.71502=""),"-",(58996.10956-47425.71502)/416515.52507*100)</f>
        <v>2.777902345430092</v>
      </c>
    </row>
    <row r="15" spans="1:7" s="20" customFormat="1" ht="15">
      <c r="A15" s="18" t="s">
        <v>47</v>
      </c>
      <c r="B15" s="54">
        <f>IF(10016.3151="","-",10016.3151)</f>
        <v>10016.3151</v>
      </c>
      <c r="C15" s="55">
        <f>IF(OR(7588.08901="",10016.3151=""),"-",10016.3151/7588.08901*100)</f>
        <v>132.00049560304248</v>
      </c>
      <c r="D15" s="55">
        <f>IF(7588.08901="","-",7588.08901/416515.52507*100)</f>
        <v>1.8218022026249174</v>
      </c>
      <c r="E15" s="55">
        <f>IF(10016.3151="","-",10016.3151/528186.96794*100)</f>
        <v>1.896357863402986</v>
      </c>
      <c r="F15" s="55">
        <f>IF(OR(487807.69987="",11071.69826="",7588.08901=""),"-",(7588.08901-11071.69826)/487807.69987*100)</f>
        <v>-0.7141357651649156</v>
      </c>
      <c r="G15" s="55">
        <f>IF(OR(416515.52507="",10016.3151="",7588.08901=""),"-",(10016.3151-7588.08901)/416515.52507*100)</f>
        <v>0.5829857337471178</v>
      </c>
    </row>
    <row r="16" spans="1:7" s="20" customFormat="1" ht="26.25">
      <c r="A16" s="18" t="s">
        <v>48</v>
      </c>
      <c r="B16" s="54">
        <f>IF(2292.6286="","-",2292.6286)</f>
        <v>2292.6286</v>
      </c>
      <c r="C16" s="55">
        <f>IF(OR(2000.50522="",2292.6286=""),"-",2292.6286/2000.50522*100)</f>
        <v>114.60248026745963</v>
      </c>
      <c r="D16" s="55">
        <f>IF(2000.50522="","-",2000.50522/416515.52507*100)</f>
        <v>0.48029547509994813</v>
      </c>
      <c r="E16" s="55">
        <f>IF(2292.6286="","-",2292.6286/528186.96794*100)</f>
        <v>0.43405626021814947</v>
      </c>
      <c r="F16" s="55">
        <f>IF(OR(487807.69987="",1713.21709="",2000.50522=""),"-",(2000.50522-1713.21709)/487807.69987*100)</f>
        <v>0.058893725965490445</v>
      </c>
      <c r="G16" s="55">
        <f>IF(OR(416515.52507="",2292.6286="",2000.50522=""),"-",(2292.6286-2000.50522)/416515.52507*100)</f>
        <v>0.07013505197697145</v>
      </c>
    </row>
    <row r="17" spans="1:7" s="20" customFormat="1" ht="26.25">
      <c r="A17" s="18" t="s">
        <v>49</v>
      </c>
      <c r="B17" s="54">
        <f>IF(4889.70146="","-",4889.70146)</f>
        <v>4889.70146</v>
      </c>
      <c r="C17" s="55">
        <f>IF(OR(4957.49675="",4889.70146=""),"-",4889.70146/4957.49675*100)</f>
        <v>98.63246930015637</v>
      </c>
      <c r="D17" s="55">
        <f>IF(4957.49675="","-",4957.49675/416515.52507*100)</f>
        <v>1.190230964179988</v>
      </c>
      <c r="E17" s="55">
        <f>IF(4889.70146="","-",4889.70146/528186.96794*100)</f>
        <v>0.925752007678359</v>
      </c>
      <c r="F17" s="55">
        <f>IF(OR(487807.69987="",5784.61126="",4957.49675=""),"-",(4957.49675-5784.61126)/487807.69987*100)</f>
        <v>-0.16955749370508585</v>
      </c>
      <c r="G17" s="55">
        <f>IF(OR(416515.52507="",4889.70146="",4957.49675=""),"-",(4889.70146-4957.49675)/416515.52507*100)</f>
        <v>-0.01627677383420613</v>
      </c>
    </row>
    <row r="18" spans="1:7" s="20" customFormat="1" ht="15">
      <c r="A18" s="18" t="s">
        <v>50</v>
      </c>
      <c r="B18" s="54">
        <f>IF(604.90214="","-",604.90214)</f>
        <v>604.90214</v>
      </c>
      <c r="C18" s="55">
        <f>IF(OR(449.17394="",604.90214=""),"-",604.90214/449.17394*100)</f>
        <v>134.66990983492943</v>
      </c>
      <c r="D18" s="55">
        <f>IF(449.17394="","-",449.17394/416515.52507*100)</f>
        <v>0.10784086377680915</v>
      </c>
      <c r="E18" s="55">
        <f>IF(604.90214="","-",604.90214/528186.96794*100)</f>
        <v>0.11452424552601127</v>
      </c>
      <c r="F18" s="55">
        <f>IF(OR(487807.69987="",490.06899="",449.17394=""),"-",(449.17394-490.06899)/487807.69987*100)</f>
        <v>-0.008383436754052558</v>
      </c>
      <c r="G18" s="55">
        <f>IF(OR(416515.52507="",604.90214="",449.17394=""),"-",(604.90214-449.17394)/416515.52507*100)</f>
        <v>0.037388330236628804</v>
      </c>
    </row>
    <row r="19" spans="1:7" s="20" customFormat="1" ht="15">
      <c r="A19" s="19" t="s">
        <v>51</v>
      </c>
      <c r="B19" s="52">
        <f>IF(38869.8615="","-",38869.8615)</f>
        <v>38869.8615</v>
      </c>
      <c r="C19" s="53">
        <f>IF(35550.31032="","-",38869.8615/35550.31032*100)</f>
        <v>109.33761519975391</v>
      </c>
      <c r="D19" s="53">
        <f>IF(35550.31032="","-",35550.31032/416515.52507*100)</f>
        <v>8.535170523121648</v>
      </c>
      <c r="E19" s="53">
        <f>IF(38869.8615="","-",38869.8615/528186.96794*100)</f>
        <v>7.359110288464267</v>
      </c>
      <c r="F19" s="53">
        <f>IF(487807.69987="","-",(35550.31032-36341.51361)/487807.69987*100)</f>
        <v>-0.1621957361908923</v>
      </c>
      <c r="G19" s="53">
        <f>IF(416515.52507="","-",(38869.8615-35550.31032)/416515.52507*100)</f>
        <v>0.7969813800919222</v>
      </c>
    </row>
    <row r="20" spans="1:7" s="20" customFormat="1" ht="15">
      <c r="A20" s="18" t="s">
        <v>52</v>
      </c>
      <c r="B20" s="54">
        <f>IF(35940.06666="","-",35940.06666)</f>
        <v>35940.06666</v>
      </c>
      <c r="C20" s="55">
        <f>IF(OR(32762.83163="",35940.06666=""),"-",35940.06666/32762.83163*100)</f>
        <v>109.69768140275976</v>
      </c>
      <c r="D20" s="55">
        <f>IF(32762.83163="","-",32762.83163/416515.52507*100)</f>
        <v>7.865932878370824</v>
      </c>
      <c r="E20" s="55">
        <f>IF(35940.06666="","-",35940.06666/528186.96794*100)</f>
        <v>6.8044213207628115</v>
      </c>
      <c r="F20" s="55">
        <f>IF(OR(487807.69987="",33072.94021="",32762.83163=""),"-",(32762.83163-33072.94021)/487807.69987*100)</f>
        <v>-0.0635718911535516</v>
      </c>
      <c r="G20" s="55">
        <f>IF(OR(416515.52507="",35940.06666="",32762.83163=""),"-",(35940.06666-32762.83163)/416515.52507*100)</f>
        <v>0.7628131098993314</v>
      </c>
    </row>
    <row r="21" spans="1:7" s="20" customFormat="1" ht="15">
      <c r="A21" s="18" t="s">
        <v>53</v>
      </c>
      <c r="B21" s="54">
        <f>IF(2929.79484="","-",2929.79484)</f>
        <v>2929.79484</v>
      </c>
      <c r="C21" s="55">
        <f>IF(OR(2787.47869="",2929.79484=""),"-",2929.79484/2787.47869*100)</f>
        <v>105.10555113876046</v>
      </c>
      <c r="D21" s="55">
        <f>IF(2787.47869="","-",2787.47869/416515.52507*100)</f>
        <v>0.669237644750825</v>
      </c>
      <c r="E21" s="55">
        <f>IF(2929.79484="","-",2929.79484/528186.96794*100)</f>
        <v>0.5546889677014548</v>
      </c>
      <c r="F21" s="55">
        <f>IF(OR(487807.69987="",3268.5734="",2787.47869=""),"-",(2787.47869-3268.5734)/487807.69987*100)</f>
        <v>-0.09862384503733979</v>
      </c>
      <c r="G21" s="55">
        <f>IF(OR(416515.52507="",2929.79484="",2787.47869=""),"-",(2929.79484-2787.47869)/416515.52507*100)</f>
        <v>0.03416827019258942</v>
      </c>
    </row>
    <row r="22" spans="1:7" s="20" customFormat="1" ht="26.25">
      <c r="A22" s="19" t="s">
        <v>54</v>
      </c>
      <c r="B22" s="52">
        <f>IF(66523.03789="","-",66523.03789)</f>
        <v>66523.03789</v>
      </c>
      <c r="C22" s="53">
        <f>IF(42722.71084="","-",66523.03789/42722.71084*100)</f>
        <v>155.708840993574</v>
      </c>
      <c r="D22" s="53">
        <f>IF(42722.71084="","-",42722.71084/416515.52507*100)</f>
        <v>10.257171286189148</v>
      </c>
      <c r="E22" s="53">
        <f>IF(66523.03789="","-",66523.03789/528186.96794*100)</f>
        <v>12.594600383543874</v>
      </c>
      <c r="F22" s="53">
        <f>IF(487807.69987="","-",(42722.71084-63553.99844)/487807.69987*100)</f>
        <v>-4.2703892549362195</v>
      </c>
      <c r="G22" s="53">
        <f>IF(416515.52507="","-",(66523.03789-42722.71084)/416515.52507*100)</f>
        <v>5.714151242261643</v>
      </c>
    </row>
    <row r="23" spans="1:8" s="20" customFormat="1" ht="15">
      <c r="A23" s="18" t="s">
        <v>55</v>
      </c>
      <c r="B23" s="54">
        <f>IF(934.32372="","-",934.32372)</f>
        <v>934.32372</v>
      </c>
      <c r="C23" s="55">
        <f>IF(OR(1006.83987="",934.32372=""),"-",934.32372/1006.83987*100)</f>
        <v>92.79764815034589</v>
      </c>
      <c r="D23" s="55">
        <f>IF(1006.83987="","-",1006.83987/416515.52507*100)</f>
        <v>0.24172925362885087</v>
      </c>
      <c r="E23" s="55">
        <f>IF(934.32372="","-",934.32372/528186.96794*100)</f>
        <v>0.17689261127437275</v>
      </c>
      <c r="F23" s="55">
        <f>IF(OR(487807.69987="",949.22769="",1006.83987=""),"-",(1006.83987-949.22769)/487807.69987*100)</f>
        <v>0.011810428579818137</v>
      </c>
      <c r="G23" s="55">
        <f>IF(OR(416515.52507="",934.32372="",1006.83987=""),"-",(934.32372-1006.83987)/416515.52507*100)</f>
        <v>-0.017410191369892615</v>
      </c>
      <c r="H23" s="16"/>
    </row>
    <row r="24" spans="1:8" s="20" customFormat="1" ht="15">
      <c r="A24" s="18" t="s">
        <v>56</v>
      </c>
      <c r="B24" s="54">
        <f>IF(57693.37297="","-",57693.37297)</f>
        <v>57693.37297</v>
      </c>
      <c r="C24" s="55">
        <f>IF(OR(36131.68341="",57693.37297=""),"-",57693.37297/36131.68341*100)</f>
        <v>159.67529748152413</v>
      </c>
      <c r="D24" s="55">
        <f>IF(36131.68341="","-",36131.68341/416515.52507*100)</f>
        <v>8.674750696010113</v>
      </c>
      <c r="E24" s="55">
        <f>IF(57693.37297="","-",57693.37297/528186.96794*100)</f>
        <v>10.922907317272875</v>
      </c>
      <c r="F24" s="55">
        <f>IF(OR(487807.69987="",51382.64607="",36131.68341=""),"-",(36131.68341-51382.64607)/487807.69987*100)</f>
        <v>-3.126429259739927</v>
      </c>
      <c r="G24" s="55">
        <f>IF(OR(416515.52507="",57693.37297="",36131.68341=""),"-",(57693.37297-36131.68341)/416515.52507*100)</f>
        <v>5.1766832836246195</v>
      </c>
      <c r="H24" s="17"/>
    </row>
    <row r="25" spans="1:8" s="20" customFormat="1" ht="15">
      <c r="A25" s="18" t="s">
        <v>58</v>
      </c>
      <c r="B25" s="54">
        <f>IF(88.73535="","-",88.73535)</f>
        <v>88.73535</v>
      </c>
      <c r="C25" s="55">
        <f>IF(OR(523.70075="",88.73535=""),"-",88.73535/523.70075*100)</f>
        <v>16.94390355560881</v>
      </c>
      <c r="D25" s="55">
        <f>IF(523.70075="","-",523.70075/416515.52507*100)</f>
        <v>0.12573378865337284</v>
      </c>
      <c r="E25" s="55">
        <f>IF(88.73535="","-",88.73535/528186.96794*100)</f>
        <v>0.016799988524154572</v>
      </c>
      <c r="F25" s="55">
        <f>IF(OR(487807.69987="",658.89349="",523.70075=""),"-",(523.70075-658.89349)/487807.69987*100)</f>
        <v>-0.027714351379863156</v>
      </c>
      <c r="G25" s="55">
        <f>IF(OR(416515.52507="",88.73535="",523.70075=""),"-",(88.73535-523.70075)/416515.52507*100)</f>
        <v>-0.10442957676713234</v>
      </c>
      <c r="H25" s="17"/>
    </row>
    <row r="26" spans="1:8" s="20" customFormat="1" ht="15">
      <c r="A26" s="18" t="s">
        <v>59</v>
      </c>
      <c r="B26" s="54">
        <f>IF(614.47671="","-",614.47671)</f>
        <v>614.47671</v>
      </c>
      <c r="C26" s="55">
        <f>IF(OR(568.72784="",614.47671=""),"-",614.47671/568.72784*100)</f>
        <v>108.04407078085012</v>
      </c>
      <c r="D26" s="55">
        <f>IF(568.72784="","-",568.72784/416515.52507*100)</f>
        <v>0.1365442116243852</v>
      </c>
      <c r="E26" s="55">
        <f>IF(614.47671="","-",614.47671/528186.96794*100)</f>
        <v>0.11633696916009525</v>
      </c>
      <c r="F26" s="55">
        <f>IF(OR(487807.69987="",216.93842="",568.72784=""),"-",(568.72784-216.93842)/487807.69987*100)</f>
        <v>0.07211641392576447</v>
      </c>
      <c r="G26" s="55">
        <f>IF(OR(416515.52507="",614.47671="",568.72784=""),"-",(614.47671-568.72784)/416515.52507*100)</f>
        <v>0.010983713030219321</v>
      </c>
      <c r="H26" s="17"/>
    </row>
    <row r="27" spans="1:8" s="20" customFormat="1" ht="39">
      <c r="A27" s="18" t="s">
        <v>60</v>
      </c>
      <c r="B27" s="54">
        <f>IF(56.49556="","-",56.49556)</f>
        <v>56.49556</v>
      </c>
      <c r="C27" s="55">
        <f>IF(OR(197.29206="",56.49556=""),"-",56.49556/197.29206*100)</f>
        <v>28.63549602553696</v>
      </c>
      <c r="D27" s="55">
        <f>IF(197.29206="","-",197.29206/416515.52507*100)</f>
        <v>0.047367276397882865</v>
      </c>
      <c r="E27" s="55">
        <f>IF(56.49556="","-",56.49556/528186.96794*100)</f>
        <v>0.010696129103741476</v>
      </c>
      <c r="F27" s="55">
        <f>IF(OR(487807.69987="",1043.07664="",197.29206=""),"-",(197.29206-1043.07664)/487807.69987*100)</f>
        <v>-0.17338483591493128</v>
      </c>
      <c r="G27" s="55">
        <f>IF(OR(416515.52507="",56.49556="",197.29206=""),"-",(56.49556-197.29206)/416515.52507*100)</f>
        <v>-0.03380342184756201</v>
      </c>
      <c r="H27" s="17"/>
    </row>
    <row r="28" spans="1:8" s="20" customFormat="1" ht="39">
      <c r="A28" s="18" t="s">
        <v>61</v>
      </c>
      <c r="B28" s="54">
        <f>IF(2005.60905="","-",2005.60905)</f>
        <v>2005.60905</v>
      </c>
      <c r="C28" s="55" t="s">
        <v>252</v>
      </c>
      <c r="D28" s="55">
        <f>IF(1124.09521="","-",1124.09521/416515.52507*100)</f>
        <v>0.26988074689678937</v>
      </c>
      <c r="E28" s="55">
        <f>IF(2005.60905="","-",2005.60905/528186.96794*100)</f>
        <v>0.37971573926220564</v>
      </c>
      <c r="F28" s="55">
        <f>IF(OR(487807.69987="",1440.95895="",1124.09521=""),"-",(1124.09521-1440.95895)/487807.69987*100)</f>
        <v>-0.06495669094285385</v>
      </c>
      <c r="G28" s="55">
        <f>IF(OR(416515.52507="",2005.60905="",1124.09521=""),"-",(2005.60905-1124.09521)/416515.52507*100)</f>
        <v>0.2116400918913772</v>
      </c>
      <c r="H28" s="17"/>
    </row>
    <row r="29" spans="1:8" s="20" customFormat="1" ht="26.25">
      <c r="A29" s="18" t="s">
        <v>62</v>
      </c>
      <c r="B29" s="54">
        <f>IF(4197.48616="","-",4197.48616)</f>
        <v>4197.48616</v>
      </c>
      <c r="C29" s="55" t="s">
        <v>254</v>
      </c>
      <c r="D29" s="55">
        <f>IF(2596.2627="","-",2596.2627/416515.52507*100)</f>
        <v>0.6233291543127162</v>
      </c>
      <c r="E29" s="55">
        <f>IF(4197.48616="","-",4197.48616/528186.96794*100)</f>
        <v>0.7946970324487102</v>
      </c>
      <c r="F29" s="55">
        <f>IF(OR(487807.69987="",5173.68036="",2596.2627=""),"-",(2596.2627-5173.68036)/487807.69987*100)</f>
        <v>-0.5283675638344532</v>
      </c>
      <c r="G29" s="55">
        <f>IF(OR(416515.52507="",4197.48616="",2596.2627=""),"-",(4197.48616-2596.2627)/416515.52507*100)</f>
        <v>0.38443307959070605</v>
      </c>
      <c r="H29" s="17"/>
    </row>
    <row r="30" spans="1:8" s="20" customFormat="1" ht="26.25">
      <c r="A30" s="18" t="s">
        <v>63</v>
      </c>
      <c r="B30" s="54">
        <f>IF(932.16647="","-",932.16647)</f>
        <v>932.16647</v>
      </c>
      <c r="C30" s="55" t="s">
        <v>254</v>
      </c>
      <c r="D30" s="55">
        <f>IF(574.1058="","-",574.1058/416515.52507*100)</f>
        <v>0.1378353903863524</v>
      </c>
      <c r="E30" s="55">
        <f>IF(932.16647="","-",932.16647/528186.96794*100)</f>
        <v>0.17648418582449588</v>
      </c>
      <c r="F30" s="55">
        <f>IF(OR(487807.69987="",1650.27716="",574.1058=""),"-",(574.1058-1650.27716)/487807.69987*100)</f>
        <v>-0.22061385260765629</v>
      </c>
      <c r="G30" s="55">
        <f>IF(OR(416515.52507="",932.16647="",574.1058=""),"-",(932.16647-574.1058)/416515.52507*100)</f>
        <v>0.08596574399953615</v>
      </c>
      <c r="H30" s="17"/>
    </row>
    <row r="31" spans="1:8" s="20" customFormat="1" ht="26.25">
      <c r="A31" s="19" t="s">
        <v>64</v>
      </c>
      <c r="B31" s="52">
        <f>IF(3953.80593="","-",3953.80593)</f>
        <v>3953.80593</v>
      </c>
      <c r="C31" s="53" t="s">
        <v>244</v>
      </c>
      <c r="D31" s="53">
        <f>IF(1115.62365="","-",1115.62365/416515.52507*100)</f>
        <v>0.26784683471582654</v>
      </c>
      <c r="E31" s="53">
        <f>IF(3953.80593="","-",3953.80593/528186.96794*100)</f>
        <v>0.7485618104930483</v>
      </c>
      <c r="F31" s="53">
        <f>IF(487807.69987="","-",(1115.62365-2192.94478)/487807.69987*100)</f>
        <v>-0.22084955409418594</v>
      </c>
      <c r="G31" s="53">
        <f>IF(416515.52507="","-",(3953.80593-1115.62365)/416515.52507*100)</f>
        <v>0.6814109220833996</v>
      </c>
      <c r="H31" s="17"/>
    </row>
    <row r="32" spans="1:8" s="20" customFormat="1" ht="15" customHeight="1">
      <c r="A32" s="18" t="s">
        <v>66</v>
      </c>
      <c r="B32" s="54">
        <f>IF(3952.1929="","-",3952.1929)</f>
        <v>3952.1929</v>
      </c>
      <c r="C32" s="55" t="s">
        <v>244</v>
      </c>
      <c r="D32" s="55">
        <f>IF(1113.78263="","-",1113.78263/416515.52507*100)</f>
        <v>0.2674048295829589</v>
      </c>
      <c r="E32" s="55">
        <f>IF(3952.1929="","-",3952.1929/528186.96794*100)</f>
        <v>0.7482564205273906</v>
      </c>
      <c r="F32" s="55">
        <f>IF(OR(487807.69987="",2131.9468="",1113.78263=""),"-",(1113.78263-2131.9468)/487807.69987*100)</f>
        <v>-0.20872244744626609</v>
      </c>
      <c r="G32" s="55">
        <f>IF(OR(416515.52507="",3952.1929="",1113.78263=""),"-",(3952.1929-1113.78263)/416515.52507*100)</f>
        <v>0.681465659538855</v>
      </c>
      <c r="H32" s="17"/>
    </row>
    <row r="33" spans="1:7" s="20" customFormat="1" ht="26.25">
      <c r="A33" s="19" t="s">
        <v>69</v>
      </c>
      <c r="B33" s="52">
        <f>IF(13176.58892="","-",13176.58892)</f>
        <v>13176.58892</v>
      </c>
      <c r="C33" s="53">
        <f>IF(13359.9811="","-",13176.58892/13359.9811*100)</f>
        <v>98.62730210000072</v>
      </c>
      <c r="D33" s="53">
        <f>IF(13359.9811="","-",13359.9811/416515.52507*100)</f>
        <v>3.2075589734031427</v>
      </c>
      <c r="E33" s="53">
        <f>IF(13176.58892="","-",13176.58892/528186.96794*100)</f>
        <v>2.4946827013529815</v>
      </c>
      <c r="F33" s="53">
        <f>IF(487807.69987="","-",(13359.9811-22741.5769)/487807.69987*100)</f>
        <v>-1.9232160137078975</v>
      </c>
      <c r="G33" s="53">
        <f>IF(416515.52507="","-",(13176.58892-13359.9811)/416515.52507*100)</f>
        <v>-0.044030094669143406</v>
      </c>
    </row>
    <row r="34" spans="1:7" s="20" customFormat="1" ht="26.25">
      <c r="A34" s="18" t="s">
        <v>71</v>
      </c>
      <c r="B34" s="54">
        <f>IF(13157.71722="","-",13157.71722)</f>
        <v>13157.71722</v>
      </c>
      <c r="C34" s="55">
        <f>IF(OR(13343.63491="",13157.71722=""),"-",13157.71722/13343.63491*100)</f>
        <v>98.60669381878344</v>
      </c>
      <c r="D34" s="55">
        <f>IF(13343.63491="","-",13343.63491/416515.52507*100)</f>
        <v>3.2036344642273438</v>
      </c>
      <c r="E34" s="55">
        <f>IF(13157.71722="","-",13157.71722/528186.96794*100)</f>
        <v>2.491109780939288</v>
      </c>
      <c r="F34" s="55">
        <f>IF(OR(487807.69987="",22741.03212="",13343.63491=""),"-",(13343.63491-22741.03212)/487807.69987*100)</f>
        <v>-1.9264552840195819</v>
      </c>
      <c r="G34" s="55">
        <f>IF(OR(416515.52507="",13157.71722="",13343.63491=""),"-",(13157.71722-13343.63491)/416515.52507*100)</f>
        <v>-0.04463643701366347</v>
      </c>
    </row>
    <row r="35" spans="1:7" s="20" customFormat="1" ht="26.25">
      <c r="A35" s="19" t="s">
        <v>73</v>
      </c>
      <c r="B35" s="52">
        <f>IF(27048.29503="","-",27048.29503)</f>
        <v>27048.29503</v>
      </c>
      <c r="C35" s="53">
        <f>IF(19661.37882="","-",27048.29503/19661.37882*100)</f>
        <v>137.5706926641679</v>
      </c>
      <c r="D35" s="53">
        <f>IF(19661.37882="","-",19661.37882/416515.52507*100)</f>
        <v>4.720443209576808</v>
      </c>
      <c r="E35" s="53">
        <f>IF(27048.29503="","-",27048.29503/528186.96794*100)</f>
        <v>5.120969783766529</v>
      </c>
      <c r="F35" s="53">
        <f>IF(487807.69987="","-",(19661.37882-26960.36749)/487807.69987*100)</f>
        <v>-1.4962840217456936</v>
      </c>
      <c r="G35" s="53">
        <f>IF(416515.52507="","-",(27048.29503-19661.37882)/416515.52507*100)</f>
        <v>1.773503210656685</v>
      </c>
    </row>
    <row r="36" spans="1:7" s="20" customFormat="1" ht="15">
      <c r="A36" s="18" t="s">
        <v>74</v>
      </c>
      <c r="B36" s="54">
        <f>IF(6109.01148="","-",6109.01148)</f>
        <v>6109.01148</v>
      </c>
      <c r="C36" s="55" t="s">
        <v>252</v>
      </c>
      <c r="D36" s="55">
        <f>IF(3435.43897="","-",3435.43897/416515.52507*100)</f>
        <v>0.8248045422610928</v>
      </c>
      <c r="E36" s="55">
        <f>IF(6109.01148="","-",6109.01148/528186.96794*100)</f>
        <v>1.1566001909941026</v>
      </c>
      <c r="F36" s="55">
        <f>IF(OR(487807.69987="",802.48011="",3435.43897=""),"-",(3435.43897-802.48011)/487807.69987*100)</f>
        <v>0.539753443970171</v>
      </c>
      <c r="G36" s="55">
        <f>IF(OR(416515.52507="",6109.01148="",3435.43897=""),"-",(6109.01148-3435.43897)/416515.52507*100)</f>
        <v>0.6418902415583854</v>
      </c>
    </row>
    <row r="37" spans="1:7" s="20" customFormat="1" ht="15">
      <c r="A37" s="18" t="s">
        <v>75</v>
      </c>
      <c r="B37" s="54">
        <f>IF(261.35466="","-",261.35466)</f>
        <v>261.35466</v>
      </c>
      <c r="C37" s="55" t="s">
        <v>190</v>
      </c>
      <c r="D37" s="55">
        <f>IF(125.51859="","-",125.51859/416515.52507*100)</f>
        <v>0.030135392907360475</v>
      </c>
      <c r="E37" s="55">
        <f>IF(261.35466="","-",261.35466/528186.96794*100)</f>
        <v>0.04948146695465021</v>
      </c>
      <c r="F37" s="55">
        <f>IF(OR(487807.69987="",56.02172="",125.51859=""),"-",(125.51859-56.02172)/487807.69987*100)</f>
        <v>0.014246775936197975</v>
      </c>
      <c r="G37" s="55">
        <f>IF(OR(416515.52507="",261.35466="",125.51859=""),"-",(261.35466-125.51859)/416515.52507*100)</f>
        <v>0.03261248664792778</v>
      </c>
    </row>
    <row r="38" spans="1:7" s="20" customFormat="1" ht="15">
      <c r="A38" s="18" t="s">
        <v>76</v>
      </c>
      <c r="B38" s="54">
        <f>IF(205.60505="","-",205.60505)</f>
        <v>205.60505</v>
      </c>
      <c r="C38" s="55">
        <f>IF(OR(321.14712="",205.60505=""),"-",205.60505/321.14712*100)</f>
        <v>64.0220749916736</v>
      </c>
      <c r="D38" s="55">
        <f>IF(321.14712="","-",321.14712/416515.52507*100)</f>
        <v>0.07710327722982899</v>
      </c>
      <c r="E38" s="55">
        <f>IF(205.60505="","-",205.60505/528186.96794*100)</f>
        <v>0.03892656625018358</v>
      </c>
      <c r="F38" s="55">
        <f>IF(OR(487807.69987="",405.0826="",321.14712=""),"-",(321.14712-405.0826)/487807.69987*100)</f>
        <v>-0.017206673863977284</v>
      </c>
      <c r="G38" s="55">
        <f>IF(OR(416515.52507="",205.60505="",321.14712=""),"-",(205.60505-321.14712)/416515.52507*100)</f>
        <v>-0.027740159260709878</v>
      </c>
    </row>
    <row r="39" spans="1:7" s="20" customFormat="1" ht="15">
      <c r="A39" s="18" t="s">
        <v>77</v>
      </c>
      <c r="B39" s="54">
        <f>IF(11596.69215="","-",11596.69215)</f>
        <v>11596.69215</v>
      </c>
      <c r="C39" s="55" t="s">
        <v>211</v>
      </c>
      <c r="D39" s="55">
        <f>IF(4494.7079="","-",4494.7079/416515.52507*100)</f>
        <v>1.0791213362922345</v>
      </c>
      <c r="E39" s="55">
        <f>IF(11596.69215="","-",11596.69215/528186.96794*100)</f>
        <v>2.195565747339177</v>
      </c>
      <c r="F39" s="55">
        <f>IF(OR(487807.69987="",13274.58931="",4494.7079=""),"-",(4494.7079-13274.58931)/487807.69987*100)</f>
        <v>-1.7998652773090345</v>
      </c>
      <c r="G39" s="55">
        <f>IF(OR(416515.52507="",11596.69215="",4494.7079=""),"-",(11596.69215-4494.7079)/416515.52507*100)</f>
        <v>1.7050947257743716</v>
      </c>
    </row>
    <row r="40" spans="1:7" s="20" customFormat="1" ht="39">
      <c r="A40" s="18" t="s">
        <v>78</v>
      </c>
      <c r="B40" s="54">
        <f>IF(7174.50238="","-",7174.50238)</f>
        <v>7174.50238</v>
      </c>
      <c r="C40" s="55">
        <f>IF(OR(9175.14086="",7174.50238=""),"-",7174.50238/9175.14086*100)</f>
        <v>78.19501073033118</v>
      </c>
      <c r="D40" s="55">
        <f>IF(9175.14086="","-",9175.14086/416515.52507*100)</f>
        <v>2.202832861622149</v>
      </c>
      <c r="E40" s="55">
        <f>IF(7174.50238="","-",7174.50238/528186.96794*100)</f>
        <v>1.3583262775265965</v>
      </c>
      <c r="F40" s="55">
        <f>IF(OR(487807.69987="",10464.97719="",9175.14086=""),"-",(9175.14086-10464.97719)/487807.69987*100)</f>
        <v>-0.2644149180801655</v>
      </c>
      <c r="G40" s="55">
        <f>IF(OR(416515.52507="",7174.50238="",9175.14086=""),"-",(7174.50238-9175.14086)/416515.52507*100)</f>
        <v>-0.48032746910544827</v>
      </c>
    </row>
    <row r="41" spans="1:7" s="20" customFormat="1" ht="15">
      <c r="A41" s="18" t="s">
        <v>80</v>
      </c>
      <c r="B41" s="54">
        <f>IF(403.04244="","-",403.04244)</f>
        <v>403.04244</v>
      </c>
      <c r="C41" s="55">
        <f>IF(OR(615.23196="",403.04244=""),"-",403.04244/615.23196*100)</f>
        <v>65.51064739874698</v>
      </c>
      <c r="D41" s="55">
        <f>IF(615.23196="","-",615.23196/416515.52507*100)</f>
        <v>0.14770925042868535</v>
      </c>
      <c r="E41" s="55">
        <f>IF(403.04244="","-",403.04244/528186.96794*100)</f>
        <v>0.07630677477180468</v>
      </c>
      <c r="F41" s="55">
        <f>IF(OR(487807.69987="",1191.60397="",615.23196=""),"-",(615.23196-1191.60397)/487807.69987*100)</f>
        <v>-0.11815557855146652</v>
      </c>
      <c r="G41" s="55">
        <f>IF(OR(416515.52507="",403.04244="",615.23196=""),"-",(403.04244-615.23196)/416515.52507*100)</f>
        <v>-0.050943964205017137</v>
      </c>
    </row>
    <row r="42" spans="1:7" s="20" customFormat="1" ht="15">
      <c r="A42" s="18" t="s">
        <v>81</v>
      </c>
      <c r="B42" s="54">
        <f>IF(705.73174="","-",705.73174)</f>
        <v>705.73174</v>
      </c>
      <c r="C42" s="55">
        <f>IF(OR(569.53153="",705.73174=""),"-",705.73174/569.53153*100)</f>
        <v>123.91442840750186</v>
      </c>
      <c r="D42" s="55">
        <f>IF(569.53153="","-",569.53153/416515.52507*100)</f>
        <v>0.13673716721706447</v>
      </c>
      <c r="E42" s="55">
        <f>IF(705.73174="","-",705.73174/528186.96794*100)</f>
        <v>0.13361400088162878</v>
      </c>
      <c r="F42" s="55">
        <f>IF(OR(487807.69987="",320.56107="",569.53153=""),"-",(569.53153-320.56107)/487807.69987*100)</f>
        <v>0.05103864905501702</v>
      </c>
      <c r="G42" s="55">
        <f>IF(OR(416515.52507="",705.73174="",569.53153=""),"-",(705.73174-569.53153)/416515.52507*100)</f>
        <v>0.03269991196057098</v>
      </c>
    </row>
    <row r="43" spans="1:7" s="20" customFormat="1" ht="15">
      <c r="A43" s="18" t="s">
        <v>82</v>
      </c>
      <c r="B43" s="54">
        <f>IF(567.15513="","-",567.15513)</f>
        <v>567.15513</v>
      </c>
      <c r="C43" s="55">
        <f>IF(OR(924.13516="",567.15513=""),"-",567.15513/924.13516*100)</f>
        <v>61.371448089909265</v>
      </c>
      <c r="D43" s="55">
        <f>IF(924.13516="","-",924.13516/416515.52507*100)</f>
        <v>0.2218729205459242</v>
      </c>
      <c r="E43" s="55">
        <f>IF(567.15513="","-",567.15513/528186.96794*100)</f>
        <v>0.10737772122852274</v>
      </c>
      <c r="F43" s="55">
        <f>IF(OR(487807.69987="",424.7977="",924.13516=""),"-",(924.13516-424.7977)/487807.69987*100)</f>
        <v>0.10236358715392821</v>
      </c>
      <c r="G43" s="55">
        <f>IF(OR(416515.52507="",567.15513="",924.13516=""),"-",(567.15513-924.13516)/416515.52507*100)</f>
        <v>-0.08570629628751669</v>
      </c>
    </row>
    <row r="44" spans="1:7" s="20" customFormat="1" ht="26.25">
      <c r="A44" s="19" t="s">
        <v>83</v>
      </c>
      <c r="B44" s="52">
        <f>IF(38445.14211="","-",38445.14211)</f>
        <v>38445.14211</v>
      </c>
      <c r="C44" s="53">
        <f>IF(39664.48332="","-",38445.14211/39664.48332*100)</f>
        <v>96.92586135520094</v>
      </c>
      <c r="D44" s="53">
        <f>IF(39664.48332="","-",39664.48332/416515.52507*100)</f>
        <v>9.522930342952751</v>
      </c>
      <c r="E44" s="53">
        <f>IF(38445.14211="","-",38445.14211/528186.96794*100)</f>
        <v>7.278699483999238</v>
      </c>
      <c r="F44" s="53">
        <f>IF(487807.69987="","-",(39664.48332-28137.73581)/487807.69987*100)</f>
        <v>2.3629695704007667</v>
      </c>
      <c r="G44" s="53">
        <f>IF(416515.52507="","-",(38445.14211-39664.48332)/416515.52507*100)</f>
        <v>-0.29274808179000655</v>
      </c>
    </row>
    <row r="45" spans="1:7" s="20" customFormat="1" ht="15">
      <c r="A45" s="18" t="s">
        <v>84</v>
      </c>
      <c r="B45" s="54">
        <f>IF(723.7995="","-",723.7995)</f>
        <v>723.7995</v>
      </c>
      <c r="C45" s="55" t="s">
        <v>254</v>
      </c>
      <c r="D45" s="55">
        <f>IF(443.64775="","-",443.64775/416515.52507*100)</f>
        <v>0.10651409690561717</v>
      </c>
      <c r="E45" s="55">
        <f>IF(723.7995="","-",723.7995/528186.96794*100)</f>
        <v>0.1370347138292554</v>
      </c>
      <c r="F45" s="55">
        <f>IF(OR(487807.69987="",326.43384="",443.64775=""),"-",(443.64775-326.43384)/487807.69987*100)</f>
        <v>0.024028712550301548</v>
      </c>
      <c r="G45" s="55">
        <f>IF(OR(416515.52507="",723.7995="",443.64775=""),"-",(723.7995-443.64775)/416515.52507*100)</f>
        <v>0.06726081817788603</v>
      </c>
    </row>
    <row r="46" spans="1:7" s="20" customFormat="1" ht="15">
      <c r="A46" s="18" t="s">
        <v>85</v>
      </c>
      <c r="B46" s="54">
        <f>IF(618.60398="","-",618.60398)</f>
        <v>618.60398</v>
      </c>
      <c r="C46" s="55">
        <f>IF(OR(4634.17893="",618.60398=""),"-",618.60398/4634.17893*100)</f>
        <v>13.348728854541662</v>
      </c>
      <c r="D46" s="55">
        <f>IF(4634.17893="","-",4634.17893/416515.52507*100)</f>
        <v>1.1126065299057402</v>
      </c>
      <c r="E46" s="55">
        <f>IF(618.60398="","-",618.60398/528186.96794*100)</f>
        <v>0.11711837238480881</v>
      </c>
      <c r="F46" s="55">
        <f>IF(OR(487807.69987="",1000.26424="",4634.17893=""),"-",(4634.17893-1000.26424)/487807.69987*100)</f>
        <v>0.7449482021231795</v>
      </c>
      <c r="G46" s="55">
        <f>IF(OR(416515.52507="",618.60398="",4634.17893=""),"-",(618.60398-4634.17893)/416515.52507*100)</f>
        <v>-0.9640877010106981</v>
      </c>
    </row>
    <row r="47" spans="1:7" s="20" customFormat="1" ht="15">
      <c r="A47" s="18" t="s">
        <v>86</v>
      </c>
      <c r="B47" s="54">
        <f>IF(2132.58071="","-",2132.58071)</f>
        <v>2132.58071</v>
      </c>
      <c r="C47" s="55">
        <f>IF(OR(2108.8331="",2132.58071=""),"-",2132.58071/2108.8331*100)</f>
        <v>101.12610191863929</v>
      </c>
      <c r="D47" s="55">
        <f>IF(2108.8331="","-",2108.8331/416515.52507*100)</f>
        <v>0.5063036004829802</v>
      </c>
      <c r="E47" s="55">
        <f>IF(2132.58071="","-",2132.58071/528186.96794*100)</f>
        <v>0.4037548897348511</v>
      </c>
      <c r="F47" s="55">
        <f>IF(OR(487807.69987="",1401.31982="",2108.8331=""),"-",(2108.8331-1401.31982)/487807.69987*100)</f>
        <v>0.1450393833858201</v>
      </c>
      <c r="G47" s="55">
        <f>IF(OR(416515.52507="",2132.58071="",2108.8331=""),"-",(2132.58071-2108.8331)/416515.52507*100)</f>
        <v>0.005701494559178629</v>
      </c>
    </row>
    <row r="48" spans="1:7" s="20" customFormat="1" ht="26.25">
      <c r="A48" s="18" t="s">
        <v>87</v>
      </c>
      <c r="B48" s="54">
        <f>IF(1429.45945="","-",1429.45945)</f>
        <v>1429.45945</v>
      </c>
      <c r="C48" s="55">
        <f>IF(OR(1519.07835="",1429.45945=""),"-",1429.45945/1519.07835*100)</f>
        <v>94.10044254794363</v>
      </c>
      <c r="D48" s="55">
        <f>IF(1519.07835="","-",1519.07835/416515.52507*100)</f>
        <v>0.3647110992428679</v>
      </c>
      <c r="E48" s="55">
        <f>IF(1429.45945="","-",1429.45945/528186.96794*100)</f>
        <v>0.27063512293290454</v>
      </c>
      <c r="F48" s="55">
        <f>IF(OR(487807.69987="",1679.81706="",1519.07835=""),"-",(1519.07835-1679.81706)/487807.69987*100)</f>
        <v>-0.03295124493582957</v>
      </c>
      <c r="G48" s="55">
        <f>IF(OR(416515.52507="",1429.45945="",1519.07835=""),"-",(1429.45945-1519.07835)/416515.52507*100)</f>
        <v>-0.021516340833859313</v>
      </c>
    </row>
    <row r="49" spans="1:7" s="20" customFormat="1" ht="26.25">
      <c r="A49" s="18" t="s">
        <v>88</v>
      </c>
      <c r="B49" s="54">
        <f>IF(20491.4322099999="","-",20491.4322099999)</f>
        <v>20491.4322099999</v>
      </c>
      <c r="C49" s="55">
        <f>IF(OR(17566.78945="",20491.4322099999=""),"-",20491.4322099999/17566.78945*100)</f>
        <v>116.64870389847988</v>
      </c>
      <c r="D49" s="55">
        <f>IF(17566.78945="","-",17566.78945/416515.52507*100)</f>
        <v>4.217559344768172</v>
      </c>
      <c r="E49" s="55">
        <f>IF(20491.4322099999="","-",20491.4322099999/528186.96794*100)</f>
        <v>3.879579287978125</v>
      </c>
      <c r="F49" s="55">
        <f>IF(OR(487807.69987="",11093.9797="",17566.78945=""),"-",(17566.78945-11093.9797)/487807.69987*100)</f>
        <v>1.3269183228811259</v>
      </c>
      <c r="G49" s="55">
        <f>IF(OR(416515.52507="",20491.4322099999="",17566.78945=""),"-",(20491.4322099999-17566.78945)/416515.52507*100)</f>
        <v>0.7021689670531206</v>
      </c>
    </row>
    <row r="50" spans="1:7" s="20" customFormat="1" ht="15">
      <c r="A50" s="18" t="s">
        <v>89</v>
      </c>
      <c r="B50" s="54">
        <f>IF(6156.7924="","-",6156.7924)</f>
        <v>6156.7924</v>
      </c>
      <c r="C50" s="55">
        <f>IF(OR(6391.78002="",6156.7924=""),"-",6156.7924/6391.78002*100)</f>
        <v>96.32359656833121</v>
      </c>
      <c r="D50" s="55">
        <f>IF(6391.78002="","-",6391.78002/416515.52507*100)</f>
        <v>1.534583859491382</v>
      </c>
      <c r="E50" s="55">
        <f>IF(6156.7924="","-",6156.7924/528186.96794*100)</f>
        <v>1.165646404342825</v>
      </c>
      <c r="F50" s="55">
        <f>IF(OR(487807.69987="",6811.31544="",6391.78002=""),"-",(6391.78002-6811.31544)/487807.69987*100)</f>
        <v>-0.0860042635882553</v>
      </c>
      <c r="G50" s="55">
        <f>IF(OR(416515.52507="",6156.7924="",6391.78002=""),"-",(6156.7924-6391.78002)/416515.52507*100)</f>
        <v>-0.05641749367217648</v>
      </c>
    </row>
    <row r="51" spans="1:7" s="20" customFormat="1" ht="15">
      <c r="A51" s="18" t="s">
        <v>90</v>
      </c>
      <c r="B51" s="54">
        <f>IF(473.1633="","-",473.1633)</f>
        <v>473.1633</v>
      </c>
      <c r="C51" s="55">
        <f>IF(OR(854.54433="",473.1633=""),"-",473.1633/854.54433*100)</f>
        <v>55.37024626914323</v>
      </c>
      <c r="D51" s="55">
        <f>IF(854.54433="","-",854.54433/416515.52507*100)</f>
        <v>0.20516506073966498</v>
      </c>
      <c r="E51" s="55">
        <f>IF(473.1633="","-",473.1633/528186.96794*100)</f>
        <v>0.08958253965360037</v>
      </c>
      <c r="F51" s="55">
        <f>IF(OR(487807.69987="",662.8112="",854.54433=""),"-",(854.54433-662.8112)/487807.69987*100)</f>
        <v>0.039305064280677926</v>
      </c>
      <c r="G51" s="55">
        <f>IF(OR(416515.52507="",473.1633="",854.54433=""),"-",(473.1633-854.54433)/416515.52507*100)</f>
        <v>-0.09156466134987519</v>
      </c>
    </row>
    <row r="52" spans="1:7" s="20" customFormat="1" ht="15">
      <c r="A52" s="18" t="s">
        <v>91</v>
      </c>
      <c r="B52" s="54">
        <f>IF(769.03158="","-",769.03158)</f>
        <v>769.03158</v>
      </c>
      <c r="C52" s="55" t="s">
        <v>203</v>
      </c>
      <c r="D52" s="55">
        <f>IF(351.85636="","-",351.85636/416515.52507*100)</f>
        <v>0.08447616927144953</v>
      </c>
      <c r="E52" s="55">
        <f>IF(769.03158="","-",769.03158/528186.96794*100)</f>
        <v>0.14559836320826436</v>
      </c>
      <c r="F52" s="55">
        <f>IF(OR(487807.69987="",1187.81111="",351.85636=""),"-",(351.85636-1187.81111)/487807.69987*100)</f>
        <v>-0.171369732421768</v>
      </c>
      <c r="G52" s="55">
        <f>IF(OR(416515.52507="",769.03158="",351.85636=""),"-",(769.03158-351.85636)/416515.52507*100)</f>
        <v>0.10015838423547095</v>
      </c>
    </row>
    <row r="53" spans="1:7" s="20" customFormat="1" ht="15">
      <c r="A53" s="18" t="s">
        <v>92</v>
      </c>
      <c r="B53" s="54">
        <f>IF(5650.27898="","-",5650.27898)</f>
        <v>5650.27898</v>
      </c>
      <c r="C53" s="55">
        <f>IF(OR(5793.77503="",5650.27898=""),"-",5650.27898/5793.77503*100)</f>
        <v>97.52327197281598</v>
      </c>
      <c r="D53" s="55">
        <f>IF(5793.77503="","-",5793.77503/416515.52507*100)</f>
        <v>1.3910105821448775</v>
      </c>
      <c r="E53" s="55">
        <f>IF(5650.27898="","-",5650.27898/528186.96794*100)</f>
        <v>1.0697497899345842</v>
      </c>
      <c r="F53" s="55">
        <f>IF(OR(487807.69987="",3973.9834="",5793.77503=""),"-",(5793.77503-3973.9834)/487807.69987*100)</f>
        <v>0.3730551261255145</v>
      </c>
      <c r="G53" s="55">
        <f>IF(OR(416515.52507="",5650.27898="",5793.77503=""),"-",(5650.27898-5793.77503)/416515.52507*100)</f>
        <v>-0.03445154894907787</v>
      </c>
    </row>
    <row r="54" spans="1:7" s="20" customFormat="1" ht="26.25">
      <c r="A54" s="19" t="s">
        <v>93</v>
      </c>
      <c r="B54" s="52">
        <f>IF(97641.00036="","-",97641.00036)</f>
        <v>97641.00036</v>
      </c>
      <c r="C54" s="53">
        <f>IF(69400.21455="","-",97641.00036/69400.21455*100)</f>
        <v>140.69264914109695</v>
      </c>
      <c r="D54" s="53">
        <f>IF(69400.21455="","-",69400.21455/416515.52507*100)</f>
        <v>16.662095497721612</v>
      </c>
      <c r="E54" s="53">
        <f>IF(97641.00036="","-",97641.00036/528186.96794*100)</f>
        <v>18.486067678044577</v>
      </c>
      <c r="F54" s="53">
        <f>IF(487807.69987="","-",(69400.21455-74772.67504)/487807.69987*100)</f>
        <v>-1.1013480294451583</v>
      </c>
      <c r="G54" s="53">
        <f>IF(416515.52507="","-",(97641.00036-69400.21455)/416515.52507*100)</f>
        <v>6.780248060442363</v>
      </c>
    </row>
    <row r="55" spans="1:7" s="20" customFormat="1" ht="26.25">
      <c r="A55" s="18" t="s">
        <v>94</v>
      </c>
      <c r="B55" s="54">
        <f>IF(644.89867="","-",644.89867)</f>
        <v>644.89867</v>
      </c>
      <c r="C55" s="55">
        <f>IF(OR(474.27283="",644.89867=""),"-",644.89867/474.27283*100)</f>
        <v>135.97630503100925</v>
      </c>
      <c r="D55" s="55">
        <f>IF(474.27283="","-",474.27283/416515.52507*100)</f>
        <v>0.11386678321781481</v>
      </c>
      <c r="E55" s="55">
        <f>IF(644.89867="","-",644.89867/528186.96794*100)</f>
        <v>0.12209666446621947</v>
      </c>
      <c r="F55" s="55">
        <f>IF(OR(487807.69987="",1111.12307="",474.27283=""),"-",(474.27283-1111.12307)/487807.69987*100)</f>
        <v>-0.1305535439825406</v>
      </c>
      <c r="G55" s="55">
        <f>IF(OR(416515.52507="",644.89867="",474.27283=""),"-",(644.89867-474.27283)/416515.52507*100)</f>
        <v>0.04096506125943913</v>
      </c>
    </row>
    <row r="56" spans="1:7" s="20" customFormat="1" ht="26.25">
      <c r="A56" s="18" t="s">
        <v>95</v>
      </c>
      <c r="B56" s="54">
        <f>IF(1377.97207="","-",1377.97207)</f>
        <v>1377.97207</v>
      </c>
      <c r="C56" s="55">
        <f>IF(OR(2204.96092="",1377.97207=""),"-",1377.97207/2204.96092*100)</f>
        <v>62.49417200555192</v>
      </c>
      <c r="D56" s="55">
        <f>IF(2204.96092="","-",2204.96092/416515.52507*100)</f>
        <v>0.5293826489731522</v>
      </c>
      <c r="E56" s="55">
        <f>IF(1377.97207="","-",1377.97207/528186.96794*100)</f>
        <v>0.2608871770112534</v>
      </c>
      <c r="F56" s="55">
        <f>IF(OR(487807.69987="",2941.54579="",2204.96092=""),"-",(2204.96092-2941.54579)/487807.69987*100)</f>
        <v>-0.15099902486088243</v>
      </c>
      <c r="G56" s="55">
        <f>IF(OR(416515.52507="",1377.97207="",2204.96092=""),"-",(1377.97207-2204.96092)/416515.52507*100)</f>
        <v>-0.19854934575632335</v>
      </c>
    </row>
    <row r="57" spans="1:7" s="20" customFormat="1" ht="26.25">
      <c r="A57" s="18" t="s">
        <v>96</v>
      </c>
      <c r="B57" s="54">
        <f>IF(339.13219="","-",339.13219)</f>
        <v>339.13219</v>
      </c>
      <c r="C57" s="55">
        <f>IF(OR(294.73464="",339.13219=""),"-",339.13219/294.73464*100)</f>
        <v>115.06356701065066</v>
      </c>
      <c r="D57" s="55">
        <f>IF(294.73464="","-",294.73464/416515.52507*100)</f>
        <v>0.07076198178938628</v>
      </c>
      <c r="E57" s="55">
        <f>IF(339.13219="","-",339.13219/528186.96794*100)</f>
        <v>0.06420684541359682</v>
      </c>
      <c r="F57" s="55">
        <f>IF(OR(487807.69987="",633.87469="",294.73464=""),"-",(294.73464-633.87469)/487807.69987*100)</f>
        <v>-0.06952330807619073</v>
      </c>
      <c r="G57" s="55">
        <f>IF(OR(416515.52507="",339.13219="",294.73464=""),"-",(339.13219-294.73464)/416515.52507*100)</f>
        <v>0.010659278544908614</v>
      </c>
    </row>
    <row r="58" spans="1:7" s="20" customFormat="1" ht="39">
      <c r="A58" s="18" t="s">
        <v>97</v>
      </c>
      <c r="B58" s="54">
        <f>IF(5913.46283="","-",5913.46283)</f>
        <v>5913.46283</v>
      </c>
      <c r="C58" s="55">
        <f>IF(OR(8393.72288="",5913.46283=""),"-",5913.46283/8393.72288*100)</f>
        <v>70.45101338870984</v>
      </c>
      <c r="D58" s="55">
        <f>IF(8393.72288="","-",8393.72288/416515.52507*100)</f>
        <v>2.015224493394176</v>
      </c>
      <c r="E58" s="55">
        <f>IF(5913.46283="","-",5913.46283/528186.96794*100)</f>
        <v>1.1195775717570804</v>
      </c>
      <c r="F58" s="55">
        <f>IF(OR(487807.69987="",7972.51236="",8393.72288=""),"-",(8393.72288-7972.51236)/487807.69987*100)</f>
        <v>0.08634765710181525</v>
      </c>
      <c r="G58" s="55">
        <f>IF(OR(416515.52507="",5913.46283="",8393.72288=""),"-",(5913.46283-8393.72288)/416515.52507*100)</f>
        <v>-0.5954784157404851</v>
      </c>
    </row>
    <row r="59" spans="1:7" s="20" customFormat="1" ht="26.25">
      <c r="A59" s="18" t="s">
        <v>98</v>
      </c>
      <c r="B59" s="54">
        <f>IF(204.78086="","-",204.78086)</f>
        <v>204.78086</v>
      </c>
      <c r="C59" s="55">
        <f>IF(OR(166.6458="",204.78086=""),"-",204.78086/166.6458*100)</f>
        <v>122.88390106441325</v>
      </c>
      <c r="D59" s="55">
        <f>IF(166.6458="","-",166.6458/416515.52507*100)</f>
        <v>0.040009505041137025</v>
      </c>
      <c r="E59" s="55">
        <f>IF(204.78086="","-",204.78086/528186.96794*100)</f>
        <v>0.03877052491443945</v>
      </c>
      <c r="F59" s="55">
        <f>IF(OR(487807.69987="",198.25404="",166.6458=""),"-",(166.6458-198.25404)/487807.69987*100)</f>
        <v>-0.006479651716941643</v>
      </c>
      <c r="G59" s="55">
        <f>IF(OR(416515.52507="",204.78086="",166.6458=""),"-",(204.78086-166.6458)/416515.52507*100)</f>
        <v>0.00915573554997523</v>
      </c>
    </row>
    <row r="60" spans="1:7" s="20" customFormat="1" ht="39">
      <c r="A60" s="18" t="s">
        <v>99</v>
      </c>
      <c r="B60" s="54">
        <f>IF(620.31502="","-",620.31502)</f>
        <v>620.31502</v>
      </c>
      <c r="C60" s="55">
        <f>IF(OR(468.12649="",620.31502=""),"-",620.31502/468.12649*100)</f>
        <v>132.51012990100176</v>
      </c>
      <c r="D60" s="55">
        <f>IF(468.12649="","-",468.12649/416515.52507*100)</f>
        <v>0.11239112633828624</v>
      </c>
      <c r="E60" s="55">
        <f>IF(620.31502="","-",620.31502/528186.96794*100)</f>
        <v>0.11744231827970156</v>
      </c>
      <c r="F60" s="55">
        <f>IF(OR(487807.69987="",932.28481="",468.12649=""),"-",(468.12649-932.28481)/487807.69987*100)</f>
        <v>-0.09515190517158656</v>
      </c>
      <c r="G60" s="55">
        <f>IF(OR(416515.52507="",620.31502="",468.12649=""),"-",(620.31502-468.12649)/416515.52507*100)</f>
        <v>0.03653850116977586</v>
      </c>
    </row>
    <row r="61" spans="1:7" s="20" customFormat="1" ht="52.5">
      <c r="A61" s="18" t="s">
        <v>100</v>
      </c>
      <c r="B61" s="54">
        <f>IF(69513.74669="","-",69513.74669)</f>
        <v>69513.74669</v>
      </c>
      <c r="C61" s="55">
        <f>IF(OR(51964.98366="",69513.74669=""),"-",69513.74669/51964.98366*100)</f>
        <v>133.77036187448692</v>
      </c>
      <c r="D61" s="55">
        <f>IF(51964.98366="","-",51964.98366/416515.52507*100)</f>
        <v>12.476121664676656</v>
      </c>
      <c r="E61" s="55">
        <f>IF(69513.74669="","-",69513.74669/528186.96794*100)</f>
        <v>13.160822002313486</v>
      </c>
      <c r="F61" s="55">
        <f>IF(OR(487807.69987="",57834.81077="",51964.98366=""),"-",(51964.98366-57834.81077)/487807.69987*100)</f>
        <v>-1.203307596736234</v>
      </c>
      <c r="G61" s="55">
        <f>IF(OR(416515.52507="",69513.74669="",51964.98366=""),"-",(69513.74669-51964.98366)/416515.52507*100)</f>
        <v>4.213231434062569</v>
      </c>
    </row>
    <row r="62" spans="1:7" s="20" customFormat="1" ht="26.25">
      <c r="A62" s="18" t="s">
        <v>101</v>
      </c>
      <c r="B62" s="54">
        <f>IF(7256.0298="","-",7256.0298)</f>
        <v>7256.0298</v>
      </c>
      <c r="C62" s="55">
        <f>IF(OR(5234.93902="",7256.0298=""),"-",7256.0298/5234.93902*100)</f>
        <v>138.60772345730211</v>
      </c>
      <c r="D62" s="55">
        <f>IF(5234.93902="","-",5234.93902/416515.52507*100)</f>
        <v>1.2568412711915626</v>
      </c>
      <c r="E62" s="55">
        <f>IF(7256.0298="","-",7256.0298/528186.96794*100)</f>
        <v>1.3737616110256354</v>
      </c>
      <c r="F62" s="55">
        <f>IF(OR(487807.69987="",2901.60254="",5234.93902=""),"-",(5234.93902-2901.60254)/487807.69987*100)</f>
        <v>0.4783312113814174</v>
      </c>
      <c r="G62" s="55">
        <f>IF(OR(416515.52507="",7256.0298="",5234.93902=""),"-",(7256.0298-5234.93902)/416515.52507*100)</f>
        <v>0.4852378022788788</v>
      </c>
    </row>
    <row r="63" spans="1:7" s="20" customFormat="1" ht="15">
      <c r="A63" s="18" t="s">
        <v>102</v>
      </c>
      <c r="B63" s="54">
        <f>IF(11770.66223="","-",11770.66223)</f>
        <v>11770.66223</v>
      </c>
      <c r="C63" s="55" t="s">
        <v>245</v>
      </c>
      <c r="D63" s="55">
        <f>IF(197.82831="","-",197.82831/416515.52507*100)</f>
        <v>0.04749602309943975</v>
      </c>
      <c r="E63" s="55">
        <f>IF(11770.66223="","-",11770.66223/528186.96794*100)</f>
        <v>2.228502962863162</v>
      </c>
      <c r="F63" s="55">
        <f>IF(OR(487807.69987="",246.66697="",197.82831=""),"-",(197.82831-246.66697)/487807.69987*100)</f>
        <v>-0.010011867384015346</v>
      </c>
      <c r="G63" s="55">
        <f>IF(OR(416515.52507="",11770.66223="",197.82831=""),"-",(11770.66223-197.82831)/416515.52507*100)</f>
        <v>2.7784880090736253</v>
      </c>
    </row>
    <row r="64" spans="1:7" s="20" customFormat="1" ht="15">
      <c r="A64" s="19" t="s">
        <v>103</v>
      </c>
      <c r="B64" s="52">
        <f>IF(120234.68423="","-",120234.68423)</f>
        <v>120234.68423</v>
      </c>
      <c r="C64" s="53">
        <f>IF(108253.09369="","-",120234.68423/108253.09369*100)</f>
        <v>111.0681275994857</v>
      </c>
      <c r="D64" s="53">
        <f>IF(108253.09369="","-",108253.09369/416515.52507*100)</f>
        <v>25.99017015555588</v>
      </c>
      <c r="E64" s="53">
        <f>IF(120234.68423="","-",120234.68423/528186.96794*100)</f>
        <v>22.763659750813503</v>
      </c>
      <c r="F64" s="53">
        <f>IF(487807.69987="","-",(108253.09369-100082.8397)/487807.69987*100)</f>
        <v>1.6748923791439447</v>
      </c>
      <c r="G64" s="53">
        <f>IF(416515.52507="","-",(120234.68423-108253.09369)/416515.52507*100)</f>
        <v>2.876625196140376</v>
      </c>
    </row>
    <row r="65" spans="1:7" s="20" customFormat="1" ht="39">
      <c r="A65" s="18" t="s">
        <v>104</v>
      </c>
      <c r="B65" s="54">
        <f>IF(2428.82595="","-",2428.82595)</f>
        <v>2428.82595</v>
      </c>
      <c r="C65" s="55" t="s">
        <v>28</v>
      </c>
      <c r="D65" s="55">
        <f>IF(912.56384="","-",912.56384/416515.52507*100)</f>
        <v>0.21909479600949658</v>
      </c>
      <c r="E65" s="55">
        <f>IF(2428.82595="","-",2428.82595/528186.96794*100)</f>
        <v>0.4598420819568394</v>
      </c>
      <c r="F65" s="55">
        <f>IF(OR(487807.69987="",856.85485="",912.56384=""),"-",(912.56384-856.85485)/487807.69987*100)</f>
        <v>0.011420276886741708</v>
      </c>
      <c r="G65" s="55">
        <f>IF(OR(416515.52507="",2428.82595="",912.56384=""),"-",(2428.82595-912.56384)/416515.52507*100)</f>
        <v>0.36403495637891903</v>
      </c>
    </row>
    <row r="66" spans="1:7" s="20" customFormat="1" ht="15">
      <c r="A66" s="18" t="s">
        <v>105</v>
      </c>
      <c r="B66" s="54">
        <f>IF(29474.19421="","-",29474.19421)</f>
        <v>29474.19421</v>
      </c>
      <c r="C66" s="55">
        <f>IF(OR(28044.21311="",29474.19421=""),"-",29474.19421/28044.21311*100)</f>
        <v>105.09902379642844</v>
      </c>
      <c r="D66" s="55">
        <f>IF(28044.21311="","-",28044.21311/416515.52507*100)</f>
        <v>6.733053493092932</v>
      </c>
      <c r="E66" s="55">
        <f>IF(29474.19421="","-",29474.19421/528186.96794*100)</f>
        <v>5.580257749439239</v>
      </c>
      <c r="F66" s="55">
        <f>IF(OR(487807.69987="",22900.34116="",28044.21311=""),"-",(28044.21311-22900.34116)/487807.69987*100)</f>
        <v>1.054487649819967</v>
      </c>
      <c r="G66" s="55">
        <f>IF(OR(416515.52507="",29474.19421="",28044.21311=""),"-",(29474.19421-28044.21311)/416515.52507*100)</f>
        <v>0.3433199998390641</v>
      </c>
    </row>
    <row r="67" spans="1:7" s="20" customFormat="1" ht="15">
      <c r="A67" s="18" t="s">
        <v>106</v>
      </c>
      <c r="B67" s="54">
        <f>IF(2999.42683="","-",2999.42683)</f>
        <v>2999.42683</v>
      </c>
      <c r="C67" s="55">
        <f>IF(OR(3268.41629="",2999.42683=""),"-",2999.42683/3268.41629*100)</f>
        <v>91.77003673543678</v>
      </c>
      <c r="D67" s="55">
        <f>IF(3268.41629="","-",3268.41629/416515.52507*100)</f>
        <v>0.7847045531977968</v>
      </c>
      <c r="E67" s="55">
        <f>IF(2999.42683="","-",2999.42683/528186.96794*100)</f>
        <v>0.5678721763428142</v>
      </c>
      <c r="F67" s="55">
        <f>IF(OR(487807.69987="",3514.12594="",3268.41629=""),"-",(3268.41629-3514.12594)/487807.69987*100)</f>
        <v>-0.050370186871892556</v>
      </c>
      <c r="G67" s="55">
        <f>IF(OR(416515.52507="",2999.42683="",3268.41629=""),"-",(2999.42683-3268.41629)/416515.52507*100)</f>
        <v>-0.06458089646353365</v>
      </c>
    </row>
    <row r="68" spans="1:7" s="20" customFormat="1" ht="15">
      <c r="A68" s="18" t="s">
        <v>107</v>
      </c>
      <c r="B68" s="54">
        <f>IF(62262.91518="","-",62262.91518)</f>
        <v>62262.91518</v>
      </c>
      <c r="C68" s="55">
        <f>IF(OR(55578.27008="",62262.91518=""),"-",62262.91518/55578.27008*100)</f>
        <v>112.02744362208117</v>
      </c>
      <c r="D68" s="55">
        <f>IF(55578.27008="","-",55578.27008/416515.52507*100)</f>
        <v>13.343625083521069</v>
      </c>
      <c r="E68" s="55">
        <f>IF(62262.91518="","-",62262.91518/528186.96794*100)</f>
        <v>11.788044567406446</v>
      </c>
      <c r="F68" s="55">
        <f>IF(OR(487807.69987="",50976.97974="",55578.27008=""),"-",(55578.27008-50976.97974)/487807.69987*100)</f>
        <v>0.9432590631976979</v>
      </c>
      <c r="G68" s="55">
        <f>IF(OR(416515.52507="",62262.91518="",55578.27008=""),"-",(62262.91518-55578.27008)/416515.52507*100)</f>
        <v>1.6048969840623766</v>
      </c>
    </row>
    <row r="69" spans="1:7" s="20" customFormat="1" ht="14.25" customHeight="1">
      <c r="A69" s="18" t="s">
        <v>108</v>
      </c>
      <c r="B69" s="54">
        <f>IF(8278.63997="","-",8278.63997)</f>
        <v>8278.63997</v>
      </c>
      <c r="C69" s="55">
        <f>IF(OR(7669.46095="",8278.63997=""),"-",8278.63997/7669.46095*100)</f>
        <v>107.94291833508846</v>
      </c>
      <c r="D69" s="55">
        <f>IF(7669.46095="","-",7669.46095/416515.52507*100)</f>
        <v>1.841338554838037</v>
      </c>
      <c r="E69" s="55">
        <f>IF(8278.63997="","-",8278.63997/528186.96794*100)</f>
        <v>1.5673692219798239</v>
      </c>
      <c r="F69" s="55">
        <f>IF(OR(487807.69987="",6695.37489="",7669.46095=""),"-",(7669.46095-6695.37489)/487807.69987*100)</f>
        <v>0.19968648716688814</v>
      </c>
      <c r="G69" s="55">
        <f>IF(OR(416515.52507="",8278.63997="",7669.46095=""),"-",(8278.63997-7669.46095)/416515.52507*100)</f>
        <v>0.14625601768328356</v>
      </c>
    </row>
    <row r="70" spans="1:7" ht="26.25">
      <c r="A70" s="10" t="s">
        <v>113</v>
      </c>
      <c r="B70" s="54">
        <f>IF(5023.73246="","-",5023.73246)</f>
        <v>5023.73246</v>
      </c>
      <c r="C70" s="55">
        <f>IF(OR(6436.23589="",5023.73246=""),"-",5023.73246/6436.23589*100)</f>
        <v>78.05388966251826</v>
      </c>
      <c r="D70" s="55">
        <f>IF(6436.23589="","-",6436.23589/416515.52507*100)</f>
        <v>1.5452571399153296</v>
      </c>
      <c r="E70" s="55">
        <f>IF(5023.73246="","-",5023.73246/528186.96794*100)</f>
        <v>0.9511276810924038</v>
      </c>
      <c r="F70" s="55">
        <f>IF(OR(487807.69987="",6269.28612="",6436.23589=""),"-",(6436.23589-6269.28612)/487807.69987*100)</f>
        <v>0.03422450487036019</v>
      </c>
      <c r="G70" s="55">
        <f>IF(OR(416515.52507="",5023.73246="",6436.23589=""),"-",(5023.73246-6436.23589)/416515.52507*100)</f>
        <v>-0.33912383692363285</v>
      </c>
    </row>
    <row r="71" spans="1:7" ht="26.25">
      <c r="A71" s="12" t="s">
        <v>110</v>
      </c>
      <c r="B71" s="54">
        <f>IF(564.60173="","-",564.60173)</f>
        <v>564.60173</v>
      </c>
      <c r="C71" s="55" t="s">
        <v>27</v>
      </c>
      <c r="D71" s="55">
        <f>IF(247.42917="","-",247.42917/416515.52507*100)</f>
        <v>0.059404549196195464</v>
      </c>
      <c r="E71" s="55">
        <f>IF(564.60173="","-",564.60173/528186.96794*100)</f>
        <v>0.10689429392815625</v>
      </c>
      <c r="F71" s="55">
        <f>IF(OR(487807.69987="",201.26901="",247.42917=""),"-",(247.42917-201.26901)/487807.69987*100)</f>
        <v>0.009462778060350749</v>
      </c>
      <c r="G71" s="55">
        <f>IF(OR(416515.52507="",564.60173="",247.42917=""),"-",(564.60173-247.42917)/416515.52507*100)</f>
        <v>0.07614903668877544</v>
      </c>
    </row>
    <row r="72" spans="1:7" ht="15">
      <c r="A72" s="13" t="s">
        <v>111</v>
      </c>
      <c r="B72" s="47">
        <f>IF(9202.3479="","-",9202.3479)</f>
        <v>9202.3479</v>
      </c>
      <c r="C72" s="48">
        <f>IF(OR(6096.50436="",9202.3479=""),"-",9202.3479/6096.50436*100)</f>
        <v>150.94466199971686</v>
      </c>
      <c r="D72" s="48">
        <f>IF(6096.50436="","-",6096.50436/416515.52507*100)</f>
        <v>1.4636919857850235</v>
      </c>
      <c r="E72" s="48">
        <f>IF(9202.3479="","-",9202.3479/528186.96794*100)</f>
        <v>1.7422519786677797</v>
      </c>
      <c r="F72" s="48">
        <f>IF(OR(487807.69987="",8668.60799="",6096.50436=""),"-",(6096.50436-8668.60799)/487807.69987*100)</f>
        <v>-0.5272781939861675</v>
      </c>
      <c r="G72" s="48">
        <f>IF(OR(416515.52507="",9202.3479="",6096.50436=""),"-",(9202.3479-6096.50436)/416515.52507*100)</f>
        <v>0.7456729348751238</v>
      </c>
    </row>
    <row r="73" spans="1:7" ht="15">
      <c r="A73" s="7" t="s">
        <v>30</v>
      </c>
      <c r="B73" s="26"/>
      <c r="C73" s="27"/>
      <c r="D73" s="27"/>
      <c r="E73" s="27"/>
      <c r="F73" s="27"/>
      <c r="G73" s="27"/>
    </row>
    <row r="74" spans="2:7" ht="15">
      <c r="B74" s="28"/>
      <c r="C74" s="29"/>
      <c r="D74" s="29"/>
      <c r="E74" s="29"/>
      <c r="F74" s="29"/>
      <c r="G74" s="29"/>
    </row>
  </sheetData>
  <sheetProtection/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80"/>
  <sheetViews>
    <sheetView zoomScalePageLayoutView="0" workbookViewId="0" topLeftCell="A1">
      <selection activeCell="A1" sqref="A1:G1"/>
    </sheetView>
  </sheetViews>
  <sheetFormatPr defaultColWidth="9.00390625" defaultRowHeight="15.75"/>
  <cols>
    <col min="1" max="1" width="27.75390625" style="0" customWidth="1"/>
    <col min="2" max="2" width="13.00390625" style="0" customWidth="1"/>
    <col min="3" max="3" width="10.50390625" style="0" customWidth="1"/>
    <col min="4" max="5" width="8.125" style="0" customWidth="1"/>
    <col min="6" max="6" width="10.125" style="0" customWidth="1"/>
    <col min="7" max="7" width="9.50390625" style="0" customWidth="1"/>
  </cols>
  <sheetData>
    <row r="1" spans="1:7" ht="15.75">
      <c r="A1" s="61" t="s">
        <v>120</v>
      </c>
      <c r="B1" s="61"/>
      <c r="C1" s="61"/>
      <c r="D1" s="61"/>
      <c r="E1" s="61"/>
      <c r="F1" s="61"/>
      <c r="G1" s="61"/>
    </row>
    <row r="2" spans="1:7" ht="15.75">
      <c r="A2" s="61" t="s">
        <v>39</v>
      </c>
      <c r="B2" s="61"/>
      <c r="C2" s="61"/>
      <c r="D2" s="61"/>
      <c r="E2" s="61"/>
      <c r="F2" s="61"/>
      <c r="G2" s="61"/>
    </row>
    <row r="3" ht="15">
      <c r="A3" s="6"/>
    </row>
    <row r="4" spans="1:7" ht="55.5" customHeight="1">
      <c r="A4" s="62"/>
      <c r="B4" s="65" t="s">
        <v>213</v>
      </c>
      <c r="C4" s="66"/>
      <c r="D4" s="65" t="s">
        <v>0</v>
      </c>
      <c r="E4" s="66"/>
      <c r="F4" s="67" t="s">
        <v>258</v>
      </c>
      <c r="G4" s="68"/>
    </row>
    <row r="5" spans="1:7" ht="18.75" customHeight="1">
      <c r="A5" s="63"/>
      <c r="B5" s="69" t="s">
        <v>207</v>
      </c>
      <c r="C5" s="71" t="s">
        <v>214</v>
      </c>
      <c r="D5" s="73" t="s">
        <v>215</v>
      </c>
      <c r="E5" s="73"/>
      <c r="F5" s="73" t="s">
        <v>215</v>
      </c>
      <c r="G5" s="65"/>
    </row>
    <row r="6" spans="1:7" ht="24" customHeight="1">
      <c r="A6" s="64"/>
      <c r="B6" s="70"/>
      <c r="C6" s="72"/>
      <c r="D6" s="23">
        <v>2016</v>
      </c>
      <c r="E6" s="23">
        <v>2017</v>
      </c>
      <c r="F6" s="23" t="s">
        <v>2</v>
      </c>
      <c r="G6" s="24" t="s">
        <v>194</v>
      </c>
    </row>
    <row r="7" spans="1:7" ht="15">
      <c r="A7" s="9" t="s">
        <v>209</v>
      </c>
      <c r="B7" s="40">
        <f>IF(1030835.33871="","-",1030835.33871)</f>
        <v>1030835.33871</v>
      </c>
      <c r="C7" s="51">
        <f>IF(861112.79978="","-",1030835.33871/861112.79978*100)</f>
        <v>119.70967554696217</v>
      </c>
      <c r="D7" s="49">
        <v>100</v>
      </c>
      <c r="E7" s="49">
        <v>100</v>
      </c>
      <c r="F7" s="51">
        <f>IF(976123.13927="","-",(861112.79978-976123.13927)/976123.13927*100)</f>
        <v>-11.782359710887631</v>
      </c>
      <c r="G7" s="51">
        <f>IF(861112.79978="","-",(1030835.33871-861112.79978)/861112.79978*100)</f>
        <v>19.709675546962178</v>
      </c>
    </row>
    <row r="8" spans="1:7" ht="15">
      <c r="A8" s="10" t="s">
        <v>114</v>
      </c>
      <c r="B8" s="35"/>
      <c r="C8" s="50"/>
      <c r="D8" s="50"/>
      <c r="E8" s="50"/>
      <c r="F8" s="50"/>
      <c r="G8" s="50"/>
    </row>
    <row r="9" spans="1:7" ht="15">
      <c r="A9" s="11" t="s">
        <v>40</v>
      </c>
      <c r="B9" s="41">
        <f>IF(121518.42221="","-",121518.42221)</f>
        <v>121518.42221</v>
      </c>
      <c r="C9" s="45">
        <f>IF(102906.69503="","-",121518.42221/102906.69503*100)</f>
        <v>118.08602168651339</v>
      </c>
      <c r="D9" s="45">
        <f>IF(102906.69503="","-",102906.69503/861112.79978*100)</f>
        <v>11.950431471497225</v>
      </c>
      <c r="E9" s="45">
        <f>IF(121518.42221="","-",121518.42221/1030835.33871*100)</f>
        <v>11.788344621757888</v>
      </c>
      <c r="F9" s="45">
        <f>IF(976123.13927="","-",(102906.69503-92118.72149)/976123.13927*100)</f>
        <v>1.1051857195054162</v>
      </c>
      <c r="G9" s="45">
        <f>IF(861112.79978="","-",(121518.42221-102906.69503)/861112.79978*100)</f>
        <v>2.1613576275669097</v>
      </c>
    </row>
    <row r="10" spans="1:7" ht="15">
      <c r="A10" s="10" t="s">
        <v>41</v>
      </c>
      <c r="B10" s="42">
        <f>IF(1236.16833="","-",1236.16833)</f>
        <v>1236.16833</v>
      </c>
      <c r="C10" s="44">
        <f>IF(OR(1653.80618="",1236.16833=""),"-",1236.16833/1653.80618*100)</f>
        <v>74.74686846314724</v>
      </c>
      <c r="D10" s="44">
        <f>IF(1653.80618="","-",1653.80618/861112.79978*100)</f>
        <v>0.19205453460017316</v>
      </c>
      <c r="E10" s="44">
        <f>IF(1236.16833="","-",1236.16833/1030835.33871*100)</f>
        <v>0.11991908732455334</v>
      </c>
      <c r="F10" s="44">
        <f>IF(OR(976123.13927="",1722.44817="",1653.80618=""),"-",(1653.80618-1722.44817)/976123.13927*100)</f>
        <v>-0.007032103557276001</v>
      </c>
      <c r="G10" s="44">
        <f>IF(OR(861112.79978="",1236.16833="",1653.80618=""),"-",(1236.16833-1653.80618)/861112.79978*100)</f>
        <v>-0.04849978424507214</v>
      </c>
    </row>
    <row r="11" spans="1:7" s="20" customFormat="1" ht="15">
      <c r="A11" s="18" t="s">
        <v>42</v>
      </c>
      <c r="B11" s="42">
        <f>IF(4953.44322="","-",4953.44322)</f>
        <v>4953.44322</v>
      </c>
      <c r="C11" s="44">
        <f>IF(OR(4562.34675="",4953.44322=""),"-",4953.44322/4562.34675*100)</f>
        <v>108.57226535883098</v>
      </c>
      <c r="D11" s="44">
        <f>IF(4562.34675="","-",4562.34675/861112.79978*100)</f>
        <v>0.5298198739079948</v>
      </c>
      <c r="E11" s="44">
        <f>IF(4953.44322="","-",4953.44322/1030835.33871*100)</f>
        <v>0.48052710592933295</v>
      </c>
      <c r="F11" s="44">
        <f>IF(OR(976123.13927="",4206.78786="",4562.34675=""),"-",(4562.34675-4206.78786)/976123.13927*100)</f>
        <v>0.03642561841796992</v>
      </c>
      <c r="G11" s="44">
        <f>IF(OR(861112.79978="",4953.44322="",4562.34675=""),"-",(4953.44322-4562.34675)/861112.79978*100)</f>
        <v>0.045417565515216946</v>
      </c>
    </row>
    <row r="12" spans="1:7" s="20" customFormat="1" ht="15">
      <c r="A12" s="18" t="s">
        <v>43</v>
      </c>
      <c r="B12" s="42">
        <f>IF(13279.53148="","-",13279.53148)</f>
        <v>13279.53148</v>
      </c>
      <c r="C12" s="44">
        <f>IF(OR(8847.61112="",13279.53148=""),"-",13279.53148/8847.61112*100)</f>
        <v>150.09171741264325</v>
      </c>
      <c r="D12" s="44">
        <f>IF(8847.61112="","-",8847.61112/861112.79978*100)</f>
        <v>1.0274625022715278</v>
      </c>
      <c r="E12" s="44">
        <f>IF(13279.53148="","-",13279.53148/1030835.33871*100)</f>
        <v>1.2882301354373598</v>
      </c>
      <c r="F12" s="44">
        <f>IF(OR(976123.13927="",7628.90003="",8847.61112=""),"-",(8847.61112-7628.90003)/976123.13927*100)</f>
        <v>0.12485218728770436</v>
      </c>
      <c r="G12" s="44">
        <f>IF(OR(861112.79978="",13279.53148="",8847.61112=""),"-",(13279.53148-8847.61112)/861112.79978*100)</f>
        <v>0.514673613158727</v>
      </c>
    </row>
    <row r="13" spans="1:7" s="20" customFormat="1" ht="15">
      <c r="A13" s="18" t="s">
        <v>44</v>
      </c>
      <c r="B13" s="42">
        <f>IF(9606.89351="","-",9606.89351)</f>
        <v>9606.89351</v>
      </c>
      <c r="C13" s="44">
        <f>IF(OR(9409.23535="",9606.89351=""),"-",9606.89351/9409.23535*100)</f>
        <v>102.10068249594796</v>
      </c>
      <c r="D13" s="44">
        <f>IF(9409.23535="","-",9409.23535/861112.79978*100)</f>
        <v>1.0926832526939447</v>
      </c>
      <c r="E13" s="44">
        <f>IF(9606.89351="","-",9606.89351/1030835.33871*100)</f>
        <v>0.9319522865816945</v>
      </c>
      <c r="F13" s="44">
        <f>IF(OR(976123.13927="",8112.58083="",9409.23535=""),"-",(9409.23535-8112.58083)/976123.13927*100)</f>
        <v>0.13283718701410072</v>
      </c>
      <c r="G13" s="44">
        <f>IF(OR(861112.79978="",9606.89351="",9409.23535=""),"-",(9606.89351-9409.23535)/861112.79978*100)</f>
        <v>0.02295380582549666</v>
      </c>
    </row>
    <row r="14" spans="1:7" s="20" customFormat="1" ht="15">
      <c r="A14" s="18" t="s">
        <v>45</v>
      </c>
      <c r="B14" s="42">
        <f>IF(19263.24184="","-",19263.24184)</f>
        <v>19263.24184</v>
      </c>
      <c r="C14" s="44">
        <f>IF(OR(16294.15026="",19263.24184=""),"-",19263.24184/16294.15026*100)</f>
        <v>118.22182521103129</v>
      </c>
      <c r="D14" s="44">
        <f>IF(16294.15026="","-",16294.15026/861112.79978*100)</f>
        <v>1.8922201904515743</v>
      </c>
      <c r="E14" s="44">
        <f>IF(19263.24184="","-",19263.24184/1030835.33871*100)</f>
        <v>1.8687021211463564</v>
      </c>
      <c r="F14" s="44">
        <f>IF(OR(976123.13927="",15489.85586="",16294.15026=""),"-",(16294.15026-15489.85586)/976123.13927*100)</f>
        <v>0.08239681733203225</v>
      </c>
      <c r="G14" s="44">
        <f>IF(OR(861112.79978="",19263.24184="",16294.15026=""),"-",(19263.24184-16294.15026)/861112.79978*100)</f>
        <v>0.34479705571192903</v>
      </c>
    </row>
    <row r="15" spans="1:7" s="20" customFormat="1" ht="15">
      <c r="A15" s="18" t="s">
        <v>46</v>
      </c>
      <c r="B15" s="42">
        <f>IF(28356.04457="","-",28356.04457)</f>
        <v>28356.04457</v>
      </c>
      <c r="C15" s="44">
        <f>IF(OR(28370.79232="",28356.04457=""),"-",28356.04457/28370.79232*100)</f>
        <v>99.94801784231593</v>
      </c>
      <c r="D15" s="44">
        <f>IF(28370.79232="","-",28370.79232/861112.79978*100)</f>
        <v>3.294666195560938</v>
      </c>
      <c r="E15" s="44">
        <f>IF(28356.04457="","-",28356.04457/1030835.33871*100)</f>
        <v>2.750783127544415</v>
      </c>
      <c r="F15" s="44">
        <f>IF(OR(976123.13927="",24857.30892="",28370.79232=""),"-",(28370.79232-24857.30892)/976123.13927*100)</f>
        <v>0.3599426402930661</v>
      </c>
      <c r="G15" s="44">
        <f>IF(OR(861112.79978="",28356.04457="",28370.79232=""),"-",(28356.04457-28370.79232)/861112.79978*100)</f>
        <v>-0.001712638576940219</v>
      </c>
    </row>
    <row r="16" spans="1:7" s="20" customFormat="1" ht="26.25">
      <c r="A16" s="18" t="s">
        <v>47</v>
      </c>
      <c r="B16" s="42">
        <f>IF(13706.43497="","-",13706.43497)</f>
        <v>13706.43497</v>
      </c>
      <c r="C16" s="43" t="s">
        <v>28</v>
      </c>
      <c r="D16" s="44">
        <f>IF(5122.29241="","-",5122.29241/861112.79978*100)</f>
        <v>0.5948456940029995</v>
      </c>
      <c r="E16" s="44">
        <f>IF(13706.43497="","-",13706.43497/1030835.33871*100)</f>
        <v>1.3296434896336016</v>
      </c>
      <c r="F16" s="44">
        <f>IF(OR(976123.13927="",2509.16876="",5122.29241=""),"-",(5122.29241-2509.16876)/976123.13927*100)</f>
        <v>0.2677043033683477</v>
      </c>
      <c r="G16" s="44">
        <f>IF(OR(861112.79978="",13706.43497="",5122.29241=""),"-",(13706.43497-5122.29241)/861112.79978*100)</f>
        <v>0.9968662133686906</v>
      </c>
    </row>
    <row r="17" spans="1:7" s="20" customFormat="1" ht="26.25">
      <c r="A17" s="18" t="s">
        <v>48</v>
      </c>
      <c r="B17" s="42">
        <f>IF(9321.57283="","-",9321.57283)</f>
        <v>9321.57283</v>
      </c>
      <c r="C17" s="44">
        <f>IF(OR(9444.55743="",9321.57283=""),"-",9321.57283/9444.55743*100)</f>
        <v>98.69782569578804</v>
      </c>
      <c r="D17" s="44">
        <f>IF(9444.55743="","-",9444.55743/861112.79978*100)</f>
        <v>1.0967851636176966</v>
      </c>
      <c r="E17" s="44">
        <f>IF(9321.57283="","-",9321.57283/1030835.33871*100)</f>
        <v>0.9042736972584904</v>
      </c>
      <c r="F17" s="44">
        <f>IF(OR(976123.13927="",9053.38262="",9444.55743=""),"-",(9444.55743-9053.38262)/976123.13927*100)</f>
        <v>0.04007433020105876</v>
      </c>
      <c r="G17" s="44">
        <f>IF(OR(861112.79978="",9321.57283="",9444.55743=""),"-",(9321.57283-9444.55743)/861112.79978*100)</f>
        <v>-0.01428205457303876</v>
      </c>
    </row>
    <row r="18" spans="1:7" s="20" customFormat="1" ht="26.25">
      <c r="A18" s="18" t="s">
        <v>49</v>
      </c>
      <c r="B18" s="42">
        <f>IF(6405.01065="","-",6405.01065)</f>
        <v>6405.01065</v>
      </c>
      <c r="C18" s="44">
        <f>IF(OR(5927.12928="",6405.01065=""),"-",6405.01065/5927.12928*100)</f>
        <v>108.06261087660974</v>
      </c>
      <c r="D18" s="44">
        <f>IF(5927.12928="","-",5927.12928/861112.79978*100)</f>
        <v>0.6883104375540908</v>
      </c>
      <c r="E18" s="44">
        <f>IF(6405.01065="","-",6405.01065/1030835.33871*100)</f>
        <v>0.621341780736321</v>
      </c>
      <c r="F18" s="44">
        <f>IF(OR(976123.13927="",5251.16871="",5927.12928=""),"-",(5927.12928-5251.16871)/976123.13927*100)</f>
        <v>0.06924951809927606</v>
      </c>
      <c r="G18" s="44">
        <f>IF(OR(861112.79978="",6405.01065="",5927.12928=""),"-",(6405.01065-5927.12928)/861112.79978*100)</f>
        <v>0.055495792203076155</v>
      </c>
    </row>
    <row r="19" spans="1:7" s="20" customFormat="1" ht="26.25">
      <c r="A19" s="18" t="s">
        <v>50</v>
      </c>
      <c r="B19" s="42">
        <f>IF(15390.08081="","-",15390.08081)</f>
        <v>15390.08081</v>
      </c>
      <c r="C19" s="44">
        <f>IF(OR(13274.77393="",15390.08081=""),"-",15390.08081/13274.77393*100)</f>
        <v>115.93478646909054</v>
      </c>
      <c r="D19" s="44">
        <f>IF(13274.77393="","-",13274.77393/861112.79978*100)</f>
        <v>1.5415836268362848</v>
      </c>
      <c r="E19" s="44">
        <f>IF(15390.08081="","-",15390.08081/1030835.33871*100)</f>
        <v>1.4929717901657635</v>
      </c>
      <c r="F19" s="44">
        <f>IF(OR(976123.13927="",13287.11973="",13274.77393=""),"-",(13274.77393-13287.11973)/976123.13927*100)</f>
        <v>-0.0012647789508641143</v>
      </c>
      <c r="G19" s="44">
        <f>IF(OR(861112.79978="",15390.08081="",13274.77393=""),"-",(15390.08081-13274.77393)/861112.79978*100)</f>
        <v>0.2456480591788237</v>
      </c>
    </row>
    <row r="20" spans="1:7" s="20" customFormat="1" ht="15">
      <c r="A20" s="19" t="s">
        <v>51</v>
      </c>
      <c r="B20" s="41">
        <f>IF(17591.06294="","-",17591.06294)</f>
        <v>17591.06294</v>
      </c>
      <c r="C20" s="45">
        <f>IF(22374.29961="","-",17591.06294/22374.29961*100)</f>
        <v>78.6217367543332</v>
      </c>
      <c r="D20" s="45">
        <f>IF(22374.29961="","-",22374.29961/861112.79978*100)</f>
        <v>2.598300665803163</v>
      </c>
      <c r="E20" s="45">
        <f>IF(17591.06294="","-",17591.06294/1030835.33871*100)</f>
        <v>1.7064862135997074</v>
      </c>
      <c r="F20" s="45">
        <f>IF(976123.13927="","-",(22374.29961-16300.13089)/976123.13927*100)</f>
        <v>0.622274841731813</v>
      </c>
      <c r="G20" s="45">
        <f>IF(861112.79978="","-",(17591.06294-22374.29961)/861112.79978*100)</f>
        <v>-0.5554715562493132</v>
      </c>
    </row>
    <row r="21" spans="1:7" s="20" customFormat="1" ht="15">
      <c r="A21" s="18" t="s">
        <v>52</v>
      </c>
      <c r="B21" s="42">
        <f>IF(7652.22995="","-",7652.22995)</f>
        <v>7652.22995</v>
      </c>
      <c r="C21" s="44">
        <f>IF(OR(8622.48807="",7652.22995=""),"-",7652.22995/8622.48807*100)</f>
        <v>88.74735329149607</v>
      </c>
      <c r="D21" s="44">
        <f>IF(8622.48807="","-",8622.48807/861112.79978*100)</f>
        <v>1.0013192316039086</v>
      </c>
      <c r="E21" s="44">
        <f>IF(7652.22995="","-",7652.22995/1030835.33871*100)</f>
        <v>0.7423329083358836</v>
      </c>
      <c r="F21" s="44">
        <f>IF(OR(976123.13927="",5084.38389="",8622.48807=""),"-",(8622.48807-5084.38389)/976123.13927*100)</f>
        <v>0.36246494296262594</v>
      </c>
      <c r="G21" s="44">
        <f>IF(OR(861112.79978="",7652.22995="",8622.48807=""),"-",(7652.22995-8622.48807)/861112.79978*100)</f>
        <v>-0.11267491555669414</v>
      </c>
    </row>
    <row r="22" spans="1:7" s="20" customFormat="1" ht="15">
      <c r="A22" s="18" t="s">
        <v>53</v>
      </c>
      <c r="B22" s="42">
        <f>IF(9938.83299="","-",9938.83299)</f>
        <v>9938.83299</v>
      </c>
      <c r="C22" s="44">
        <f>IF(OR(13751.81154="",9938.83299=""),"-",9938.83299/13751.81154*100)</f>
        <v>72.27289990915627</v>
      </c>
      <c r="D22" s="44">
        <f>IF(13751.81154="","-",13751.81154/861112.79978*100)</f>
        <v>1.5969814341992548</v>
      </c>
      <c r="E22" s="44">
        <f>IF(9938.83299="","-",9938.83299/1030835.33871*100)</f>
        <v>0.964153305263824</v>
      </c>
      <c r="F22" s="44">
        <f>IF(OR(976123.13927="",11215.747="",13751.81154=""),"-",(13751.81154-11215.747)/976123.13927*100)</f>
        <v>0.2598098987691874</v>
      </c>
      <c r="G22" s="44">
        <f>IF(OR(861112.79978="",9938.83299="",13751.81154=""),"-",(9938.83299-13751.81154)/861112.79978*100)</f>
        <v>-0.44279664069261915</v>
      </c>
    </row>
    <row r="23" spans="1:7" s="20" customFormat="1" ht="26.25">
      <c r="A23" s="19" t="s">
        <v>54</v>
      </c>
      <c r="B23" s="41">
        <f>IF(37894.55193="","-",37894.55193)</f>
        <v>37894.55193</v>
      </c>
      <c r="C23" s="45">
        <f>IF(32484.33542="","-",37894.55193/32484.33542*100)</f>
        <v>116.65484745200922</v>
      </c>
      <c r="D23" s="45">
        <f>IF(32484.33542="","-",32484.33542/861112.79978*100)</f>
        <v>3.7723670381277814</v>
      </c>
      <c r="E23" s="45">
        <f>IF(37894.55193="","-",37894.55193/1030835.33871*100)</f>
        <v>3.676101362359357</v>
      </c>
      <c r="F23" s="45">
        <f>IF(976123.13927="","-",(32484.33542-33533.10586)/976123.13927*100)</f>
        <v>-0.1074424319849987</v>
      </c>
      <c r="G23" s="45">
        <f>IF(861112.79978="","-",(37894.55193-32484.33542)/861112.79978*100)</f>
        <v>0.6282819755300608</v>
      </c>
    </row>
    <row r="24" spans="1:7" s="20" customFormat="1" ht="15">
      <c r="A24" s="18" t="s">
        <v>56</v>
      </c>
      <c r="B24" s="42">
        <f>IF(19086.1525499999="","-",19086.1525499999)</f>
        <v>19086.1525499999</v>
      </c>
      <c r="C24" s="44">
        <f>IF(OR(15559.64424="",19086.1525499999=""),"-",19086.1525499999/15559.64424*100)</f>
        <v>122.6644533487091</v>
      </c>
      <c r="D24" s="44">
        <f>IF(15559.64424="","-",15559.64424/861112.79978*100)</f>
        <v>1.8069228844322403</v>
      </c>
      <c r="E24" s="44">
        <f>IF(19086.1525499999="","-",19086.1525499999/1030835.33871*100)</f>
        <v>1.8515229186733688</v>
      </c>
      <c r="F24" s="44">
        <f>IF(OR(976123.13927="",13425.50605="",15559.64424=""),"-",(15559.64424-13425.50605)/976123.13927*100)</f>
        <v>0.21863411532237917</v>
      </c>
      <c r="G24" s="44">
        <f>IF(OR(861112.79978="",19086.1525499999="",15559.64424=""),"-",(19086.1525499999-15559.64424)/861112.79978*100)</f>
        <v>0.4095291941892938</v>
      </c>
    </row>
    <row r="25" spans="1:7" s="20" customFormat="1" ht="26.25">
      <c r="A25" s="18" t="s">
        <v>57</v>
      </c>
      <c r="B25" s="42">
        <f>IF(158.88736="","-",158.88736)</f>
        <v>158.88736</v>
      </c>
      <c r="C25" s="44">
        <f>IF(OR(150.46539="",158.88736=""),"-",158.88736/150.46539*100)</f>
        <v>105.59728054405069</v>
      </c>
      <c r="D25" s="44">
        <f>IF(150.46539="","-",150.46539/861112.79978*100)</f>
        <v>0.017473365863153054</v>
      </c>
      <c r="E25" s="44">
        <f>IF(158.88736="","-",158.88736/1030835.33871*100)</f>
        <v>0.01541345683771703</v>
      </c>
      <c r="F25" s="44">
        <f>IF(OR(976123.13927="",1102.25157="",150.46539=""),"-",(150.46539-1102.25157)/976123.13927*100)</f>
        <v>-0.09750677365478697</v>
      </c>
      <c r="G25" s="44">
        <f>IF(OR(861112.79978="",158.88736="",150.46539=""),"-",(158.88736-150.46539)/861112.79978*100)</f>
        <v>0.00097803330784906</v>
      </c>
    </row>
    <row r="26" spans="1:7" s="20" customFormat="1" ht="15">
      <c r="A26" s="18" t="s">
        <v>58</v>
      </c>
      <c r="B26" s="42">
        <f>IF(5368.94608="","-",5368.94608)</f>
        <v>5368.94608</v>
      </c>
      <c r="C26" s="44">
        <f>IF(OR(4480.10743="",5368.94608=""),"-",5368.94608/4480.10743*100)</f>
        <v>119.83967268392044</v>
      </c>
      <c r="D26" s="44">
        <f>IF(4480.10743="","-",4480.10743/861112.79978*100)</f>
        <v>0.5202695199914102</v>
      </c>
      <c r="E26" s="44">
        <f>IF(5368.94608="","-",5368.94608/1030835.33871*100)</f>
        <v>0.520834499787208</v>
      </c>
      <c r="F26" s="44">
        <f>IF(OR(976123.13927="",5088.80553="",4480.10743=""),"-",(4480.10743-5088.80553)/976123.13927*100)</f>
        <v>-0.06235874097352291</v>
      </c>
      <c r="G26" s="44">
        <f>IF(OR(861112.79978="",5368.94608="",4480.10743=""),"-",(5368.94608-4480.10743)/861112.79978*100)</f>
        <v>0.10321976984049978</v>
      </c>
    </row>
    <row r="27" spans="1:7" s="20" customFormat="1" ht="15">
      <c r="A27" s="18" t="s">
        <v>59</v>
      </c>
      <c r="B27" s="42">
        <f>IF(112.13968="","-",112.13968)</f>
        <v>112.13968</v>
      </c>
      <c r="C27" s="44">
        <f>IF(OR(151.39258="",112.13968=""),"-",112.13968/151.39258*100)</f>
        <v>74.07211106383153</v>
      </c>
      <c r="D27" s="44">
        <f>IF(151.39258="","-",151.39258/861112.79978*100)</f>
        <v>0.017581039329420987</v>
      </c>
      <c r="E27" s="44">
        <f>IF(112.13968="","-",112.13968/1030835.33871*100)</f>
        <v>0.010878524997050738</v>
      </c>
      <c r="F27" s="44">
        <f>IF(OR(976123.13927="",31.12229="",151.39258=""),"-",(151.39258-31.12229)/976123.13927*100)</f>
        <v>0.012321221079744602</v>
      </c>
      <c r="G27" s="44">
        <f>IF(OR(861112.79978="",112.13968="",151.39258=""),"-",(112.13968-151.39258)/861112.79978*100)</f>
        <v>-0.004558392351156373</v>
      </c>
    </row>
    <row r="28" spans="1:7" s="20" customFormat="1" ht="39">
      <c r="A28" s="18" t="s">
        <v>60</v>
      </c>
      <c r="B28" s="42">
        <f>IF(1912.9045="","-",1912.9045)</f>
        <v>1912.9045</v>
      </c>
      <c r="C28" s="44">
        <f>IF(OR(1575.03216="",1912.9045=""),"-",1912.9045/1575.03216*100)</f>
        <v>121.45177403869647</v>
      </c>
      <c r="D28" s="44">
        <f>IF(1575.03216="","-",1575.03216/861112.79978*100)</f>
        <v>0.1829066018299106</v>
      </c>
      <c r="E28" s="44">
        <f>IF(1912.9045="","-",1912.9045/1030835.33871*100)</f>
        <v>0.1855683859649042</v>
      </c>
      <c r="F28" s="44">
        <f>IF(OR(976123.13927="",2936.51734="",1575.03216=""),"-",(1575.03216-2936.51734)/976123.13927*100)</f>
        <v>-0.13947883471118155</v>
      </c>
      <c r="G28" s="44">
        <f>IF(OR(861112.79978="",1912.9045="",1575.03216=""),"-",(1912.9045-1575.03216)/861112.79978*100)</f>
        <v>0.03923671092641067</v>
      </c>
    </row>
    <row r="29" spans="1:7" s="20" customFormat="1" ht="39">
      <c r="A29" s="18" t="s">
        <v>61</v>
      </c>
      <c r="B29" s="42">
        <f>IF(1650.96773="","-",1650.96773)</f>
        <v>1650.96773</v>
      </c>
      <c r="C29" s="44">
        <f>IF(OR(1724.85974="",1650.96773=""),"-",1650.96773/1724.85974*100)</f>
        <v>95.71605688935611</v>
      </c>
      <c r="D29" s="44">
        <f>IF(1724.85974="","-",1724.85974/861112.79978*100)</f>
        <v>0.20030589958024933</v>
      </c>
      <c r="E29" s="44">
        <f>IF(1650.96773="","-",1650.96773/1030835.33871*100)</f>
        <v>0.16015823943968016</v>
      </c>
      <c r="F29" s="44">
        <f>IF(OR(976123.13927="",1909.41535="",1724.85974=""),"-",(1724.85974-1909.41535)/976123.13927*100)</f>
        <v>-0.01890700082553324</v>
      </c>
      <c r="G29" s="44">
        <f>IF(OR(861112.79978="",1650.96773="",1724.85974=""),"-",(1650.96773-1724.85974)/861112.79978*100)</f>
        <v>-0.008580990785281347</v>
      </c>
    </row>
    <row r="30" spans="1:7" s="20" customFormat="1" ht="14.25" customHeight="1">
      <c r="A30" s="18" t="s">
        <v>62</v>
      </c>
      <c r="B30" s="42">
        <f>IF(305.73881="","-",305.73881)</f>
        <v>305.73881</v>
      </c>
      <c r="C30" s="44">
        <f>IF(OR(207.51079="",305.73881=""),"-",305.73881/207.51079*100)</f>
        <v>147.33634332942398</v>
      </c>
      <c r="D30" s="44">
        <f>IF(207.51079="","-",207.51079/861112.79978*100)</f>
        <v>0.024097979968828186</v>
      </c>
      <c r="E30" s="44">
        <f>IF(305.73881="","-",305.73881/1030835.33871*100)</f>
        <v>0.029659325647741694</v>
      </c>
      <c r="F30" s="44">
        <f>IF(OR(976123.13927="",161.93884="",207.51079=""),"-",(207.51079-161.93884)/976123.13927*100)</f>
        <v>0.004668668138948255</v>
      </c>
      <c r="G30" s="44">
        <f>IF(OR(861112.79978="",305.73881="",207.51079=""),"-",(305.73881-207.51079)/861112.79978*100)</f>
        <v>0.011407102533500331</v>
      </c>
    </row>
    <row r="31" spans="1:7" s="20" customFormat="1" ht="26.25">
      <c r="A31" s="18" t="s">
        <v>63</v>
      </c>
      <c r="B31" s="42">
        <f>IF(9295.02263="","-",9295.02263)</f>
        <v>9295.02263</v>
      </c>
      <c r="C31" s="44">
        <f>IF(OR(8632.04411="",9295.02263=""),"-",9295.02263/8632.04411*100)</f>
        <v>107.68043480259739</v>
      </c>
      <c r="D31" s="44">
        <f>IF(8632.04411="","-",8632.04411/861112.79978*100)</f>
        <v>1.002428963105106</v>
      </c>
      <c r="E31" s="44">
        <f>IF(9295.02263="","-",9295.02263/1030835.33871*100)</f>
        <v>0.9016980967718767</v>
      </c>
      <c r="F31" s="44">
        <f>IF(OR(976123.13927="",8869.88746="",8632.04411=""),"-",(8632.04411-8869.88746)/976123.13927*100)</f>
        <v>-0.024366121489330934</v>
      </c>
      <c r="G31" s="44">
        <f>IF(OR(861112.79978="",9295.02263="",8632.04411=""),"-",(9295.02263-8632.04411)/861112.79978*100)</f>
        <v>0.07699090295364076</v>
      </c>
    </row>
    <row r="32" spans="1:7" s="20" customFormat="1" ht="26.25">
      <c r="A32" s="19" t="s">
        <v>64</v>
      </c>
      <c r="B32" s="41">
        <f>IF(175595.53374="","-",175595.53374)</f>
        <v>175595.53374</v>
      </c>
      <c r="C32" s="45">
        <f>IF(156565.99337="","-",175595.53374/156565.99337*100)</f>
        <v>112.15432544475289</v>
      </c>
      <c r="D32" s="45">
        <f>IF(156565.99337="","-",156565.99337/861112.79978*100)</f>
        <v>18.18182163939498</v>
      </c>
      <c r="E32" s="45">
        <f>IF(175595.53374="","-",175595.53374/1030835.33871*100)</f>
        <v>17.034295114459542</v>
      </c>
      <c r="F32" s="45">
        <f>IF(976123.13927="","-",(156565.99337-234675.5841)/976123.13927*100)</f>
        <v>-8.002022243670481</v>
      </c>
      <c r="G32" s="45">
        <f>IF(861112.79978="","-",(175595.53374-156565.99337)/861112.79978*100)</f>
        <v>2.2098777738365674</v>
      </c>
    </row>
    <row r="33" spans="1:7" s="20" customFormat="1" ht="15">
      <c r="A33" s="18" t="s">
        <v>65</v>
      </c>
      <c r="B33" s="42">
        <f>IF(3402.01981="","-",3402.01981)</f>
        <v>3402.01981</v>
      </c>
      <c r="C33" s="43" t="s">
        <v>246</v>
      </c>
      <c r="D33" s="44">
        <f>IF(587.75139="","-",587.75139/861112.79978*100)</f>
        <v>0.06825486627886157</v>
      </c>
      <c r="E33" s="44">
        <f>IF(3402.01981="","-",3402.01981/1030835.33871*100)</f>
        <v>0.33002553193969164</v>
      </c>
      <c r="F33" s="44">
        <f>IF(OR(976123.13927="",2494.03585="",587.75139=""),"-",(587.75139-2494.03585)/976123.13927*100)</f>
        <v>-0.19529139135310605</v>
      </c>
      <c r="G33" s="44">
        <f>IF(OR(861112.79978="",3402.01981="",587.75139=""),"-",(3402.01981-587.75139)/861112.79978*100)</f>
        <v>0.32681762722827934</v>
      </c>
    </row>
    <row r="34" spans="1:7" s="20" customFormat="1" ht="26.25">
      <c r="A34" s="18" t="s">
        <v>66</v>
      </c>
      <c r="B34" s="42">
        <f>IF(94651.6311="","-",94651.6311)</f>
        <v>94651.6311</v>
      </c>
      <c r="C34" s="44" t="s">
        <v>253</v>
      </c>
      <c r="D34" s="44">
        <f>IF(54274.58295="","-",54274.58295/861112.79978*100)</f>
        <v>6.302842434099952</v>
      </c>
      <c r="E34" s="44">
        <f>IF(94651.6311="","-",94651.6311/1030835.33871*100)</f>
        <v>9.182032041940685</v>
      </c>
      <c r="F34" s="44">
        <f>IF(OR(976123.13927="",85110.01152="",54274.58295=""),"-",(54274.58295-85110.01152)/976123.13927*100)</f>
        <v>-3.1589691227953542</v>
      </c>
      <c r="G34" s="44">
        <f>IF(OR(861112.79978="",94651.6311="",54274.58295=""),"-",(94651.6311-54274.58295)/861112.79978*100)</f>
        <v>4.688938331925349</v>
      </c>
    </row>
    <row r="35" spans="1:7" s="20" customFormat="1" ht="26.25">
      <c r="A35" s="18" t="s">
        <v>67</v>
      </c>
      <c r="B35" s="42">
        <f>IF(77540.80896="","-",77540.80896)</f>
        <v>77540.80896</v>
      </c>
      <c r="C35" s="44">
        <f>IF(OR(101452.17538="",77540.80896=""),"-",77540.80896/101452.17538*100)</f>
        <v>76.43089827257285</v>
      </c>
      <c r="D35" s="44">
        <f>IF(101452.17538="","-",101452.17538/861112.79978*100)</f>
        <v>11.781519843383972</v>
      </c>
      <c r="E35" s="44">
        <f>IF(77540.80896="","-",77540.80896/1030835.33871*100)</f>
        <v>7.522133365842455</v>
      </c>
      <c r="F35" s="44">
        <f>IF(OR(976123.13927="",146895.51298="",101452.17538=""),"-",(101452.17538-146895.51298)/976123.13927*100)</f>
        <v>-4.655492301307916</v>
      </c>
      <c r="G35" s="44">
        <f>IF(OR(861112.79978="",77540.80896="",101452.17538=""),"-",(77540.80896-101452.17538)/861112.79978*100)</f>
        <v>-2.776798396924185</v>
      </c>
    </row>
    <row r="36" spans="1:7" s="20" customFormat="1" ht="15">
      <c r="A36" s="18" t="s">
        <v>68</v>
      </c>
      <c r="B36" s="42">
        <f>IF(1.07387="","-",1.07387)</f>
        <v>1.07387</v>
      </c>
      <c r="C36" s="44">
        <f>IF(OR(251.48365="",1.07387=""),"-",1.07387/251.48365*100)</f>
        <v>0.42701384364351325</v>
      </c>
      <c r="D36" s="44">
        <f>IF(251.48365="","-",251.48365/861112.79978*100)</f>
        <v>0.029204495632192424</v>
      </c>
      <c r="E36" s="44">
        <f>IF(1.07387="","-",1.07387/1030835.33871*100)</f>
        <v>0.00010417473670856629</v>
      </c>
      <c r="F36" s="44">
        <f>IF(OR(976123.13927="",176.02375="",251.48365=""),"-",(251.48365-176.02375)/976123.13927*100)</f>
        <v>0.0077305717858950854</v>
      </c>
      <c r="G36" s="44">
        <f>IF(OR(861112.79978="",1.07387="",251.48365=""),"-",(1.07387-251.48365)/861112.79978*100)</f>
        <v>-0.029079788392876702</v>
      </c>
    </row>
    <row r="37" spans="1:7" s="20" customFormat="1" ht="26.25">
      <c r="A37" s="19" t="s">
        <v>69</v>
      </c>
      <c r="B37" s="41">
        <f>IF(2655.44812="","-",2655.44812)</f>
        <v>2655.44812</v>
      </c>
      <c r="C37" s="45">
        <f>IF(1736.52995="","-",2655.44812/1736.52995*100)</f>
        <v>152.91692032147213</v>
      </c>
      <c r="D37" s="45">
        <f>IF(1736.52995="","-",1736.52995/861112.79978*100)</f>
        <v>0.20166114711611008</v>
      </c>
      <c r="E37" s="45">
        <f>IF(2655.44812="","-",2655.44812/1030835.33871*100)</f>
        <v>0.25760158002761724</v>
      </c>
      <c r="F37" s="45">
        <f>IF(976123.13927="","-",(1736.52995-2231.90388)/976123.13927*100)</f>
        <v>-0.05074912273573069</v>
      </c>
      <c r="G37" s="45">
        <f>IF(861112.79978="","-",(2655.44812-1736.52995)/861112.79978*100)</f>
        <v>0.10671286853879867</v>
      </c>
    </row>
    <row r="38" spans="1:7" s="20" customFormat="1" ht="15">
      <c r="A38" s="18" t="s">
        <v>70</v>
      </c>
      <c r="B38" s="42">
        <f>IF(169.4773="","-",169.4773)</f>
        <v>169.4773</v>
      </c>
      <c r="C38" s="44">
        <f>IF(OR(133.34055="",169.4773=""),"-",169.4773/133.34055*100)</f>
        <v>127.10109565319779</v>
      </c>
      <c r="D38" s="44">
        <f>IF(133.34055="","-",133.34055/861112.79978*100)</f>
        <v>0.015484678666263733</v>
      </c>
      <c r="E38" s="44">
        <f>IF(169.4773="","-",169.4773/1030835.33871*100)</f>
        <v>0.016440773190031104</v>
      </c>
      <c r="F38" s="44">
        <f>IF(OR(976123.13927="",113.42563="",133.34055=""),"-",(133.34055-113.42563)/976123.13927*100)</f>
        <v>0.002040205707539472</v>
      </c>
      <c r="G38" s="44">
        <f>IF(OR(861112.79978="",169.4773="",133.34055=""),"-",(169.4773-133.34055)/861112.79978*100)</f>
        <v>0.004196517576934444</v>
      </c>
    </row>
    <row r="39" spans="1:7" s="20" customFormat="1" ht="26.25">
      <c r="A39" s="18" t="s">
        <v>115</v>
      </c>
      <c r="B39" s="42">
        <f>IF(1880.87649="","-",1880.87649)</f>
        <v>1880.87649</v>
      </c>
      <c r="C39" s="44">
        <f>IF(OR(1279.70861="",1880.87649=""),"-",1880.87649/1279.70861*100)</f>
        <v>146.97693485081734</v>
      </c>
      <c r="D39" s="44">
        <f>IF(1279.70861="","-",1279.70861/861112.79978*100)</f>
        <v>0.14861103102020365</v>
      </c>
      <c r="E39" s="44">
        <f>IF(1880.87649="","-",1880.87649/1030835.33871*100)</f>
        <v>0.1824613902307377</v>
      </c>
      <c r="F39" s="44">
        <f>IF(OR(976123.13927="",1669.22437="",1279.70861=""),"-",(1279.70861-1669.22437)/976123.13927*100)</f>
        <v>-0.03990436701370504</v>
      </c>
      <c r="G39" s="44">
        <f>IF(OR(861112.79978="",1880.87649="",1279.70861=""),"-",(1880.87649-1279.70861)/861112.79978*100)</f>
        <v>0.06981290722348901</v>
      </c>
    </row>
    <row r="40" spans="1:7" s="20" customFormat="1" ht="26.25">
      <c r="A40" s="18" t="s">
        <v>116</v>
      </c>
      <c r="B40" s="42">
        <f>IF(605.09433="","-",605.09433)</f>
        <v>605.09433</v>
      </c>
      <c r="C40" s="44" t="s">
        <v>255</v>
      </c>
      <c r="D40" s="44">
        <f>IF(323.48079="","-",323.48079/861112.79978*100)</f>
        <v>0.03756543742964266</v>
      </c>
      <c r="E40" s="44">
        <f>IF(605.09433="","-",605.09433/1030835.33871*100)</f>
        <v>0.05869941660684842</v>
      </c>
      <c r="F40" s="44">
        <f>IF(OR(976123.13927="",449.25388="",323.48079=""),"-",(323.48079-449.25388)/976123.13927*100)</f>
        <v>-0.012884961429565146</v>
      </c>
      <c r="G40" s="44">
        <f>IF(OR(861112.79978="",605.09433="",323.48079=""),"-",(605.09433-323.48079)/861112.79978*100)</f>
        <v>0.03270344373837522</v>
      </c>
    </row>
    <row r="41" spans="1:7" s="20" customFormat="1" ht="26.25">
      <c r="A41" s="19" t="s">
        <v>73</v>
      </c>
      <c r="B41" s="41">
        <f>IF(170915.52289="","-",170915.52289)</f>
        <v>170915.52289</v>
      </c>
      <c r="C41" s="45">
        <f>IF(133525.58868="","-",170915.52289/133525.58868*100)</f>
        <v>128.0020740441045</v>
      </c>
      <c r="D41" s="45">
        <f>IF(133525.58868="","-",133525.58868/861112.79978*100)</f>
        <v>15.506166986963096</v>
      </c>
      <c r="E41" s="45">
        <f>IF(170915.52289="","-",170915.52289/1030835.33871*100)</f>
        <v>16.580293328310393</v>
      </c>
      <c r="F41" s="45">
        <f>IF(976123.13927="","-",(133525.58868-140574.41879)/976123.13927*100)</f>
        <v>-0.72212509123301</v>
      </c>
      <c r="G41" s="45">
        <f>IF(861112.79978="","-",(170915.52289-133525.58868)/861112.79978*100)</f>
        <v>4.342048361091893</v>
      </c>
    </row>
    <row r="42" spans="1:7" s="20" customFormat="1" ht="15">
      <c r="A42" s="18" t="s">
        <v>74</v>
      </c>
      <c r="B42" s="42">
        <f>IF(4510.11966="","-",4510.11966)</f>
        <v>4510.11966</v>
      </c>
      <c r="C42" s="44">
        <f>IF(OR(3199.18148="",4510.11966=""),"-",4510.11966/3199.18148*100)</f>
        <v>140.97729960602297</v>
      </c>
      <c r="D42" s="44">
        <f>IF(3199.18148="","-",3199.18148/861112.79978*100)</f>
        <v>0.37151712073230564</v>
      </c>
      <c r="E42" s="44">
        <f>IF(4510.11966="","-",4510.11966/1030835.33871*100)</f>
        <v>0.43752086202671503</v>
      </c>
      <c r="F42" s="44">
        <f>IF(OR(976123.13927="",5291.5985="",3199.18148=""),"-",(3199.18148-5291.5985)/976123.13927*100)</f>
        <v>-0.2143599445419179</v>
      </c>
      <c r="G42" s="44">
        <f>IF(OR(861112.79978="",4510.11966="",3199.18148=""),"-",(4510.11966-3199.18148)/861112.79978*100)</f>
        <v>0.152237683650147</v>
      </c>
    </row>
    <row r="43" spans="1:7" s="20" customFormat="1" ht="15">
      <c r="A43" s="18" t="s">
        <v>75</v>
      </c>
      <c r="B43" s="42">
        <f>IF(2872.79082="","-",2872.79082)</f>
        <v>2872.79082</v>
      </c>
      <c r="C43" s="44">
        <f>IF(OR(3068.52829="",2872.79082=""),"-",2872.79082/3068.52829*100)</f>
        <v>93.62112871379132</v>
      </c>
      <c r="D43" s="44">
        <f>IF(3068.52829="","-",3068.52829/861112.79978*100)</f>
        <v>0.3563445219701714</v>
      </c>
      <c r="E43" s="44">
        <f>IF(2872.79082="","-",2872.79082/1030835.33871*100)</f>
        <v>0.2786857136266832</v>
      </c>
      <c r="F43" s="44">
        <f>IF(OR(976123.13927="",1963.64757="",3068.52829=""),"-",(3068.52829-1963.64757)/976123.13927*100)</f>
        <v>0.11319071083862352</v>
      </c>
      <c r="G43" s="44">
        <f>IF(OR(861112.79978="",2872.79082="",3068.52829=""),"-",(2872.79082-3068.52829)/861112.79978*100)</f>
        <v>-0.022730758391932823</v>
      </c>
    </row>
    <row r="44" spans="1:7" s="20" customFormat="1" ht="15">
      <c r="A44" s="18" t="s">
        <v>76</v>
      </c>
      <c r="B44" s="42">
        <f>IF(4728.85589="","-",4728.85589)</f>
        <v>4728.85589</v>
      </c>
      <c r="C44" s="44">
        <f>IF(OR(4437.22916="",4728.85589=""),"-",4728.85589/4437.22916*100)</f>
        <v>106.57227110623242</v>
      </c>
      <c r="D44" s="44">
        <f>IF(4437.22916="","-",4437.22916/861112.79978*100)</f>
        <v>0.5152901177561915</v>
      </c>
      <c r="E44" s="44">
        <f>IF(4728.85589="","-",4728.85589/1030835.33871*100)</f>
        <v>0.45874018016473395</v>
      </c>
      <c r="F44" s="44">
        <f>IF(OR(976123.13927="",4187.53375="",4437.22916=""),"-",(4437.22916-4187.53375)/976123.13927*100)</f>
        <v>0.025580318707200875</v>
      </c>
      <c r="G44" s="44">
        <f>IF(OR(861112.79978="",4728.85589="",4437.22916=""),"-",(4728.85589-4437.22916)/861112.79978*100)</f>
        <v>0.03386626352256124</v>
      </c>
    </row>
    <row r="45" spans="1:7" s="20" customFormat="1" ht="15">
      <c r="A45" s="18" t="s">
        <v>77</v>
      </c>
      <c r="B45" s="42">
        <f>IF(47942.86555="","-",47942.86555)</f>
        <v>47942.86555</v>
      </c>
      <c r="C45" s="44" t="s">
        <v>253</v>
      </c>
      <c r="D45" s="44">
        <f>IF(28065.2008="","-",28065.2008/861112.79978*100)</f>
        <v>3.259178217670228</v>
      </c>
      <c r="E45" s="44">
        <f>IF(47942.86555="","-",47942.86555/1030835.33871*100)</f>
        <v>4.650875241626494</v>
      </c>
      <c r="F45" s="44">
        <f>IF(OR(976123.13927="",38017.69524="",28065.2008=""),"-",(28065.2008-38017.69524)/976123.13927*100)</f>
        <v>-1.01959415155787</v>
      </c>
      <c r="G45" s="44">
        <f>IF(OR(861112.79978="",47942.86555="",28065.2008=""),"-",(47942.86555-28065.2008)/861112.79978*100)</f>
        <v>2.3083694441748417</v>
      </c>
    </row>
    <row r="46" spans="1:7" s="20" customFormat="1" ht="39">
      <c r="A46" s="18" t="s">
        <v>78</v>
      </c>
      <c r="B46" s="42">
        <f>IF(24579.46254="","-",24579.46254)</f>
        <v>24579.46254</v>
      </c>
      <c r="C46" s="44">
        <f>IF(OR(24629.52466="",24579.46254=""),"-",24579.46254/24629.52466*100)</f>
        <v>99.79673939838027</v>
      </c>
      <c r="D46" s="44">
        <f>IF(24629.52466="","-",24629.52466/861112.79978*100)</f>
        <v>2.860197254795473</v>
      </c>
      <c r="E46" s="44">
        <f>IF(24579.46254="","-",24579.46254/1030835.33871*100)</f>
        <v>2.384421800164422</v>
      </c>
      <c r="F46" s="44">
        <f>IF(OR(976123.13927="",25731.1123="",24629.52466=""),"-",(24629.52466-25731.1123)/976123.13927*100)</f>
        <v>-0.11285334766511436</v>
      </c>
      <c r="G46" s="44">
        <f>IF(OR(861112.79978="",24579.46254="",24629.52466=""),"-",(24579.46254-24629.52466)/861112.79978*100)</f>
        <v>-0.00581365414760862</v>
      </c>
    </row>
    <row r="47" spans="1:7" s="20" customFormat="1" ht="15">
      <c r="A47" s="18" t="s">
        <v>79</v>
      </c>
      <c r="B47" s="42">
        <f>IF(19358.85491="","-",19358.85491)</f>
        <v>19358.85491</v>
      </c>
      <c r="C47" s="44">
        <f>IF(OR(18329.47754="",19358.85491=""),"-",19358.85491/18329.47754*100)</f>
        <v>105.61596678221521</v>
      </c>
      <c r="D47" s="44">
        <f>IF(18329.47754="","-",18329.47754/861112.79978*100)</f>
        <v>2.128580314295976</v>
      </c>
      <c r="E47" s="44">
        <f>IF(19358.85491="","-",19358.85491/1030835.33871*100)</f>
        <v>1.8779774211297322</v>
      </c>
      <c r="F47" s="44">
        <f>IF(OR(976123.13927="",13571.12105="",18329.47754=""),"-",(18329.47754-13571.12105)/976123.13927*100)</f>
        <v>0.48747502221477584</v>
      </c>
      <c r="G47" s="44">
        <f>IF(OR(861112.79978="",19358.85491="",18329.47754=""),"-",(19358.85491-18329.47754)/861112.79978*100)</f>
        <v>0.11954036338363419</v>
      </c>
    </row>
    <row r="48" spans="1:7" s="20" customFormat="1" ht="15">
      <c r="A48" s="18" t="s">
        <v>80</v>
      </c>
      <c r="B48" s="42">
        <f>IF(8237.3291="","-",8237.3291)</f>
        <v>8237.3291</v>
      </c>
      <c r="C48" s="44">
        <f>IF(OR(8480.69193="",8237.3291=""),"-",8237.3291/8480.69193*100)</f>
        <v>97.13038945396522</v>
      </c>
      <c r="D48" s="44">
        <f>IF(8480.69193="","-",8480.69193/861112.79978*100)</f>
        <v>0.9848526153793878</v>
      </c>
      <c r="E48" s="44">
        <f>IF(8237.3291="","-",8237.3291/1030835.33871*100)</f>
        <v>0.7990926184494506</v>
      </c>
      <c r="F48" s="44">
        <f>IF(OR(976123.13927="",9866.14718="",8480.69193=""),"-",(8480.69193-9866.14718)/976123.13927*100)</f>
        <v>-0.14193447468483544</v>
      </c>
      <c r="G48" s="44">
        <f>IF(OR(861112.79978="",8237.3291="",8480.69193=""),"-",(8237.3291-8480.69193)/861112.79978*100)</f>
        <v>-0.028261434513826202</v>
      </c>
    </row>
    <row r="49" spans="1:7" s="20" customFormat="1" ht="15">
      <c r="A49" s="18" t="s">
        <v>81</v>
      </c>
      <c r="B49" s="42">
        <f>IF(17906.84469="","-",17906.84469)</f>
        <v>17906.84469</v>
      </c>
      <c r="C49" s="44">
        <f>IF(OR(14997.55407="",17906.84469=""),"-",17906.84469/14997.55407*100)</f>
        <v>119.39843394743635</v>
      </c>
      <c r="D49" s="44">
        <f>IF(14997.55407="","-",14997.55407/861112.79978*100)</f>
        <v>1.741648024954643</v>
      </c>
      <c r="E49" s="44">
        <f>IF(17906.84469="","-",17906.84469/1030835.33871*100)</f>
        <v>1.7371197918388057</v>
      </c>
      <c r="F49" s="44">
        <f>IF(OR(976123.13927="",17518.12667="",14997.55407=""),"-",(14997.55407-17518.12667)/976123.13927*100)</f>
        <v>-0.25822281007343273</v>
      </c>
      <c r="G49" s="44">
        <f>IF(OR(861112.79978="",17906.84469="",14997.55407=""),"-",(17906.84469-14997.55407)/861112.79978*100)</f>
        <v>0.33785244171765616</v>
      </c>
    </row>
    <row r="50" spans="1:7" s="20" customFormat="1" ht="15">
      <c r="A50" s="18" t="s">
        <v>82</v>
      </c>
      <c r="B50" s="42">
        <f>IF(40778.39973="","-",40778.39973)</f>
        <v>40778.39973</v>
      </c>
      <c r="C50" s="44">
        <f>IF(OR(28318.20075="",40778.39973=""),"-",40778.39973/28318.20075*100)</f>
        <v>144.0006732419255</v>
      </c>
      <c r="D50" s="44">
        <f>IF(28318.20075="","-",28318.20075/861112.79978*100)</f>
        <v>3.2885587994087224</v>
      </c>
      <c r="E50" s="44">
        <f>IF(40778.39973="","-",40778.39973/1030835.33871*100)</f>
        <v>3.9558596992833586</v>
      </c>
      <c r="F50" s="44">
        <f>IF(OR(976123.13927="",24427.43653="",28318.20075=""),"-",(28318.20075-24427.43653)/976123.13927*100)</f>
        <v>0.3985935855295607</v>
      </c>
      <c r="G50" s="44">
        <f>IF(OR(861112.79978="",40778.39973="",28318.20075=""),"-",(40778.39973-28318.20075)/861112.79978*100)</f>
        <v>1.4469880116964202</v>
      </c>
    </row>
    <row r="51" spans="1:7" s="20" customFormat="1" ht="26.25">
      <c r="A51" s="19" t="s">
        <v>83</v>
      </c>
      <c r="B51" s="41">
        <f>IF(185362.39164="","-",185362.39164)</f>
        <v>185362.39164</v>
      </c>
      <c r="C51" s="45">
        <f>IF(170735.46739="","-",185362.39164/170735.46739*100)</f>
        <v>108.56700981559307</v>
      </c>
      <c r="D51" s="45">
        <f>IF(170735.46739="","-",170735.46739/861112.79978*100)</f>
        <v>19.82730571809176</v>
      </c>
      <c r="E51" s="45">
        <f>IF(185362.39164="","-",185362.39164/1030835.33871*100)</f>
        <v>17.981765339163164</v>
      </c>
      <c r="F51" s="45">
        <f>IF(976123.13927="","-",(170735.46739-169849.51017)/976123.13927*100)</f>
        <v>0.09076285402501368</v>
      </c>
      <c r="G51" s="45">
        <f>IF(861112.79978="","-",(185362.39164-170735.46739)/861112.79978*100)</f>
        <v>1.6986072270365644</v>
      </c>
    </row>
    <row r="52" spans="1:7" s="20" customFormat="1" ht="15">
      <c r="A52" s="18" t="s">
        <v>84</v>
      </c>
      <c r="B52" s="42">
        <f>IF(9507.01729="","-",9507.01729)</f>
        <v>9507.01729</v>
      </c>
      <c r="C52" s="44">
        <f>IF(OR(8444.84297="",9507.01729=""),"-",9507.01729/8444.84297*100)</f>
        <v>112.5777865115235</v>
      </c>
      <c r="D52" s="44">
        <f>IF(8444.84297="","-",8444.84297/861112.79978*100)</f>
        <v>0.9806895185111075</v>
      </c>
      <c r="E52" s="44">
        <f>IF(9507.01729="","-",9507.01729/1030835.33871*100)</f>
        <v>0.9222634239428771</v>
      </c>
      <c r="F52" s="44">
        <f>IF(OR(976123.13927="",6766.57175="",8444.84297=""),"-",(8444.84297-6766.57175)/976123.13927*100)</f>
        <v>0.1719323262078497</v>
      </c>
      <c r="G52" s="44">
        <f>IF(OR(861112.79978="",9507.01729="",8444.84297=""),"-",(9507.01729-8444.84297)/861112.79978*100)</f>
        <v>0.1233490339792148</v>
      </c>
    </row>
    <row r="53" spans="1:7" s="20" customFormat="1" ht="15">
      <c r="A53" s="18" t="s">
        <v>85</v>
      </c>
      <c r="B53" s="42">
        <f>IF(11971.01885="","-",11971.01885)</f>
        <v>11971.01885</v>
      </c>
      <c r="C53" s="44">
        <f>IF(OR(13522.29606="",11971.01885=""),"-",11971.01885/13522.29606*100)</f>
        <v>88.52800439276878</v>
      </c>
      <c r="D53" s="44">
        <f>IF(13522.29606="","-",13522.29606/861112.79978*100)</f>
        <v>1.5703280758867737</v>
      </c>
      <c r="E53" s="44">
        <f>IF(11971.01885="","-",11971.01885/1030835.33871*100)</f>
        <v>1.1612930213452597</v>
      </c>
      <c r="F53" s="44">
        <f>IF(OR(976123.13927="",10383.1181="",13522.29606=""),"-",(13522.29606-10383.1181)/976123.13927*100)</f>
        <v>0.3215965111069547</v>
      </c>
      <c r="G53" s="44">
        <f>IF(OR(861112.79978="",11971.01885="",13522.29606=""),"-",(11971.01885-13522.29606)/861112.79978*100)</f>
        <v>-0.1801479678848492</v>
      </c>
    </row>
    <row r="54" spans="1:7" s="20" customFormat="1" ht="15">
      <c r="A54" s="18" t="s">
        <v>86</v>
      </c>
      <c r="B54" s="42">
        <f>IF(11671.88223="","-",11671.88223)</f>
        <v>11671.88223</v>
      </c>
      <c r="C54" s="44">
        <f>IF(OR(9395.30761="",11671.88223=""),"-",11671.88223/9395.30761*100)</f>
        <v>124.23097480679506</v>
      </c>
      <c r="D54" s="44">
        <f>IF(9395.30761="","-",9395.30761/861112.79978*100)</f>
        <v>1.0910658408980038</v>
      </c>
      <c r="E54" s="44">
        <f>IF(11671.88223="","-",11671.88223/1030835.33871*100)</f>
        <v>1.1322741655914061</v>
      </c>
      <c r="F54" s="44">
        <f>IF(OR(976123.13927="",10231.95822="",9395.30761=""),"-",(9395.30761-10231.95822)/976123.13927*100)</f>
        <v>-0.08571158456766993</v>
      </c>
      <c r="G54" s="44">
        <f>IF(OR(861112.79978="",11671.88223="",9395.30761=""),"-",(11671.88223-9395.30761)/861112.79978*100)</f>
        <v>0.264375889033542</v>
      </c>
    </row>
    <row r="55" spans="1:7" s="20" customFormat="1" ht="26.25">
      <c r="A55" s="18" t="s">
        <v>87</v>
      </c>
      <c r="B55" s="42">
        <f>IF(18204.57615="","-",18204.57615)</f>
        <v>18204.57615</v>
      </c>
      <c r="C55" s="44">
        <f>IF(OR(16237.35935="",18204.57615=""),"-",18204.57615/16237.35935*100)</f>
        <v>112.11537392008265</v>
      </c>
      <c r="D55" s="44">
        <f>IF(16237.35935="","-",16237.35935/861112.79978*100)</f>
        <v>1.885625129965363</v>
      </c>
      <c r="E55" s="44">
        <f>IF(18204.57615="","-",18204.57615/1030835.33871*100)</f>
        <v>1.7660023348424814</v>
      </c>
      <c r="F55" s="44">
        <f>IF(OR(976123.13927="",15908.50375="",16237.35935=""),"-",(16237.35935-15908.50375)/976123.13927*100)</f>
        <v>0.033689970739341095</v>
      </c>
      <c r="G55" s="44">
        <f>IF(OR(861112.79978="",18204.57615="",16237.35935=""),"-",(18204.57615-16237.35935)/861112.79978*100)</f>
        <v>0.22845053522634798</v>
      </c>
    </row>
    <row r="56" spans="1:7" s="20" customFormat="1" ht="39">
      <c r="A56" s="18" t="s">
        <v>88</v>
      </c>
      <c r="B56" s="42">
        <f>IF(61493.30268="","-",61493.30268)</f>
        <v>61493.30268</v>
      </c>
      <c r="C56" s="44">
        <f>IF(OR(55502.83205="",61493.30268=""),"-",61493.30268/55502.83205*100)</f>
        <v>110.79309002575484</v>
      </c>
      <c r="D56" s="44">
        <f>IF(55502.83205="","-",55502.83205/861112.79978*100)</f>
        <v>6.445477533742391</v>
      </c>
      <c r="E56" s="44">
        <f>IF(61493.30268="","-",61493.30268/1030835.33871*100)</f>
        <v>5.965385583012072</v>
      </c>
      <c r="F56" s="44">
        <f>IF(OR(976123.13927="",46223.72249="",55502.83205=""),"-",(55502.83205-46223.72249)/976123.13927*100)</f>
        <v>0.9506085028308455</v>
      </c>
      <c r="G56" s="44">
        <f>IF(OR(861112.79978="",61493.30268="",55502.83205=""),"-",(61493.30268-55502.83205)/861112.79978*100)</f>
        <v>0.6956661928066182</v>
      </c>
    </row>
    <row r="57" spans="1:7" s="20" customFormat="1" ht="15">
      <c r="A57" s="18" t="s">
        <v>89</v>
      </c>
      <c r="B57" s="42">
        <f>IF(18135.29139="","-",18135.29139)</f>
        <v>18135.29139</v>
      </c>
      <c r="C57" s="44">
        <f>IF(OR(18651.08449="",18135.29139=""),"-",18135.29139/18651.08449*100)</f>
        <v>97.23451416309571</v>
      </c>
      <c r="D57" s="44">
        <f>IF(18651.08449="","-",18651.08449/861112.79978*100)</f>
        <v>2.1659281449265464</v>
      </c>
      <c r="E57" s="44">
        <f>IF(18135.29139="","-",18135.29139/1030835.33871*100)</f>
        <v>1.7592811100844412</v>
      </c>
      <c r="F57" s="44">
        <f>IF(OR(976123.13927="",18440.9014="",18651.08449=""),"-",(18651.08449-18440.9014)/976123.13927*100)</f>
        <v>0.021532435974951792</v>
      </c>
      <c r="G57" s="44">
        <f>IF(OR(861112.79978="",18135.29139="",18651.08449=""),"-",(18135.29139-18651.08449)/861112.79978*100)</f>
        <v>-0.059898436085467445</v>
      </c>
    </row>
    <row r="58" spans="1:7" s="20" customFormat="1" ht="15">
      <c r="A58" s="18" t="s">
        <v>90</v>
      </c>
      <c r="B58" s="42">
        <f>IF(17534.67229="","-",17534.67229)</f>
        <v>17534.67229</v>
      </c>
      <c r="C58" s="44">
        <f>IF(OR(15122.76363="",17534.67229=""),"-",17534.67229/15122.76363*100)</f>
        <v>115.94886172270351</v>
      </c>
      <c r="D58" s="44">
        <f>IF(15122.76363="","-",15122.76363/861112.79978*100)</f>
        <v>1.7561884614725984</v>
      </c>
      <c r="E58" s="44">
        <f>IF(17534.67229="","-",17534.67229/1030835.33871*100)</f>
        <v>1.7010158297389282</v>
      </c>
      <c r="F58" s="44">
        <f>IF(OR(976123.13927="",22521.87726="",15122.76363=""),"-",(15122.76363-22521.87726)/976123.13927*100)</f>
        <v>-0.7580102686156458</v>
      </c>
      <c r="G58" s="44">
        <f>IF(OR(861112.79978="",17534.67229="",15122.76363=""),"-",(17534.67229-15122.76363)/861112.79978*100)</f>
        <v>0.2800920693103391</v>
      </c>
    </row>
    <row r="59" spans="1:7" s="20" customFormat="1" ht="15">
      <c r="A59" s="18" t="s">
        <v>91</v>
      </c>
      <c r="B59" s="42">
        <f>IF(12791.70801="","-",12791.70801)</f>
        <v>12791.70801</v>
      </c>
      <c r="C59" s="44">
        <f>IF(OR(11839.90515="",12791.70801=""),"-",12791.70801/11839.90515*100)</f>
        <v>108.03893990654139</v>
      </c>
      <c r="D59" s="44">
        <f>IF(11839.90515="","-",11839.90515/861112.79978*100)</f>
        <v>1.3749540307640185</v>
      </c>
      <c r="E59" s="44">
        <f>IF(12791.70801="","-",12791.70801/1030835.33871*100)</f>
        <v>1.24090701294813</v>
      </c>
      <c r="F59" s="44">
        <f>IF(OR(976123.13927="",16687.7343="",11839.90515=""),"-",(11839.90515-16687.7343)/976123.13927*100)</f>
        <v>-0.49664114648746877</v>
      </c>
      <c r="G59" s="44">
        <f>IF(OR(861112.79978="",12791.70801="",11839.90515=""),"-",(12791.70801-11839.90515)/861112.79978*100)</f>
        <v>0.11053172827568811</v>
      </c>
    </row>
    <row r="60" spans="1:7" s="20" customFormat="1" ht="15">
      <c r="A60" s="18" t="s">
        <v>92</v>
      </c>
      <c r="B60" s="42">
        <f>IF(24052.92275="","-",24052.92275)</f>
        <v>24052.92275</v>
      </c>
      <c r="C60" s="44">
        <f>IF(OR(22019.07608="",24052.92275=""),"-",24052.92275/22019.07608*100)</f>
        <v>109.23674845670458</v>
      </c>
      <c r="D60" s="44">
        <f>IF(22019.07608="","-",22019.07608/861112.79978*100)</f>
        <v>2.5570489819249587</v>
      </c>
      <c r="E60" s="44">
        <f>IF(24052.92275="","-",24052.92275/1030835.33871*100)</f>
        <v>2.33334285765757</v>
      </c>
      <c r="F60" s="44">
        <f>IF(OR(976123.13927="",22685.1229="",22019.07608=""),"-",(22019.07608-22685.1229)/976123.13927*100)</f>
        <v>-0.06823389316414596</v>
      </c>
      <c r="G60" s="44">
        <f>IF(OR(861112.79978="",24052.92275="",22019.07608=""),"-",(24052.92275-22019.07608)/861112.79978*100)</f>
        <v>0.23618818237513328</v>
      </c>
    </row>
    <row r="61" spans="1:7" s="20" customFormat="1" ht="15.75" customHeight="1">
      <c r="A61" s="19" t="s">
        <v>93</v>
      </c>
      <c r="B61" s="41">
        <f>IF(207628.04423="","-",207628.04423)</f>
        <v>207628.04423</v>
      </c>
      <c r="C61" s="45">
        <f>IF(162375.3293="","-",207628.04423/162375.3293*100)</f>
        <v>127.86920594716231</v>
      </c>
      <c r="D61" s="45">
        <f>IF(162375.3293="","-",162375.3293/861112.79978*100)</f>
        <v>18.856452876032527</v>
      </c>
      <c r="E61" s="45">
        <f>IF(207628.04423="","-",207628.04423/1030835.33871*100)</f>
        <v>20.141727435327187</v>
      </c>
      <c r="F61" s="45">
        <f>IF(976123.13927="","-",(162375.3293-198569.70747)/976123.13927*100)</f>
        <v>-3.707972561440166</v>
      </c>
      <c r="G61" s="45">
        <f>IF(861112.79978="","-",(207628.04423-162375.3293)/861112.79978*100)</f>
        <v>5.255143686351115</v>
      </c>
    </row>
    <row r="62" spans="1:7" s="20" customFormat="1" ht="26.25">
      <c r="A62" s="18" t="s">
        <v>117</v>
      </c>
      <c r="B62" s="42">
        <f>IF(3259.41501="","-",3259.41501)</f>
        <v>3259.41501</v>
      </c>
      <c r="C62" s="44" t="s">
        <v>253</v>
      </c>
      <c r="D62" s="44">
        <f>IF(1966.07551="","-",1966.07551/861112.79978*100)</f>
        <v>0.22831799858303112</v>
      </c>
      <c r="E62" s="44">
        <f>IF(3259.41501="","-",3259.41501/1030835.33871*100)</f>
        <v>0.31619162514149657</v>
      </c>
      <c r="F62" s="44">
        <f>IF(OR(976123.13927="",2624.22734="",1966.07551=""),"-",(1966.07551-2624.22734)/976123.13927*100)</f>
        <v>-0.06742508229978064</v>
      </c>
      <c r="G62" s="44">
        <f>IF(OR(861112.79978="",3259.41501="",1966.07551=""),"-",(3259.41501-1966.07551)/861112.79978*100)</f>
        <v>0.15019396998052137</v>
      </c>
    </row>
    <row r="63" spans="1:7" s="20" customFormat="1" ht="26.25">
      <c r="A63" s="18" t="s">
        <v>95</v>
      </c>
      <c r="B63" s="42">
        <f>IF(28916.79783="","-",28916.79783)</f>
        <v>28916.79783</v>
      </c>
      <c r="C63" s="44">
        <f>IF(OR(24365.10587="",28916.79783=""),"-",28916.79783/24365.10587*100)</f>
        <v>118.68119097977883</v>
      </c>
      <c r="D63" s="44">
        <f>IF(24365.10587="","-",24365.10587/861112.79978*100)</f>
        <v>2.8294906168187115</v>
      </c>
      <c r="E63" s="44">
        <f>IF(28916.79783="","-",28916.79783/1030835.33871*100)</f>
        <v>2.8051810744271566</v>
      </c>
      <c r="F63" s="44">
        <f>IF(OR(976123.13927="",28070.80673="",24365.10587=""),"-",(24365.10587-28070.80673)/976123.13927*100)</f>
        <v>-0.3796345677012977</v>
      </c>
      <c r="G63" s="44">
        <f>IF(OR(861112.79978="",28916.79783="",24365.10587=""),"-",(28916.79783-24365.10587)/861112.79978*100)</f>
        <v>0.5285825458828253</v>
      </c>
    </row>
    <row r="64" spans="1:7" s="20" customFormat="1" ht="26.25">
      <c r="A64" s="18" t="s">
        <v>96</v>
      </c>
      <c r="B64" s="42">
        <f>IF(1791.77266="","-",1791.77266)</f>
        <v>1791.77266</v>
      </c>
      <c r="C64" s="44">
        <f>IF(OR(1201.2252="",1791.77266=""),"-",1791.77266/1201.2252*100)</f>
        <v>149.16209383552726</v>
      </c>
      <c r="D64" s="44">
        <f>IF(1201.2252="","-",1201.2252/861112.79978*100)</f>
        <v>0.13949684644182425</v>
      </c>
      <c r="E64" s="44">
        <f>IF(1791.77266="","-",1791.77266/1030835.33871*100)</f>
        <v>0.17381754318223572</v>
      </c>
      <c r="F64" s="44">
        <f>IF(OR(976123.13927="",2776.02218="",1201.2252=""),"-",(1201.2252-2776.02218)/976123.13927*100)</f>
        <v>-0.16133179479565682</v>
      </c>
      <c r="G64" s="44">
        <f>IF(OR(861112.79978="",1791.77266="",1201.2252=""),"-",(1791.77266-1201.2252)/861112.79978*100)</f>
        <v>0.06857957054533101</v>
      </c>
    </row>
    <row r="65" spans="1:7" s="20" customFormat="1" ht="39">
      <c r="A65" s="18" t="s">
        <v>97</v>
      </c>
      <c r="B65" s="42">
        <f>IF(27465.73891="","-",27465.73891)</f>
        <v>27465.73891</v>
      </c>
      <c r="C65" s="44">
        <f>IF(OR(20927.28377="",27465.73891=""),"-",27465.73891/20927.28377*100)</f>
        <v>131.24368748405425</v>
      </c>
      <c r="D65" s="44">
        <f>IF(20927.28377="","-",20927.28377/861112.79978*100)</f>
        <v>2.430260446174598</v>
      </c>
      <c r="E65" s="44">
        <f>IF(27465.73891="","-",27465.73891/1030835.33871*100)</f>
        <v>2.6644157295161186</v>
      </c>
      <c r="F65" s="44">
        <f>IF(OR(976123.13927="",27495.9269="",20927.28377=""),"-",(20927.28377-27495.9269)/976123.13927*100)</f>
        <v>-0.6729318121597242</v>
      </c>
      <c r="G65" s="44">
        <f>IF(OR(861112.79978="",27465.73891="",20927.28377=""),"-",(27465.73891-20927.28377)/861112.79978*100)</f>
        <v>0.7593029788513733</v>
      </c>
    </row>
    <row r="66" spans="1:7" s="20" customFormat="1" ht="26.25">
      <c r="A66" s="18" t="s">
        <v>98</v>
      </c>
      <c r="B66" s="42">
        <f>IF(8814.29687="","-",8814.29687)</f>
        <v>8814.29687</v>
      </c>
      <c r="C66" s="44">
        <f>IF(OR(6404.75167="",8814.29687=""),"-",8814.29687/6404.75167*100)</f>
        <v>137.6212119399783</v>
      </c>
      <c r="D66" s="44">
        <f>IF(6404.75167="","-",6404.75167/861112.79978*100)</f>
        <v>0.7437761547193709</v>
      </c>
      <c r="E66" s="44">
        <f>IF(8814.29687="","-",8814.29687/1030835.33871*100)</f>
        <v>0.8550635139294234</v>
      </c>
      <c r="F66" s="44">
        <f>IF(OR(976123.13927="",5777.02516="",6404.75167=""),"-",(6404.75167-5777.02516)/976123.13927*100)</f>
        <v>0.06430812719688715</v>
      </c>
      <c r="G66" s="44">
        <f>IF(OR(861112.79978="",8814.29687="",6404.75167=""),"-",(8814.29687-6404.75167)/861112.79978*100)</f>
        <v>0.2798176035259956</v>
      </c>
    </row>
    <row r="67" spans="1:7" s="20" customFormat="1" ht="39">
      <c r="A67" s="18" t="s">
        <v>99</v>
      </c>
      <c r="B67" s="42">
        <f>IF(21650.3999="","-",21650.3999)</f>
        <v>21650.3999</v>
      </c>
      <c r="C67" s="44" t="s">
        <v>255</v>
      </c>
      <c r="D67" s="44">
        <f>IF(11256.15532="","-",11256.15532/861112.79978*100)</f>
        <v>1.3071638608641933</v>
      </c>
      <c r="E67" s="44">
        <f>IF(21650.3999="","-",21650.3999/1030835.33871*100)</f>
        <v>2.100277230221228</v>
      </c>
      <c r="F67" s="44">
        <f>IF(OR(976123.13927="",20515.82384="",11256.15532=""),"-",(11256.15532-20515.82384)/976123.13927*100)</f>
        <v>-0.9486168442769325</v>
      </c>
      <c r="G67" s="44">
        <f>IF(OR(861112.79978="",21650.3999="",11256.15532=""),"-",(21650.3999-11256.15532)/861112.79978*100)</f>
        <v>1.2070711970203623</v>
      </c>
    </row>
    <row r="68" spans="1:7" s="20" customFormat="1" ht="38.25" customHeight="1">
      <c r="A68" s="18" t="s">
        <v>100</v>
      </c>
      <c r="B68" s="42">
        <f>IF(63379.5962="","-",63379.5962)</f>
        <v>63379.5962</v>
      </c>
      <c r="C68" s="44">
        <f>IF(OR(53199.41513="",63379.5962=""),"-",63379.5962/53199.41513*100)</f>
        <v>119.13588907908732</v>
      </c>
      <c r="D68" s="44">
        <f>IF(53199.41513="","-",53199.41513/861112.79978*100)</f>
        <v>6.177984480499137</v>
      </c>
      <c r="E68" s="44">
        <f>IF(63379.5962="","-",63379.5962/1030835.33871*100)</f>
        <v>6.1483724723013475</v>
      </c>
      <c r="F68" s="44">
        <f>IF(OR(976123.13927="",66771.12845="",53199.41513=""),"-",(53199.41513-66771.12845)/976123.13927*100)</f>
        <v>-1.390368978462051</v>
      </c>
      <c r="G68" s="44">
        <f>IF(OR(861112.79978="",63379.5962="",53199.41513=""),"-",(63379.5962-53199.41513)/861112.79978*100)</f>
        <v>1.182212257511544</v>
      </c>
    </row>
    <row r="69" spans="1:7" s="20" customFormat="1" ht="26.25">
      <c r="A69" s="18" t="s">
        <v>101</v>
      </c>
      <c r="B69" s="42">
        <f>IF(51883.62279="","-",51883.62279)</f>
        <v>51883.62279</v>
      </c>
      <c r="C69" s="44">
        <f>IF(OR(42820.05084="",51883.62279=""),"-",51883.62279/42820.05084*100)</f>
        <v>121.16665387406158</v>
      </c>
      <c r="D69" s="44">
        <f>IF(42820.05084="","-",42820.05084/861112.79978*100)</f>
        <v>4.972641313767466</v>
      </c>
      <c r="E69" s="44">
        <f>IF(51883.62279="","-",51883.62279/1030835.33871*100)</f>
        <v>5.03316299331839</v>
      </c>
      <c r="F69" s="44">
        <f>IF(OR(976123.13927="",43589.795="",42820.05084=""),"-",(42820.05084-43589.795)/976123.13927*100)</f>
        <v>-0.07885728029925126</v>
      </c>
      <c r="G69" s="44">
        <f>IF(OR(861112.79978="",51883.62279="",42820.05084=""),"-",(51883.62279-42820.05084)/861112.79978*100)</f>
        <v>1.0525417752837478</v>
      </c>
    </row>
    <row r="70" spans="1:7" s="20" customFormat="1" ht="15">
      <c r="A70" s="18" t="s">
        <v>102</v>
      </c>
      <c r="B70" s="42">
        <f>IF(466.40406="","-",466.40406)</f>
        <v>466.40406</v>
      </c>
      <c r="C70" s="44" t="s">
        <v>29</v>
      </c>
      <c r="D70" s="44">
        <f>IF(235.26599="","-",235.26599/861112.79978*100)</f>
        <v>0.027321158164192488</v>
      </c>
      <c r="E70" s="44">
        <f>IF(466.40406="","-",466.40406/1030835.33871*100)</f>
        <v>0.045245253289789594</v>
      </c>
      <c r="F70" s="44">
        <f>IF(OR(976123.13927="",948.95187="",235.26599=""),"-",(235.26599-948.95187)/976123.13927*100)</f>
        <v>-0.0731143286423611</v>
      </c>
      <c r="G70" s="44">
        <f>IF(OR(861112.79978="",466.40406="",235.26599=""),"-",(466.40406-235.26599)/861112.79978*100)</f>
        <v>0.02684178774941587</v>
      </c>
    </row>
    <row r="71" spans="1:7" s="20" customFormat="1" ht="13.5" customHeight="1">
      <c r="A71" s="19" t="s">
        <v>103</v>
      </c>
      <c r="B71" s="41">
        <f>IF(111547.419="","-",111547.419)</f>
        <v>111547.419</v>
      </c>
      <c r="C71" s="45">
        <f>IF(76456.56849="","-",111547.419/76456.56849*100)</f>
        <v>145.89644971391783</v>
      </c>
      <c r="D71" s="45">
        <f>IF(76456.56849="","-",76456.56849/861112.79978*100)</f>
        <v>8.878809896860595</v>
      </c>
      <c r="E71" s="45">
        <f>IF(111547.419="","-",111547.419/1030835.33871*100)</f>
        <v>10.821070525152136</v>
      </c>
      <c r="F71" s="45">
        <f>IF(976123.13927="","-",(76456.56849-87526.31954)/976123.13927*100)</f>
        <v>-1.134052723950236</v>
      </c>
      <c r="G71" s="45">
        <f>IF(861112.79978="","-",(111547.419-76456.56849)/861112.79978*100)</f>
        <v>4.075058519506982</v>
      </c>
    </row>
    <row r="72" spans="1:7" s="20" customFormat="1" ht="39">
      <c r="A72" s="18" t="s">
        <v>104</v>
      </c>
      <c r="B72" s="42">
        <f>IF(7071.3619="","-",7071.3619)</f>
        <v>7071.3619</v>
      </c>
      <c r="C72" s="44">
        <f>IF(OR(6003.78117="",7071.3619=""),"-",7071.3619/6003.78117*100)</f>
        <v>117.78180616133282</v>
      </c>
      <c r="D72" s="44">
        <f>IF(6003.78117="","-",6003.78117/861112.79978*100)</f>
        <v>0.6972119299044058</v>
      </c>
      <c r="E72" s="44">
        <f>IF(7071.3619="","-",7071.3619/1030835.33871*100)</f>
        <v>0.6859836517488029</v>
      </c>
      <c r="F72" s="44">
        <f>IF(OR(976123.13927="",6604.35575="",6003.78117=""),"-",(6003.78117-6604.35575)/976123.13927*100)</f>
        <v>-0.06152651810397027</v>
      </c>
      <c r="G72" s="44">
        <f>IF(OR(861112.79978="",7071.3619="",6003.78117=""),"-",(7071.3619-6003.78117)/861112.79978*100)</f>
        <v>0.12397687390928909</v>
      </c>
    </row>
    <row r="73" spans="1:7" s="20" customFormat="1" ht="15">
      <c r="A73" s="18" t="s">
        <v>105</v>
      </c>
      <c r="B73" s="42">
        <f>IF(10297.03581="","-",10297.03581)</f>
        <v>10297.03581</v>
      </c>
      <c r="C73" s="44">
        <f>IF(OR(8022.53824="",10297.03581=""),"-",10297.03581/8022.53824*100)</f>
        <v>128.35134594509577</v>
      </c>
      <c r="D73" s="44">
        <f>IF(8022.53824="","-",8022.53824/861112.79978*100)</f>
        <v>0.9316477750707718</v>
      </c>
      <c r="E73" s="44">
        <f>IF(10297.03581="","-",10297.03581/1030835.33871*100)</f>
        <v>0.9989020965158059</v>
      </c>
      <c r="F73" s="44">
        <f>IF(OR(976123.13927="",9260.10605="",8022.53824=""),"-",(8022.53824-9260.10605)/976123.13927*100)</f>
        <v>-0.1267839845416966</v>
      </c>
      <c r="G73" s="44">
        <f>IF(OR(861112.79978="",10297.03581="",8022.53824=""),"-",(10297.03581-8022.53824)/861112.79978*100)</f>
        <v>0.26413468370010246</v>
      </c>
    </row>
    <row r="74" spans="1:7" s="20" customFormat="1" ht="15">
      <c r="A74" s="18" t="s">
        <v>106</v>
      </c>
      <c r="B74" s="42">
        <f>IF(6990.4251="","-",6990.4251)</f>
        <v>6990.4251</v>
      </c>
      <c r="C74" s="44" t="s">
        <v>247</v>
      </c>
      <c r="D74" s="44">
        <f>IF(1062.01573="","-",1062.01573/861112.79978*100)</f>
        <v>0.1233306171121051</v>
      </c>
      <c r="E74" s="44">
        <f>IF(6990.4251="","-",6990.4251/1030835.33871*100)</f>
        <v>0.6781320776941838</v>
      </c>
      <c r="F74" s="44">
        <f>IF(OR(976123.13927="",1034.52406="",1062.01573=""),"-",(1062.01573-1034.52406)/976123.13927*100)</f>
        <v>0.0028164141278896365</v>
      </c>
      <c r="G74" s="44">
        <f>IF(OR(861112.79978="",6990.4251="",1062.01573=""),"-",(6990.4251-1062.01573)/861112.79978*100)</f>
        <v>0.6884590928754758</v>
      </c>
    </row>
    <row r="75" spans="1:7" s="20" customFormat="1" ht="15">
      <c r="A75" s="18" t="s">
        <v>107</v>
      </c>
      <c r="B75" s="42">
        <f>IF(28765.48471="","-",28765.48471)</f>
        <v>28765.48471</v>
      </c>
      <c r="C75" s="44">
        <f>IF(OR(20141.72428="",28765.48471=""),"-",28765.48471/20141.72428*100)</f>
        <v>142.81540304155135</v>
      </c>
      <c r="D75" s="44">
        <f>IF(20141.72428="","-",20141.72428/861112.79978*100)</f>
        <v>2.339034361717289</v>
      </c>
      <c r="E75" s="44">
        <f>IF(28765.48471="","-",28765.48471/1030835.33871*100)</f>
        <v>2.7905023847938195</v>
      </c>
      <c r="F75" s="44">
        <f>IF(OR(976123.13927="",17280.27381="",20141.72428=""),"-",(20141.72428-17280.27381)/976123.13927*100)</f>
        <v>0.29314441537980074</v>
      </c>
      <c r="G75" s="44">
        <f>IF(OR(861112.79978="",28765.48471="",20141.72428=""),"-",(28765.48471-20141.72428)/861112.79978*100)</f>
        <v>1.0014669892496348</v>
      </c>
    </row>
    <row r="76" spans="1:7" s="20" customFormat="1" ht="15">
      <c r="A76" s="18" t="s">
        <v>108</v>
      </c>
      <c r="B76" s="42">
        <f>IF(10372.09054="","-",10372.09054)</f>
        <v>10372.09054</v>
      </c>
      <c r="C76" s="44" t="s">
        <v>255</v>
      </c>
      <c r="D76" s="44">
        <f>IF(5480.14611="","-",5480.14611/861112.79978*100)</f>
        <v>0.6364028163790024</v>
      </c>
      <c r="E76" s="44">
        <f>IF(10372.09054="","-",10372.09054/1030835.33871*100)</f>
        <v>1.0061830585842895</v>
      </c>
      <c r="F76" s="44">
        <f>IF(OR(976123.13927="",5136.4916="",5480.14611=""),"-",(5480.14611-5136.4916)/976123.13927*100)</f>
        <v>0.03520606122061645</v>
      </c>
      <c r="G76" s="44">
        <f>IF(OR(861112.79978="",10372.09054="",5480.14611=""),"-",(10372.09054-5480.14611)/861112.79978*100)</f>
        <v>0.568095658460751</v>
      </c>
    </row>
    <row r="77" spans="1:7" s="20" customFormat="1" ht="26.25">
      <c r="A77" s="18" t="s">
        <v>109</v>
      </c>
      <c r="B77" s="42">
        <f>IF(10201.79532="","-",10201.79532)</f>
        <v>10201.79532</v>
      </c>
      <c r="C77" s="44">
        <f>IF(OR(6833.64751="",10201.79532=""),"-",10201.79532/6833.64751*100)</f>
        <v>149.28770184694525</v>
      </c>
      <c r="D77" s="44">
        <f>IF(6833.64751="","-",6833.64751/861112.79978*100)</f>
        <v>0.7935833158845024</v>
      </c>
      <c r="E77" s="44">
        <f>IF(10201.79532="","-",10201.79532/1030835.33871*100)</f>
        <v>0.9896629400352778</v>
      </c>
      <c r="F77" s="44">
        <f>IF(OR(976123.13927="",19954.25997="",6833.64751=""),"-",(6833.64751-19954.25997)/976123.13927*100)</f>
        <v>-1.3441554586865274</v>
      </c>
      <c r="G77" s="44">
        <f>IF(OR(861112.79978="",10201.79532="",6833.64751=""),"-",(10201.79532-6833.64751)/861112.79978*100)</f>
        <v>0.3911389786402554</v>
      </c>
    </row>
    <row r="78" spans="1:7" ht="26.25">
      <c r="A78" s="12" t="s">
        <v>110</v>
      </c>
      <c r="B78" s="42">
        <f>IF(2436.22425="","-",2436.22425)</f>
        <v>2436.22425</v>
      </c>
      <c r="C78" s="44" t="s">
        <v>255</v>
      </c>
      <c r="D78" s="44">
        <f>IF(1316.40109="","-",1316.40109/861112.79978*100)</f>
        <v>0.152872084857677</v>
      </c>
      <c r="E78" s="44">
        <f>IF(2436.22425="","-",2436.22425/1030835.33871*100)</f>
        <v>0.23633495656529596</v>
      </c>
      <c r="F78" s="44">
        <f>IF(OR(976123.13927="",1847.47128="",1316.40109=""),"-",(1316.40109-1847.47128)/976123.13927*100)</f>
        <v>-0.05440606503777425</v>
      </c>
      <c r="G78" s="44">
        <f>IF(OR(861112.79978="",2436.22425="",1316.40109=""),"-",(2436.22425-1316.40109)/861112.79978*100)</f>
        <v>0.13004372485069277</v>
      </c>
    </row>
    <row r="79" spans="1:7" ht="15">
      <c r="A79" s="13" t="s">
        <v>111</v>
      </c>
      <c r="B79" s="47">
        <f>IF(35413.00137="","-",35413.00137)</f>
        <v>35413.00137</v>
      </c>
      <c r="C79" s="48">
        <f>IF(OR(27596.31436="",35413.00137=""),"-",35413.00137/27596.31436*100)</f>
        <v>128.3251122161807</v>
      </c>
      <c r="D79" s="48">
        <f>IF(27596.31436="","-",27596.31436/861112.79978*100)</f>
        <v>3.2047269959348417</v>
      </c>
      <c r="E79" s="48">
        <f>IF(35413.00137="","-",35413.00137/1030835.33871*100)</f>
        <v>3.43536935921466</v>
      </c>
      <c r="F79" s="48">
        <f>IF(OR(976123.13927="",26408.83702="",27596.31436=""),"-",(27596.31436-26408.83702)/976123.13927*100)</f>
        <v>0.12165241169142489</v>
      </c>
      <c r="G79" s="48">
        <f>IF(OR(861112.79978="",35413.00137="",27596.31436=""),"-",(35413.00137-27596.31436)/861112.79978*100)</f>
        <v>0.9077425178207816</v>
      </c>
    </row>
    <row r="80" ht="15">
      <c r="A80" s="14" t="s">
        <v>121</v>
      </c>
    </row>
  </sheetData>
  <sheetProtection/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83"/>
  <sheetViews>
    <sheetView zoomScalePageLayoutView="0" workbookViewId="0" topLeftCell="A1">
      <selection activeCell="A1" sqref="A1:D1"/>
    </sheetView>
  </sheetViews>
  <sheetFormatPr defaultColWidth="9.00390625" defaultRowHeight="15.75"/>
  <cols>
    <col min="1" max="1" width="46.375" style="0" customWidth="1"/>
    <col min="2" max="2" width="12.125" style="0" customWidth="1"/>
    <col min="3" max="3" width="11.875" style="0" customWidth="1"/>
    <col min="4" max="4" width="16.25390625" style="0" customWidth="1"/>
  </cols>
  <sheetData>
    <row r="1" spans="1:4" ht="15.75">
      <c r="A1" s="61" t="s">
        <v>122</v>
      </c>
      <c r="B1" s="61"/>
      <c r="C1" s="61"/>
      <c r="D1" s="61"/>
    </row>
    <row r="2" spans="1:4" ht="15.75">
      <c r="A2" s="61" t="s">
        <v>39</v>
      </c>
      <c r="B2" s="61"/>
      <c r="C2" s="61"/>
      <c r="D2" s="61"/>
    </row>
    <row r="3" ht="15">
      <c r="A3" s="6"/>
    </row>
    <row r="4" spans="1:5" ht="25.5" customHeight="1">
      <c r="A4" s="71"/>
      <c r="B4" s="76" t="s">
        <v>216</v>
      </c>
      <c r="C4" s="66"/>
      <c r="D4" s="67" t="s">
        <v>217</v>
      </c>
      <c r="E4" s="1"/>
    </row>
    <row r="5" spans="1:5" ht="24" customHeight="1">
      <c r="A5" s="72"/>
      <c r="B5" s="25">
        <v>2016</v>
      </c>
      <c r="C5" s="24">
        <v>2017</v>
      </c>
      <c r="D5" s="77"/>
      <c r="E5" s="1"/>
    </row>
    <row r="6" spans="1:4" ht="15">
      <c r="A6" s="9" t="s">
        <v>212</v>
      </c>
      <c r="B6" s="40">
        <f>IF(-444597.27471="","-",-444597.27471)</f>
        <v>-444597.27471</v>
      </c>
      <c r="C6" s="40">
        <f>IF(-502648.37077="","-",-502648.37077)</f>
        <v>-502648.37077</v>
      </c>
      <c r="D6" s="51">
        <f>IF(-444597.27471="","-",-502648.37077/-444597.27471*100)</f>
        <v>113.05700672543826</v>
      </c>
    </row>
    <row r="7" spans="1:4" ht="15">
      <c r="A7" s="10" t="s">
        <v>35</v>
      </c>
      <c r="B7" s="35"/>
      <c r="C7" s="35"/>
      <c r="D7" s="35"/>
    </row>
    <row r="8" spans="1:4" ht="15">
      <c r="A8" s="11" t="s">
        <v>40</v>
      </c>
      <c r="B8" s="52">
        <f>IF(-16134.98276="","-",-16134.98276)</f>
        <v>-16134.98276</v>
      </c>
      <c r="C8" s="52">
        <f>IF(682.71211="","-",682.71211)</f>
        <v>682.71211</v>
      </c>
      <c r="D8" s="58" t="s">
        <v>36</v>
      </c>
    </row>
    <row r="9" spans="1:4" ht="15">
      <c r="A9" s="10" t="s">
        <v>41</v>
      </c>
      <c r="B9" s="54">
        <f>IF(OR(850.89069="",850.89069=0),"-",850.89069)</f>
        <v>850.89069</v>
      </c>
      <c r="C9" s="54">
        <f>IF(OR(730.05312="",730.05312=0),"-",730.05312)</f>
        <v>730.05312</v>
      </c>
      <c r="D9" s="59">
        <f>IF(OR(850.89069="",730.05312="",850.89069=0,730.05312=0),"-",730.05312/850.89069*100)</f>
        <v>85.79869642245117</v>
      </c>
    </row>
    <row r="10" spans="1:4" ht="15">
      <c r="A10" s="10" t="s">
        <v>42</v>
      </c>
      <c r="B10" s="54">
        <f>IF(OR(-3693.19091="",-3693.19091=0),"-",-3693.19091)</f>
        <v>-3693.19091</v>
      </c>
      <c r="C10" s="54">
        <f>IF(OR(-3050.45532="",-3050.45532=0),"-",-3050.45532)</f>
        <v>-3050.45532</v>
      </c>
      <c r="D10" s="55">
        <f>IF(OR(-3693.19091="",-3050.45532="",-3693.19091=0,-3050.45532=0),"-",-3050.45532/-3693.19091*100)</f>
        <v>82.59674071384521</v>
      </c>
    </row>
    <row r="11" spans="1:4" ht="15">
      <c r="A11" s="10" t="s">
        <v>43</v>
      </c>
      <c r="B11" s="54">
        <f>IF(OR(-5673.08119="",-5673.08119=0),"-",-5673.08119)</f>
        <v>-5673.08119</v>
      </c>
      <c r="C11" s="54">
        <f>IF(OR(-8370.6034="",-8370.6034=0),"-",-8370.6034)</f>
        <v>-8370.6034</v>
      </c>
      <c r="D11" s="55">
        <f>IF(OR(-5673.08119="",-8370.6034="",-5673.08119=0,-8370.6034=0),"-",-8370.6034/-5673.08119*100)</f>
        <v>147.54950827700034</v>
      </c>
    </row>
    <row r="12" spans="1:4" ht="15">
      <c r="A12" s="10" t="s">
        <v>44</v>
      </c>
      <c r="B12" s="54">
        <f>IF(OR(-9407.47213="",-9407.47213=0),"-",-9407.47213)</f>
        <v>-9407.47213</v>
      </c>
      <c r="C12" s="54">
        <f>IF(OR(-9604.77003="",-9604.77003=0),"-",-9604.77003)</f>
        <v>-9604.77003</v>
      </c>
      <c r="D12" s="55">
        <f>IF(OR(-9407.47213="",-9604.77003="",-9407.47213=0,-9604.77003=0),"-",-9604.77003/-9407.47213*100)</f>
        <v>102.09724671275747</v>
      </c>
    </row>
    <row r="13" spans="1:4" ht="15">
      <c r="A13" s="10" t="s">
        <v>45</v>
      </c>
      <c r="B13" s="54">
        <f>IF(OR(1506.43621="",1506.43621=0),"-",1506.43621)</f>
        <v>1506.43621</v>
      </c>
      <c r="C13" s="54">
        <f>IF(OR(17357.97471="",17357.97471=0),"-",17357.97471)</f>
        <v>17357.97471</v>
      </c>
      <c r="D13" s="59" t="s">
        <v>248</v>
      </c>
    </row>
    <row r="14" spans="1:4" ht="15">
      <c r="A14" s="10" t="s">
        <v>46</v>
      </c>
      <c r="B14" s="54">
        <f>IF(OR(19054.9227="",19054.9227=0),"-",19054.9227)</f>
        <v>19054.9227</v>
      </c>
      <c r="C14" s="54">
        <f>IF(OR(30640.06499="",30640.06499=0),"-",30640.06499)</f>
        <v>30640.06499</v>
      </c>
      <c r="D14" s="55" t="s">
        <v>254</v>
      </c>
    </row>
    <row r="15" spans="1:4" ht="15">
      <c r="A15" s="10" t="s">
        <v>47</v>
      </c>
      <c r="B15" s="54">
        <f>IF(OR(2465.7966="",2465.7966=0),"-",2465.7966)</f>
        <v>2465.7966</v>
      </c>
      <c r="C15" s="54">
        <f>IF(OR(-3690.11987="",-3690.11987=0),"-",-3690.11987)</f>
        <v>-3690.11987</v>
      </c>
      <c r="D15" s="59" t="s">
        <v>36</v>
      </c>
    </row>
    <row r="16" spans="1:4" ht="15">
      <c r="A16" s="10" t="s">
        <v>48</v>
      </c>
      <c r="B16" s="54">
        <f>IF(OR(-7444.05221="",-7444.05221=0),"-",-7444.05221)</f>
        <v>-7444.05221</v>
      </c>
      <c r="C16" s="54">
        <f>IF(OR(-7028.94423="",-7028.94423=0),"-",-7028.94423)</f>
        <v>-7028.94423</v>
      </c>
      <c r="D16" s="55">
        <f>IF(OR(-7444.05221="",-7028.94423="",-7444.05221=0,-7028.94423=0),"-",-7028.94423/-7444.05221*100)</f>
        <v>94.42362884770795</v>
      </c>
    </row>
    <row r="17" spans="1:4" ht="15">
      <c r="A17" s="10" t="s">
        <v>49</v>
      </c>
      <c r="B17" s="54">
        <f>IF(OR(-969.63253="",-969.63253=0),"-",-969.63253)</f>
        <v>-969.63253</v>
      </c>
      <c r="C17" s="54">
        <f>IF(OR(-1515.30919="",-1515.30919=0),"-",-1515.30919)</f>
        <v>-1515.30919</v>
      </c>
      <c r="D17" s="55">
        <f>IF(OR(-969.63253="",-1515.30919="",-969.63253=0,-1515.30919=0),"-",-1515.30919/-969.63253*100)</f>
        <v>156.27664533903373</v>
      </c>
    </row>
    <row r="18" spans="1:4" ht="15">
      <c r="A18" s="10" t="s">
        <v>50</v>
      </c>
      <c r="B18" s="54">
        <f>IF(OR(-12825.59999="",-12825.59999=0),"-",-12825.59999)</f>
        <v>-12825.59999</v>
      </c>
      <c r="C18" s="54">
        <f>IF(OR(-14785.17867="",-14785.17867=0),"-",-14785.17867)</f>
        <v>-14785.17867</v>
      </c>
      <c r="D18" s="55">
        <f>IF(OR(-12825.59999="",-14785.17867="",-12825.59999=0,-14785.17867=0),"-",-14785.17867/-12825.59999*100)</f>
        <v>115.27865114714216</v>
      </c>
    </row>
    <row r="19" spans="1:4" ht="15">
      <c r="A19" s="11" t="s">
        <v>51</v>
      </c>
      <c r="B19" s="52">
        <f>IF(13176.01071="","-",13176.01071)</f>
        <v>13176.01071</v>
      </c>
      <c r="C19" s="52">
        <f>IF(21278.79856="","-",21278.79856)</f>
        <v>21278.79856</v>
      </c>
      <c r="D19" s="53" t="s">
        <v>254</v>
      </c>
    </row>
    <row r="20" spans="1:4" ht="15">
      <c r="A20" s="10" t="s">
        <v>52</v>
      </c>
      <c r="B20" s="54">
        <f>IF(OR(24140.34356="",24140.34356=0),"-",24140.34356)</f>
        <v>24140.34356</v>
      </c>
      <c r="C20" s="54">
        <f>IF(OR(28287.83671="",28287.83671=0),"-",28287.83671)</f>
        <v>28287.83671</v>
      </c>
      <c r="D20" s="55">
        <f>IF(OR(24140.34356="",28287.83671="",24140.34356=0,28287.83671=0),"-",28287.83671/24140.34356*100)</f>
        <v>117.18075444821878</v>
      </c>
    </row>
    <row r="21" spans="1:4" ht="15">
      <c r="A21" s="10" t="s">
        <v>53</v>
      </c>
      <c r="B21" s="54">
        <f>IF(OR(-10964.33285="",-10964.33285=0),"-",-10964.33285)</f>
        <v>-10964.33285</v>
      </c>
      <c r="C21" s="54">
        <f>IF(OR(-7009.03815="",-7009.03815=0),"-",-7009.03815)</f>
        <v>-7009.03815</v>
      </c>
      <c r="D21" s="55">
        <f>IF(OR(-10964.33285="",-7009.03815="",-10964.33285=0,-7009.03815=0),"-",-7009.03815/-10964.33285*100)</f>
        <v>63.92580602840783</v>
      </c>
    </row>
    <row r="22" spans="1:4" ht="15">
      <c r="A22" s="11" t="s">
        <v>54</v>
      </c>
      <c r="B22" s="52">
        <f>IF(10238.37542="","-",10238.37542)</f>
        <v>10238.37542</v>
      </c>
      <c r="C22" s="52">
        <f>IF(28628.48596="","-",28628.48596)</f>
        <v>28628.48596</v>
      </c>
      <c r="D22" s="58" t="s">
        <v>191</v>
      </c>
    </row>
    <row r="23" spans="1:4" ht="15">
      <c r="A23" s="10" t="s">
        <v>55</v>
      </c>
      <c r="B23" s="54">
        <f>IF(OR(1003.56089="",1003.56089=0),"-",1003.56089)</f>
        <v>1003.56089</v>
      </c>
      <c r="C23" s="54">
        <f>IF(OR(930.53113="",930.53113=0),"-",930.53113)</f>
        <v>930.53113</v>
      </c>
      <c r="D23" s="55">
        <f>IF(OR(1003.56089="",930.53113="",1003.56089=0,930.53113=0),"-",930.53113/1003.56089*100)</f>
        <v>92.72293682150168</v>
      </c>
    </row>
    <row r="24" spans="1:4" ht="15">
      <c r="A24" s="10" t="s">
        <v>56</v>
      </c>
      <c r="B24" s="54">
        <f>IF(OR(20572.03917="",20572.03917=0),"-",20572.03917)</f>
        <v>20572.03917</v>
      </c>
      <c r="C24" s="54">
        <f>IF(OR(38607.22042="",38607.22042=0),"-",38607.22042)</f>
        <v>38607.22042</v>
      </c>
      <c r="D24" s="55" t="s">
        <v>255</v>
      </c>
    </row>
    <row r="25" spans="1:4" ht="15">
      <c r="A25" s="10" t="s">
        <v>57</v>
      </c>
      <c r="B25" s="54">
        <f>IF(OR(-150.46219="",-150.46219=0),"-",-150.46219)</f>
        <v>-150.46219</v>
      </c>
      <c r="C25" s="54">
        <f>IF(OR(-158.51546="",-158.51546=0),"-",-158.51546)</f>
        <v>-158.51546</v>
      </c>
      <c r="D25" s="55">
        <f>IF(OR(-150.46219="",-158.51546="",-150.46219=0,-158.51546=0),"-",-158.51546/-150.46219*100)</f>
        <v>105.35235463474247</v>
      </c>
    </row>
    <row r="26" spans="1:4" ht="15">
      <c r="A26" s="10" t="s">
        <v>58</v>
      </c>
      <c r="B26" s="54">
        <f>IF(OR(-3956.40668="",-3956.40668=0),"-",-3956.40668)</f>
        <v>-3956.40668</v>
      </c>
      <c r="C26" s="54">
        <f>IF(OR(-5280.21073="",-5280.21073=0),"-",-5280.21073)</f>
        <v>-5280.21073</v>
      </c>
      <c r="D26" s="55">
        <f>IF(OR(-3956.40668="",-5280.21073="",-3956.40668=0,-5280.21073=0),"-",-5280.21073/-3956.40668*100)</f>
        <v>133.45975672045927</v>
      </c>
    </row>
    <row r="27" spans="1:4" ht="15">
      <c r="A27" s="10" t="s">
        <v>59</v>
      </c>
      <c r="B27" s="54">
        <f>IF(OR(417.33526="",417.33526=0),"-",417.33526)</f>
        <v>417.33526</v>
      </c>
      <c r="C27" s="54">
        <f>IF(OR(502.33703="",502.33703=0),"-",502.33703)</f>
        <v>502.33703</v>
      </c>
      <c r="D27" s="55">
        <f>IF(OR(417.33526="",502.33703="",417.33526=0,502.33703=0),"-",502.33703/417.33526*100)</f>
        <v>120.36774223198874</v>
      </c>
    </row>
    <row r="28" spans="1:4" ht="26.25">
      <c r="A28" s="10" t="s">
        <v>60</v>
      </c>
      <c r="B28" s="54">
        <f>IF(OR(-1377.7401="",-1377.7401=0),"-",-1377.7401)</f>
        <v>-1377.7401</v>
      </c>
      <c r="C28" s="54">
        <f>IF(OR(-1856.40894="",-1856.40894=0),"-",-1856.40894)</f>
        <v>-1856.40894</v>
      </c>
      <c r="D28" s="55">
        <f>IF(OR(-1377.7401="",-1856.40894="",-1377.7401=0,-1856.40894=0),"-",-1856.40894/-1377.7401*100)</f>
        <v>134.74304333596737</v>
      </c>
    </row>
    <row r="29" spans="1:4" ht="26.25">
      <c r="A29" s="10" t="s">
        <v>61</v>
      </c>
      <c r="B29" s="54">
        <f>IF(OR(-600.76453="",-600.76453=0),"-",-600.76453)</f>
        <v>-600.76453</v>
      </c>
      <c r="C29" s="54">
        <f>IF(OR(354.64132="",354.64132=0),"-",354.64132)</f>
        <v>354.64132</v>
      </c>
      <c r="D29" s="55" t="s">
        <v>36</v>
      </c>
    </row>
    <row r="30" spans="1:4" ht="15">
      <c r="A30" s="10" t="s">
        <v>62</v>
      </c>
      <c r="B30" s="54">
        <f>IF(OR(2388.75191="",2388.75191=0),"-",2388.75191)</f>
        <v>2388.75191</v>
      </c>
      <c r="C30" s="54">
        <f>IF(OR(3891.74735="",3891.74735=0),"-",3891.74735)</f>
        <v>3891.74735</v>
      </c>
      <c r="D30" s="55" t="s">
        <v>260</v>
      </c>
    </row>
    <row r="31" spans="1:4" ht="15">
      <c r="A31" s="10" t="s">
        <v>63</v>
      </c>
      <c r="B31" s="54">
        <f>IF(OR(-8057.93831="",-8057.93831=0),"-",-8057.93831)</f>
        <v>-8057.93831</v>
      </c>
      <c r="C31" s="54">
        <f>IF(OR(-8362.85616="",-8362.85616=0),"-",-8362.85616)</f>
        <v>-8362.85616</v>
      </c>
      <c r="D31" s="55">
        <f>IF(OR(-8057.93831="",-8362.85616="",-8057.93831=0,-8362.85616=0),"-",-8362.85616/-8057.93831*100)</f>
        <v>103.78406781324688</v>
      </c>
    </row>
    <row r="32" spans="1:4" ht="15">
      <c r="A32" s="11" t="s">
        <v>64</v>
      </c>
      <c r="B32" s="52">
        <f>IF(-155450.36972="","-",-155450.36972)</f>
        <v>-155450.36972</v>
      </c>
      <c r="C32" s="52">
        <f>IF(-171641.72781="","-",-171641.72781)</f>
        <v>-171641.72781</v>
      </c>
      <c r="D32" s="58">
        <f>IF(-155450.36972="","-",-171641.72781/-155450.36972*100)</f>
        <v>110.41577329096366</v>
      </c>
    </row>
    <row r="33" spans="1:4" ht="15">
      <c r="A33" s="10" t="s">
        <v>65</v>
      </c>
      <c r="B33" s="54">
        <f>IF(OR(-587.75139="",-587.75139=0),"-",-587.75139)</f>
        <v>-587.75139</v>
      </c>
      <c r="C33" s="54">
        <f>IF(OR(-3402.01981="",-3402.01981=0),"-",-3402.01981)</f>
        <v>-3402.01981</v>
      </c>
      <c r="D33" s="59" t="s">
        <v>246</v>
      </c>
    </row>
    <row r="34" spans="1:4" ht="15">
      <c r="A34" s="10" t="s">
        <v>66</v>
      </c>
      <c r="B34" s="54">
        <f>IF(OR(-53160.80032="",-53160.80032=0),"-",-53160.80032)</f>
        <v>-53160.80032</v>
      </c>
      <c r="C34" s="54">
        <f>IF(OR(-90699.4382="",-90699.4382=0),"-",-90699.4382)</f>
        <v>-90699.4382</v>
      </c>
      <c r="D34" s="55" t="s">
        <v>253</v>
      </c>
    </row>
    <row r="35" spans="1:4" ht="15">
      <c r="A35" s="10" t="s">
        <v>67</v>
      </c>
      <c r="B35" s="54">
        <f>IF(OR(-101452.17538="",-101452.17538=0),"-",-101452.17538)</f>
        <v>-101452.17538</v>
      </c>
      <c r="C35" s="54">
        <f>IF(OR(-77540.80896="",-77540.80896=0),"-",-77540.80896)</f>
        <v>-77540.80896</v>
      </c>
      <c r="D35" s="55">
        <f>IF(OR(-101452.17538="",-77540.80896="",-101452.17538=0,-77540.80896=0),"-",-77540.80896/-101452.17538*100)</f>
        <v>76.43089827257285</v>
      </c>
    </row>
    <row r="36" spans="1:4" ht="15">
      <c r="A36" s="10" t="s">
        <v>68</v>
      </c>
      <c r="B36" s="54">
        <f>IF(OR(-249.64263="",-249.64263=0),"-",-249.64263)</f>
        <v>-249.64263</v>
      </c>
      <c r="C36" s="54">
        <f>IF(OR(0.53916="",0.53916=0),"-",0.53916)</f>
        <v>0.53916</v>
      </c>
      <c r="D36" s="59" t="s">
        <v>36</v>
      </c>
    </row>
    <row r="37" spans="1:4" ht="15">
      <c r="A37" s="11" t="s">
        <v>69</v>
      </c>
      <c r="B37" s="52">
        <f>IF(11623.45115="","-",11623.45115)</f>
        <v>11623.45115</v>
      </c>
      <c r="C37" s="52">
        <f>IF(10521.1408="","-",10521.1408)</f>
        <v>10521.1408</v>
      </c>
      <c r="D37" s="58">
        <f>IF(11623.45115="","-",10521.1408/11623.45115*100)</f>
        <v>90.51649690118066</v>
      </c>
    </row>
    <row r="38" spans="1:4" ht="15">
      <c r="A38" s="10" t="s">
        <v>70</v>
      </c>
      <c r="B38" s="54">
        <f>IF(OR(-120.10258="",-120.10258=0),"-",-120.10258)</f>
        <v>-120.10258</v>
      </c>
      <c r="C38" s="54">
        <f>IF(OR(-169.4773="",-169.4773=0),"-",-169.4773)</f>
        <v>-169.4773</v>
      </c>
      <c r="D38" s="55">
        <f>IF(OR(-120.10258="",-169.4773="",-120.10258=0,-169.4773=0),"-",-169.4773/-120.10258*100)</f>
        <v>141.1104574106568</v>
      </c>
    </row>
    <row r="39" spans="1:4" ht="15">
      <c r="A39" s="10" t="s">
        <v>71</v>
      </c>
      <c r="B39" s="54">
        <f>IF(OR(12063.9263="",12063.9263=0),"-",12063.9263)</f>
        <v>12063.9263</v>
      </c>
      <c r="C39" s="54">
        <f>IF(OR(11276.84073="",11276.84073=0),"-",11276.84073)</f>
        <v>11276.84073</v>
      </c>
      <c r="D39" s="55">
        <f>IF(OR(12063.9263="",11276.84073="",12063.9263=0,11276.84073=0),"-",11276.84073/12063.9263*100)</f>
        <v>93.47570972810072</v>
      </c>
    </row>
    <row r="40" spans="1:4" ht="26.25">
      <c r="A40" s="10" t="s">
        <v>72</v>
      </c>
      <c r="B40" s="54">
        <f>IF(OR(-320.37257="",-320.37257=0),"-",-320.37257)</f>
        <v>-320.37257</v>
      </c>
      <c r="C40" s="54">
        <f>IF(OR(-586.22263="",-586.22263=0),"-",-586.22263)</f>
        <v>-586.22263</v>
      </c>
      <c r="D40" s="55" t="s">
        <v>252</v>
      </c>
    </row>
    <row r="41" spans="1:4" ht="26.25">
      <c r="A41" s="11" t="s">
        <v>73</v>
      </c>
      <c r="B41" s="52">
        <f>IF(-113864.20986="","-",-113864.20986)</f>
        <v>-113864.20986</v>
      </c>
      <c r="C41" s="52">
        <f>IF(-143867.22786="","-",-143867.22786)</f>
        <v>-143867.22786</v>
      </c>
      <c r="D41" s="53">
        <f>IF(-113864.20986="","-",-143867.22786/-113864.20986*100)</f>
        <v>126.34982321213116</v>
      </c>
    </row>
    <row r="42" spans="1:4" ht="15">
      <c r="A42" s="10" t="s">
        <v>74</v>
      </c>
      <c r="B42" s="54">
        <f>IF(OR(236.25749="",236.25749=0),"-",236.25749)</f>
        <v>236.25749</v>
      </c>
      <c r="C42" s="54">
        <f>IF(OR(1598.89182="",1598.89182=0),"-",1598.89182)</f>
        <v>1598.89182</v>
      </c>
      <c r="D42" s="59" t="s">
        <v>249</v>
      </c>
    </row>
    <row r="43" spans="1:4" ht="15">
      <c r="A43" s="10" t="s">
        <v>75</v>
      </c>
      <c r="B43" s="54">
        <f>IF(OR(-2943.0097="",-2943.0097=0),"-",-2943.0097)</f>
        <v>-2943.0097</v>
      </c>
      <c r="C43" s="54">
        <f>IF(OR(-2611.43616="",-2611.43616=0),"-",-2611.43616)</f>
        <v>-2611.43616</v>
      </c>
      <c r="D43" s="55">
        <f>IF(OR(-2943.0097="",-2611.43616="",-2943.0097=0,-2611.43616=0),"-",-2611.43616/-2943.0097*100)</f>
        <v>88.73352201319622</v>
      </c>
    </row>
    <row r="44" spans="1:4" ht="15">
      <c r="A44" s="10" t="s">
        <v>76</v>
      </c>
      <c r="B44" s="54">
        <f>IF(OR(-4116.08204="",-4116.08204=0),"-",-4116.08204)</f>
        <v>-4116.08204</v>
      </c>
      <c r="C44" s="54">
        <f>IF(OR(-4523.25084="",-4523.25084=0),"-",-4523.25084)</f>
        <v>-4523.25084</v>
      </c>
      <c r="D44" s="55">
        <f>IF(OR(-4116.08204="",-4523.25084="",-4116.08204=0,-4523.25084=0),"-",-4523.25084/-4116.08204*100)</f>
        <v>109.89214490972583</v>
      </c>
    </row>
    <row r="45" spans="1:4" ht="15">
      <c r="A45" s="10" t="s">
        <v>77</v>
      </c>
      <c r="B45" s="54">
        <f>IF(OR(-23570.4929="",-23570.4929=0),"-",-23570.4929)</f>
        <v>-23570.4929</v>
      </c>
      <c r="C45" s="54">
        <f>IF(OR(-36346.1734="",-36346.1734=0),"-",-36346.1734)</f>
        <v>-36346.1734</v>
      </c>
      <c r="D45" s="55">
        <f>IF(OR(-23570.4929="",-36346.1734="",-23570.4929=0,-36346.1734=0),"-",-36346.1734/-23570.4929*100)</f>
        <v>154.2020082235955</v>
      </c>
    </row>
    <row r="46" spans="1:4" ht="26.25">
      <c r="A46" s="10" t="s">
        <v>78</v>
      </c>
      <c r="B46" s="54">
        <f>IF(OR(-15454.3838="",-15454.3838=0),"-",-15454.3838)</f>
        <v>-15454.3838</v>
      </c>
      <c r="C46" s="54">
        <f>IF(OR(-17404.96016="",-17404.96016=0),"-",-17404.96016)</f>
        <v>-17404.96016</v>
      </c>
      <c r="D46" s="55">
        <f>IF(OR(-15454.3838="",-17404.96016="",-15454.3838=0,-17404.96016=0),"-",-17404.96016/-15454.3838*100)</f>
        <v>112.6215084680374</v>
      </c>
    </row>
    <row r="47" spans="1:4" ht="15">
      <c r="A47" s="10" t="s">
        <v>79</v>
      </c>
      <c r="B47" s="54">
        <f>IF(OR(-18328.95081="",-18328.95081=0),"-",-18328.95081)</f>
        <v>-18328.95081</v>
      </c>
      <c r="C47" s="54">
        <f>IF(OR(-19333.65491="",-19333.65491=0),"-",-19333.65491)</f>
        <v>-19333.65491</v>
      </c>
      <c r="D47" s="55">
        <f>IF(OR(-18328.95081="",-19333.65491="",-18328.95081=0,-19333.65491=0),"-",-19333.65491/-18328.95081*100)</f>
        <v>105.48151451992469</v>
      </c>
    </row>
    <row r="48" spans="1:4" ht="15">
      <c r="A48" s="10" t="s">
        <v>80</v>
      </c>
      <c r="B48" s="54">
        <f>IF(OR(-7865.45997="",-7865.45997=0),"-",-7865.45997)</f>
        <v>-7865.45997</v>
      </c>
      <c r="C48" s="54">
        <f>IF(OR(-7834.28666="",-7834.28666=0),"-",-7834.28666)</f>
        <v>-7834.28666</v>
      </c>
      <c r="D48" s="55">
        <f>IF(OR(-7865.45997="",-7834.28666="",-7865.45997=0,-7834.28666=0),"-",-7834.28666/-7865.45997*100)</f>
        <v>99.60366831540813</v>
      </c>
    </row>
    <row r="49" spans="1:4" ht="15">
      <c r="A49" s="10" t="s">
        <v>81</v>
      </c>
      <c r="B49" s="54">
        <f>IF(OR(-14428.02254="",-14428.02254=0),"-",-14428.02254)</f>
        <v>-14428.02254</v>
      </c>
      <c r="C49" s="54">
        <f>IF(OR(-17201.11295="",-17201.11295=0),"-",-17201.11295)</f>
        <v>-17201.11295</v>
      </c>
      <c r="D49" s="55">
        <f>IF(OR(-14428.02254="",-17201.11295="",-14428.02254=0,-17201.11295=0),"-",-17201.11295/-14428.02254*100)</f>
        <v>119.22016965465593</v>
      </c>
    </row>
    <row r="50" spans="1:4" ht="15">
      <c r="A50" s="10" t="s">
        <v>82</v>
      </c>
      <c r="B50" s="54">
        <f>IF(OR(-27394.06559="",-27394.06559=0),"-",-27394.06559)</f>
        <v>-27394.06559</v>
      </c>
      <c r="C50" s="54">
        <f>IF(OR(-40211.2446="",-40211.2446=0),"-",-40211.2446)</f>
        <v>-40211.2446</v>
      </c>
      <c r="D50" s="55">
        <f>IF(OR(-27394.06559="",-40211.2446="",-27394.06559=0,-40211.2446=0),"-",-40211.2446/-27394.06559*100)</f>
        <v>146.78815916495</v>
      </c>
    </row>
    <row r="51" spans="1:4" ht="26.25">
      <c r="A51" s="11" t="s">
        <v>83</v>
      </c>
      <c r="B51" s="52">
        <f>IF(-131070.98407="","-",-131070.98407)</f>
        <v>-131070.98407</v>
      </c>
      <c r="C51" s="52">
        <f>IF(-146917.24953="","-",-146917.24953)</f>
        <v>-146917.24953</v>
      </c>
      <c r="D51" s="53">
        <f>IF(-131070.98407="","-",-146917.24953/-131070.98407*100)</f>
        <v>112.08983481159882</v>
      </c>
    </row>
    <row r="52" spans="1:4" ht="15">
      <c r="A52" s="10" t="s">
        <v>84</v>
      </c>
      <c r="B52" s="54">
        <f>IF(OR(-8001.19522="",-8001.19522=0),"-",-8001.19522)</f>
        <v>-8001.19522</v>
      </c>
      <c r="C52" s="54">
        <f>IF(OR(-8783.21779="",-8783.21779=0),"-",-8783.21779)</f>
        <v>-8783.21779</v>
      </c>
      <c r="D52" s="55">
        <f>IF(OR(-8001.19522="",-8783.21779="",-8001.19522=0,-8783.21779=0),"-",-8783.21779/-8001.19522*100)</f>
        <v>109.77382189157485</v>
      </c>
    </row>
    <row r="53" spans="1:4" ht="15">
      <c r="A53" s="10" t="s">
        <v>85</v>
      </c>
      <c r="B53" s="54">
        <f>IF(OR(-8888.11713="",-8888.11713=0),"-",-8888.11713)</f>
        <v>-8888.11713</v>
      </c>
      <c r="C53" s="54">
        <f>IF(OR(-11352.41487="",-11352.41487=0),"-",-11352.41487)</f>
        <v>-11352.41487</v>
      </c>
      <c r="D53" s="55">
        <f>IF(OR(-8888.11713="",-11352.41487="",-8888.11713=0,-11352.41487=0),"-",-11352.41487/-8888.11713*100)</f>
        <v>127.72575680491735</v>
      </c>
    </row>
    <row r="54" spans="1:4" ht="15">
      <c r="A54" s="10" t="s">
        <v>86</v>
      </c>
      <c r="B54" s="54">
        <f>IF(OR(-7286.47451="",-7286.47451=0),"-",-7286.47451)</f>
        <v>-7286.47451</v>
      </c>
      <c r="C54" s="54">
        <f>IF(OR(-9539.30152="",-9539.30152=0),"-",-9539.30152)</f>
        <v>-9539.30152</v>
      </c>
      <c r="D54" s="55">
        <f>IF(OR(-7286.47451="",-9539.30152="",-7286.47451=0,-9539.30152=0),"-",-9539.30152/-7286.47451*100)</f>
        <v>130.91792892307808</v>
      </c>
    </row>
    <row r="55" spans="1:4" ht="26.25">
      <c r="A55" s="10" t="s">
        <v>87</v>
      </c>
      <c r="B55" s="54">
        <f>IF(OR(-14718.281="",-14718.281=0),"-",-14718.281)</f>
        <v>-14718.281</v>
      </c>
      <c r="C55" s="54">
        <f>IF(OR(-16775.1167="",-16775.1167=0),"-",-16775.1167)</f>
        <v>-16775.1167</v>
      </c>
      <c r="D55" s="55">
        <f>IF(OR(-14718.281="",-16775.1167="",-14718.281=0,-16775.1167=0),"-",-16775.1167/-14718.281*100)</f>
        <v>113.97470057814493</v>
      </c>
    </row>
    <row r="56" spans="1:4" ht="26.25">
      <c r="A56" s="10" t="s">
        <v>88</v>
      </c>
      <c r="B56" s="54">
        <f>IF(OR(-37936.0426="",-37936.0426=0),"-",-37936.0426)</f>
        <v>-37936.0426</v>
      </c>
      <c r="C56" s="54">
        <f>IF(OR(-41001.87047="",-41001.87047=0),"-",-41001.87047)</f>
        <v>-41001.87047</v>
      </c>
      <c r="D56" s="55">
        <f>IF(OR(-37936.0426="",-41001.87047="",-37936.0426=0,-41001.87047=0),"-",-41001.87047/-37936.0426*100)</f>
        <v>108.08157008448742</v>
      </c>
    </row>
    <row r="57" spans="1:4" ht="15">
      <c r="A57" s="10" t="s">
        <v>89</v>
      </c>
      <c r="B57" s="54">
        <f>IF(OR(-12259.30447="",-12259.30447=0),"-",-12259.30447)</f>
        <v>-12259.30447</v>
      </c>
      <c r="C57" s="54">
        <f>IF(OR(-11978.49899="",-11978.49899=0),"-",-11978.49899)</f>
        <v>-11978.49899</v>
      </c>
      <c r="D57" s="55">
        <f>IF(OR(-12259.30447="",-11978.49899="",-12259.30447=0,-11978.49899=0),"-",-11978.49899/-12259.30447*100)</f>
        <v>97.70945015121238</v>
      </c>
    </row>
    <row r="58" spans="1:4" ht="15">
      <c r="A58" s="10" t="s">
        <v>90</v>
      </c>
      <c r="B58" s="54">
        <f>IF(OR(-14268.2193="",-14268.2193=0),"-",-14268.2193)</f>
        <v>-14268.2193</v>
      </c>
      <c r="C58" s="54">
        <f>IF(OR(-17061.50899="",-17061.50899=0),"-",-17061.50899)</f>
        <v>-17061.50899</v>
      </c>
      <c r="D58" s="55">
        <f>IF(OR(-14268.2193="",-17061.50899="",-14268.2193=0,-17061.50899=0),"-",-17061.50899/-14268.2193*100)</f>
        <v>119.57700278688594</v>
      </c>
    </row>
    <row r="59" spans="1:4" ht="15">
      <c r="A59" s="10" t="s">
        <v>91</v>
      </c>
      <c r="B59" s="54">
        <f>IF(OR(-11488.04879="",-11488.04879=0),"-",-11488.04879)</f>
        <v>-11488.04879</v>
      </c>
      <c r="C59" s="54">
        <f>IF(OR(-12022.67643="",-12022.67643=0),"-",-12022.67643)</f>
        <v>-12022.67643</v>
      </c>
      <c r="D59" s="55">
        <f>IF(OR(-11488.04879="",-12022.67643="",-11488.04879=0,-12022.67643=0),"-",-12022.67643/-11488.04879*100)</f>
        <v>104.65377236616</v>
      </c>
    </row>
    <row r="60" spans="1:4" ht="15">
      <c r="A60" s="10" t="s">
        <v>92</v>
      </c>
      <c r="B60" s="54">
        <f>IF(OR(-16225.30105="",-16225.30105=0),"-",-16225.30105)</f>
        <v>-16225.30105</v>
      </c>
      <c r="C60" s="54">
        <f>IF(OR(-18402.64377="",-18402.64377=0),"-",-18402.64377)</f>
        <v>-18402.64377</v>
      </c>
      <c r="D60" s="55">
        <f>IF(OR(-16225.30105="",-18402.64377="",-16225.30105=0,-18402.64377=0),"-",-18402.64377/-16225.30105*100)</f>
        <v>113.41942878773273</v>
      </c>
    </row>
    <row r="61" spans="1:4" ht="15">
      <c r="A61" s="11" t="s">
        <v>93</v>
      </c>
      <c r="B61" s="52">
        <f>IF(-92975.11475="","-",-92975.11475)</f>
        <v>-92975.11475</v>
      </c>
      <c r="C61" s="52">
        <f>IF(-109987.04387="","-",-109987.04387)</f>
        <v>-109987.04387</v>
      </c>
      <c r="D61" s="53">
        <f>IF(-92975.11475="","-",-109987.04387/-92975.11475*100)</f>
        <v>118.29729295386538</v>
      </c>
    </row>
    <row r="62" spans="1:4" ht="15">
      <c r="A62" s="10" t="s">
        <v>94</v>
      </c>
      <c r="B62" s="54">
        <f>IF(OR(-1491.80268="",-1491.80268=0),"-",-1491.80268)</f>
        <v>-1491.80268</v>
      </c>
      <c r="C62" s="54">
        <f>IF(OR(-2614.51634="",-2614.51634=0),"-",-2614.51634)</f>
        <v>-2614.51634</v>
      </c>
      <c r="D62" s="55" t="s">
        <v>252</v>
      </c>
    </row>
    <row r="63" spans="1:4" ht="15">
      <c r="A63" s="10" t="s">
        <v>95</v>
      </c>
      <c r="B63" s="54">
        <f>IF(OR(-22160.14495="",-22160.14495=0),"-",-22160.14495)</f>
        <v>-22160.14495</v>
      </c>
      <c r="C63" s="54">
        <f>IF(OR(-27538.82576="",-27538.82576=0),"-",-27538.82576)</f>
        <v>-27538.82576</v>
      </c>
      <c r="D63" s="55">
        <f>IF(OR(-22160.14495="",-27538.82576="",-22160.14495=0,-27538.82576=0),"-",-27538.82576/-22160.14495*100)</f>
        <v>124.27186655202811</v>
      </c>
    </row>
    <row r="64" spans="1:4" ht="15">
      <c r="A64" s="10" t="s">
        <v>96</v>
      </c>
      <c r="B64" s="54">
        <f>IF(OR(-906.49056="",-906.49056=0),"-",-906.49056)</f>
        <v>-906.49056</v>
      </c>
      <c r="C64" s="54">
        <f>IF(OR(-1452.64047="",-1452.64047=0),"-",-1452.64047)</f>
        <v>-1452.64047</v>
      </c>
      <c r="D64" s="55" t="s">
        <v>254</v>
      </c>
    </row>
    <row r="65" spans="1:4" ht="26.25">
      <c r="A65" s="10" t="s">
        <v>97</v>
      </c>
      <c r="B65" s="54">
        <f>IF(OR(-12533.56089="",-12533.56089=0),"-",-12533.56089)</f>
        <v>-12533.56089</v>
      </c>
      <c r="C65" s="54">
        <f>IF(OR(-21552.27608="",-21552.27608=0),"-",-21552.27608)</f>
        <v>-21552.27608</v>
      </c>
      <c r="D65" s="55" t="s">
        <v>253</v>
      </c>
    </row>
    <row r="66" spans="1:4" ht="13.5" customHeight="1">
      <c r="A66" s="10" t="s">
        <v>98</v>
      </c>
      <c r="B66" s="54">
        <f>IF(OR(-6238.10587="",-6238.10587=0),"-",-6238.10587)</f>
        <v>-6238.10587</v>
      </c>
      <c r="C66" s="54">
        <f>IF(OR(-8609.51601="",-8609.51601=0),"-",-8609.51601)</f>
        <v>-8609.51601</v>
      </c>
      <c r="D66" s="55">
        <f>IF(OR(-6238.10587="",-8609.51601="",-6238.10587=0,-8609.51601=0),"-",-8609.51601/-6238.10587*100)</f>
        <v>138.0149069191735</v>
      </c>
    </row>
    <row r="67" spans="1:4" ht="26.25">
      <c r="A67" s="10" t="s">
        <v>99</v>
      </c>
      <c r="B67" s="54">
        <f>IF(OR(-10788.02883="",-10788.02883=0),"-",-10788.02883)</f>
        <v>-10788.02883</v>
      </c>
      <c r="C67" s="54">
        <f>IF(OR(-21030.08488="",-21030.08488=0),"-",-21030.08488)</f>
        <v>-21030.08488</v>
      </c>
      <c r="D67" s="55" t="s">
        <v>255</v>
      </c>
    </row>
    <row r="68" spans="1:4" ht="26.25">
      <c r="A68" s="10" t="s">
        <v>100</v>
      </c>
      <c r="B68" s="54">
        <f>IF(OR(-1234.43147="",-1234.43147=0),"-",-1234.43147)</f>
        <v>-1234.43147</v>
      </c>
      <c r="C68" s="54">
        <f>IF(OR(6134.15049="",6134.15049=0),"-",6134.15049)</f>
        <v>6134.15049</v>
      </c>
      <c r="D68" s="59" t="s">
        <v>36</v>
      </c>
    </row>
    <row r="69" spans="1:4" ht="15">
      <c r="A69" s="10" t="s">
        <v>101</v>
      </c>
      <c r="B69" s="54">
        <f>IF(OR(-37585.11182="",-37585.11182=0),"-",-37585.11182)</f>
        <v>-37585.11182</v>
      </c>
      <c r="C69" s="54">
        <f>IF(OR(-44627.59299="",-44627.59299=0),"-",-44627.59299)</f>
        <v>-44627.59299</v>
      </c>
      <c r="D69" s="55">
        <f>IF(OR(-37585.11182="",-44627.59299="",-37585.11182=0,-44627.59299=0),"-",-44627.59299/-37585.11182*100)</f>
        <v>118.73742242334507</v>
      </c>
    </row>
    <row r="70" spans="1:4" ht="15">
      <c r="A70" s="10" t="s">
        <v>102</v>
      </c>
      <c r="B70" s="54">
        <f>IF(OR(-37.43768="",-37.43768=0),"-",-37.43768)</f>
        <v>-37.43768</v>
      </c>
      <c r="C70" s="54">
        <f>IF(OR(11304.25817="",11304.25817=0),"-",11304.25817)</f>
        <v>11304.25817</v>
      </c>
      <c r="D70" s="59" t="s">
        <v>36</v>
      </c>
    </row>
    <row r="71" spans="1:4" ht="15">
      <c r="A71" s="11" t="s">
        <v>103</v>
      </c>
      <c r="B71" s="52">
        <f>IF(31796.5252="","-",31796.5252)</f>
        <v>31796.5252</v>
      </c>
      <c r="C71" s="52">
        <f>IF(8687.26523="","-",8687.26523)</f>
        <v>8687.26523</v>
      </c>
      <c r="D71" s="53">
        <f>IF(31796.5252="","-",8687.26523/31796.5252*100)</f>
        <v>27.321429544131448</v>
      </c>
    </row>
    <row r="72" spans="1:4" ht="26.25">
      <c r="A72" s="10" t="s">
        <v>104</v>
      </c>
      <c r="B72" s="54">
        <f>IF(OR(-5091.21733="",-5091.21733=0),"-",-5091.21733)</f>
        <v>-5091.21733</v>
      </c>
      <c r="C72" s="54">
        <f>IF(OR(-4642.53595="",-4642.53595=0),"-",-4642.53595)</f>
        <v>-4642.53595</v>
      </c>
      <c r="D72" s="55">
        <f>IF(OR(-5091.21733="",-4642.53595="",-5091.21733=0,-4642.53595=0),"-",-4642.53595/-5091.21733*100)</f>
        <v>91.18714934135409</v>
      </c>
    </row>
    <row r="73" spans="1:4" ht="15">
      <c r="A73" s="10" t="s">
        <v>105</v>
      </c>
      <c r="B73" s="54">
        <f>IF(OR(20021.67487="",20021.67487=0),"-",20021.67487)</f>
        <v>20021.67487</v>
      </c>
      <c r="C73" s="54">
        <f>IF(OR(19177.1584="",19177.1584=0),"-",19177.1584)</f>
        <v>19177.1584</v>
      </c>
      <c r="D73" s="55">
        <f>IF(OR(20021.67487="",19177.1584="",20021.67487=0,19177.1584=0),"-",19177.1584/20021.67487*100)</f>
        <v>95.78198889212109</v>
      </c>
    </row>
    <row r="74" spans="1:4" ht="15">
      <c r="A74" s="10" t="s">
        <v>106</v>
      </c>
      <c r="B74" s="54">
        <f>IF(OR(2206.40056="",2206.40056=0),"-",2206.40056)</f>
        <v>2206.40056</v>
      </c>
      <c r="C74" s="54">
        <f>IF(OR(-3990.99827="",-3990.99827=0),"-",-3990.99827)</f>
        <v>-3990.99827</v>
      </c>
      <c r="D74" s="59" t="s">
        <v>36</v>
      </c>
    </row>
    <row r="75" spans="1:4" ht="15">
      <c r="A75" s="10" t="s">
        <v>107</v>
      </c>
      <c r="B75" s="54">
        <f>IF(OR(35436.5458="",35436.5458=0),"-",35436.5458)</f>
        <v>35436.5458</v>
      </c>
      <c r="C75" s="54">
        <f>IF(OR(33497.43047="",33497.43047=0),"-",33497.43047)</f>
        <v>33497.43047</v>
      </c>
      <c r="D75" s="59">
        <f>IF(OR(35436.5458="",33497.43047="",35436.5458=0,33497.43047=0),"-",33497.43047/35436.5458*100)</f>
        <v>94.52792227283055</v>
      </c>
    </row>
    <row r="76" spans="1:4" ht="15">
      <c r="A76" s="10" t="s">
        <v>108</v>
      </c>
      <c r="B76" s="54">
        <f>IF(OR(2189.31484="",2189.31484=0),"-",2189.31484)</f>
        <v>2189.31484</v>
      </c>
      <c r="C76" s="54">
        <f>IF(OR(-2093.45057="",-2093.45057=0),"-",-2093.45057)</f>
        <v>-2093.45057</v>
      </c>
      <c r="D76" s="59" t="s">
        <v>36</v>
      </c>
    </row>
    <row r="77" spans="1:4" ht="15">
      <c r="A77" s="10" t="s">
        <v>109</v>
      </c>
      <c r="B77" s="54">
        <f>IF(OR(-397.41162="",-397.41162=0),"-",-397.41162)</f>
        <v>-397.41162</v>
      </c>
      <c r="C77" s="54">
        <f>IF(OR(-5178.06286="",-5178.06286=0),"-",-5178.06286)</f>
        <v>-5178.06286</v>
      </c>
      <c r="D77" s="59" t="s">
        <v>250</v>
      </c>
    </row>
    <row r="78" spans="1:4" ht="26.25">
      <c r="A78" s="10" t="s">
        <v>110</v>
      </c>
      <c r="B78" s="54">
        <f>IF(OR(-1068.97192="",-1068.97192=0),"-",-1068.97192)</f>
        <v>-1068.97192</v>
      </c>
      <c r="C78" s="54">
        <f>IF(OR(-1871.62252="",-1871.62252=0),"-",-1871.62252)</f>
        <v>-1871.62252</v>
      </c>
      <c r="D78" s="55" t="s">
        <v>252</v>
      </c>
    </row>
    <row r="79" spans="1:4" ht="15">
      <c r="A79" s="13" t="s">
        <v>111</v>
      </c>
      <c r="B79" s="47">
        <f>IF(OR(-21499.81="",-21499.81=0),"-",-21499.81)</f>
        <v>-21499.81</v>
      </c>
      <c r="C79" s="47">
        <f>IF(OR(-26210.65347="",-26210.65347=0),"-",-26210.65347)</f>
        <v>-26210.65347</v>
      </c>
      <c r="D79" s="48">
        <f>IF(OR(-21499.81="",-26210.65347="",-21499.81=0,-26210.65347=0),"-",-26210.65347/-21499.81*100)</f>
        <v>121.91109349338436</v>
      </c>
    </row>
    <row r="80" spans="1:4" ht="15">
      <c r="A80" s="5" t="s">
        <v>30</v>
      </c>
      <c r="B80" s="26"/>
      <c r="C80" s="26"/>
      <c r="D80" s="27"/>
    </row>
    <row r="81" spans="2:4" ht="15">
      <c r="B81" s="28"/>
      <c r="C81" s="28"/>
      <c r="D81" s="29"/>
    </row>
    <row r="82" spans="2:4" ht="15">
      <c r="B82" s="28"/>
      <c r="C82" s="28"/>
      <c r="D82" s="29"/>
    </row>
    <row r="83" spans="2:4" ht="15">
      <c r="B83" s="28"/>
      <c r="C83" s="28"/>
      <c r="D83" s="29"/>
    </row>
  </sheetData>
  <sheetProtection/>
  <mergeCells count="5">
    <mergeCell ref="A1:D1"/>
    <mergeCell ref="A2:D2"/>
    <mergeCell ref="A4:A5"/>
    <mergeCell ref="B4:C4"/>
    <mergeCell ref="D4:D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TatianaGrosu</dc:creator>
  <cp:keywords/>
  <dc:description/>
  <cp:lastModifiedBy>Doina Vudvud</cp:lastModifiedBy>
  <cp:lastPrinted>2017-05-04T12:27:15Z</cp:lastPrinted>
  <dcterms:created xsi:type="dcterms:W3CDTF">2016-09-01T07:59:47Z</dcterms:created>
  <dcterms:modified xsi:type="dcterms:W3CDTF">2017-05-04T13:48:30Z</dcterms:modified>
  <cp:category/>
  <cp:version/>
  <cp:contentType/>
  <cp:contentStatus/>
</cp:coreProperties>
</file>