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<sst xmlns="http://schemas.openxmlformats.org/spreadsheetml/2006/main" count="726" uniqueCount="282">
  <si>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</si>
  <si>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</si>
  <si>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</si>
  <si>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</si>
  <si>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</si>
  <si>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</si>
  <si>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</si>
  <si>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</si>
  <si>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</si>
  <si>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</si>
  <si>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</si>
  <si>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</si>
  <si>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</si>
  <si>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</si>
  <si>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</si>
  <si>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</si>
  <si>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</si>
  <si>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</si>
  <si>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</si>
  <si>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</si>
  <si>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</si>
  <si>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</si>
  <si>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</si>
  <si>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</si>
  <si>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</si>
  <si>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</si>
  <si>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</si>
  <si>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</si>
  <si>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</si>
  <si>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</si>
  <si>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</si>
  <si>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</si>
  <si>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</si>
  <si>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</si>
  <si>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</si>
  <si>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</si>
  <si>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</si>
  <si>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</si>
  <si>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</si>
  <si>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</si>
  <si>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</si>
  <si>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</si>
  <si>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</si>
  <si>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</si>
  <si>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</si>
  <si>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</si>
  <si>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</si>
  <si>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</si>
  <si>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</si>
  <si>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</si>
  <si>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</si>
  <si>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</si>
  <si>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</si>
  <si>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</si>
  <si>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</si>
  <si>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</si>
  <si>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</si>
  <si>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</si>
  <si>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</si>
  <si>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</si>
  <si>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</si>
  <si>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</si>
  <si>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</si>
  <si>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</si>
  <si>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</si>
  <si>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</si>
  <si>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</si>
  <si>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</si>
  <si>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</si>
  <si>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</si>
  <si>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</si>
  <si>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</si>
  <si>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</si>
  <si>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</si>
  <si>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</si>
  <si>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</si>
  <si>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</si>
  <si>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</si>
  <si>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</si>
  <si>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</si>
  <si>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</si>
  <si>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</si>
  <si>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</si>
  <si>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</si>
  <si>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</si>
  <si>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</si>
  <si>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</si>
  <si>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</si>
  <si>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</si>
  <si>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</si>
  <si>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</si>
  <si>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</si>
  <si>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</si>
  <si>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</si>
  <si>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</si>
  <si>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</si>
  <si>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</si>
  <si>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</si>
  <si>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</si>
  <si>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</si>
  <si>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</si>
  <si>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</si>
  <si>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</si>
  <si>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</si>
  <si>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</si>
  <si>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</si>
  <si>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</si>
  <si>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</si>
  <si>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</si>
  <si>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</si>
  <si>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</si>
  <si>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</si>
  <si>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</si>
  <si>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</si>
  <si>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</si>
  <si>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</si>
  <si>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</si>
  <si>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</si>
  <si>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</si>
  <si>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</si>
  <si>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</si>
  <si>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</si>
  <si>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</si>
  <si>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</si>
  <si>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</si>
  <si>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</si>
  <si>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</si>
  <si>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</si>
  <si>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</si>
  <si>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</si>
  <si>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</si>
  <si>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</si>
  <si>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</si>
  <si>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</si>
  <si>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</si>
  <si>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</si>
  <si>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</si>
  <si>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</si>
  <si>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</si>
  <si>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</si>
  <si>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</si>
  <si>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</si>
  <si>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</si>
  <si>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</si>
  <si>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</si>
  <si>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</si>
  <si>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</si>
  <si>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</si>
  <si>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</si>
  <si>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</si>
  <si>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</si>
  <si>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</si>
  <si>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</si>
  <si>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</si>
  <si>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</si>
  <si>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</si>
  <si>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</si>
  <si>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</si>
  <si>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</si>
  <si>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</si>
  <si>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</si>
  <si>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</si>
  <si>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</si>
  <si>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</si>
  <si>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</si>
  <si>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</si>
  <si>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</si>
  <si>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</si>
  <si>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</si>
  <si>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</si>
  <si>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</si>
  <si>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</si>
  <si>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</si>
  <si>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</si>
  <si>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</si>
  <si>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</si>
  <si>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</si>
  <si>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</si>
  <si>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</si>
  <si>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</si>
  <si>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</si>
  <si>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</si>
  <si>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</si>
  <si>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</si>
  <si>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</si>
  <si>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</si>
  <si>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</si>
  <si>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</si>
  <si>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</si>
  <si>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</si>
  <si>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</si>
  <si>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</si>
  <si>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</si>
  <si>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</si>
  <si>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</si>
  <si>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</si>
  <si>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</si>
  <si>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</si>
  <si>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</si>
  <si>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</si>
  <si>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</si>
  <si>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</si>
  <si>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</si>
  <si>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</si>
  <si>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</si>
  <si>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</si>
  <si>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</si>
  <si>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</si>
  <si>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</si>
  <si>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</si>
  <si>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</si>
  <si>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</si>
  <si>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</si>
  <si>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</si>
  <si>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</si>
  <si>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</si>
  <si>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</si>
  <si>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</si>
  <si>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</si>
  <si>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</si>
  <si>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</si>
  <si>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</si>
  <si>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</si>
  <si>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</si>
  <si>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</si>
  <si>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</si>
  <si>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</si>
  <si>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</si>
  <si>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Gibraltar</t>
  </si>
  <si>
    <t>Jamaica</t>
  </si>
  <si>
    <t>Ponderea, %</t>
  </si>
  <si>
    <t>Libia</t>
  </si>
  <si>
    <t>Zambia</t>
  </si>
  <si>
    <t>Swaziland</t>
  </si>
  <si>
    <t>Senegal</t>
  </si>
  <si>
    <t>de 2,9 ori</t>
  </si>
  <si>
    <t>ins.Bahamas</t>
  </si>
  <si>
    <t>Guinea</t>
  </si>
  <si>
    <t>de 2,3 ori</t>
  </si>
  <si>
    <t>Etiopia</t>
  </si>
  <si>
    <t>Cuba</t>
  </si>
  <si>
    <t>Arabia Saudita</t>
  </si>
  <si>
    <t>Sudan</t>
  </si>
  <si>
    <t>de 4,4 ori</t>
  </si>
  <si>
    <t>Liechtenstein</t>
  </si>
  <si>
    <t>Trinidad Tobago</t>
  </si>
  <si>
    <t>de 4,6 ori</t>
  </si>
  <si>
    <t>Montenegro</t>
  </si>
  <si>
    <t>de 2,7 ori</t>
  </si>
  <si>
    <t>de 7,1 ori</t>
  </si>
  <si>
    <t>Mauritius</t>
  </si>
  <si>
    <t>Rep.Dominicană</t>
  </si>
  <si>
    <t>de 1700,6 ori</t>
  </si>
  <si>
    <t>de 5,7 ori</t>
  </si>
  <si>
    <t>Ianuarie-noiembrie 2017</t>
  </si>
  <si>
    <t>în % faţă de ianuarie-noiembrie 2016¹</t>
  </si>
  <si>
    <t>ianuarie-noiembrie</t>
  </si>
  <si>
    <t>Ianuarie-noiembrie</t>
  </si>
  <si>
    <t>Ianuarie-noiembrie 2017    în % faţă de                          ianuarie-noiembrie 2016</t>
  </si>
  <si>
    <t>Ianuarie-noiembrie 2017 în % faţă de              ianuarie-noiembrie 2016</t>
  </si>
  <si>
    <t>de 4,3 ori</t>
  </si>
  <si>
    <t>de 3,3 ori</t>
  </si>
  <si>
    <t>de 48,4 ori</t>
  </si>
  <si>
    <t>de 13,2 ori</t>
  </si>
  <si>
    <t>de 11,5 ori</t>
  </si>
  <si>
    <t>de 4,1 ori</t>
  </si>
  <si>
    <t>de 3,2 ori</t>
  </si>
  <si>
    <t>de 3,4 ori</t>
  </si>
  <si>
    <t>Paraguay</t>
  </si>
  <si>
    <t>de 11,4 ori</t>
  </si>
  <si>
    <t>de 8,0 ori</t>
  </si>
  <si>
    <t>de 14,0 ori</t>
  </si>
  <si>
    <t>de 3,6 ori</t>
  </si>
  <si>
    <t>de 5,3 ori</t>
  </si>
  <si>
    <t>de 5,9 ori</t>
  </si>
  <si>
    <t>de 46,3 ori</t>
  </si>
  <si>
    <t>de 7,8 ori</t>
  </si>
  <si>
    <t>de 6,0 ori</t>
  </si>
  <si>
    <t>Rep. Dominicană</t>
  </si>
  <si>
    <t>de 28,6 ori</t>
  </si>
  <si>
    <t>de 213,8 ori</t>
  </si>
  <si>
    <t>de 219,0 ori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</si>
</sst>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9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0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3.7539062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50" t="s">
        <v>28</v>
      </c>
      <c r="B1" s="50"/>
      <c r="C1" s="50"/>
      <c r="D1" s="50"/>
      <c r="E1" s="50"/>
      <c r="F1" s="50"/>
      <c r="G1" s="50"/>
    </row>
    <row r="3" spans="1:7" ht="55.5" customHeight="1">
      <c r="A3" s="51"/>
      <c r="B3" s="54" t="s">
        <v>254</v>
      </c>
      <c r="C3" s="55"/>
      <c r="D3" s="54" t="s">
        <v>230</v>
      </c>
      <c r="E3" s="55"/>
      <c r="F3" s="56" t="s">
        <v>1</v>
      </c>
      <c r="G3" s="57"/>
    </row>
    <row r="4" spans="1:7" ht="27" customHeight="1">
      <c r="A4" s="52"/>
      <c r="B4" s="58" t="s">
        <v>194</v>
      </c>
      <c r="C4" s="60" t="s">
        <v>255</v>
      </c>
      <c r="D4" s="62" t="s">
        <v>256</v>
      </c>
      <c r="E4" s="62"/>
      <c r="F4" s="62" t="s">
        <v>256</v>
      </c>
      <c r="G4" s="54"/>
    </row>
    <row r="5" spans="1:7" ht="31.5" customHeight="1">
      <c r="A5" s="53"/>
      <c r="B5" s="59"/>
      <c r="C5" s="61"/>
      <c r="D5" s="43">
        <v>2016</v>
      </c>
      <c r="E5" s="43">
        <v>2017</v>
      </c>
      <c r="F5" s="43" t="s">
        <v>2</v>
      </c>
      <c r="G5" s="42" t="s">
        <v>186</v>
      </c>
    </row>
    <row r="6" spans="1:7" ht="15.75" customHeight="1">
      <c r="A6" s="33" t="s">
        <v>31</v>
      </c>
      <c r="B6" s="34">
        <f>IF(2192069.6494="","-",2192069.6494)</f>
        <v>2192069.6494</v>
      </c>
      <c r="C6" s="34">
        <f>IF(1851128.77138="","-",2192069.6494/1851128.77138*100)</f>
        <v>118.41799896858778</v>
      </c>
      <c r="D6" s="34">
        <v>100</v>
      </c>
      <c r="E6" s="34">
        <v>100</v>
      </c>
      <c r="F6" s="34">
        <f>IF(1803364.51961="","-",(1851128.77138-1803364.51961)/1803364.51961*100)</f>
        <v>2.648618803941512</v>
      </c>
      <c r="G6" s="34">
        <f>IF(1851128.77138="","-",(2192069.6494-1851128.77138)/1851128.77138*100)</f>
        <v>18.417998968587774</v>
      </c>
    </row>
    <row r="7" spans="1:7" ht="13.5" customHeight="1">
      <c r="A7" s="14" t="s">
        <v>3</v>
      </c>
      <c r="B7" s="35"/>
      <c r="C7" s="36"/>
      <c r="D7" s="37"/>
      <c r="E7" s="37"/>
      <c r="F7" s="37"/>
      <c r="G7" s="37"/>
    </row>
    <row r="8" spans="1:7" ht="15.75" customHeight="1">
      <c r="A8" s="15" t="s">
        <v>4</v>
      </c>
      <c r="B8" s="26">
        <f>IF(1439719.32757="","-",1439719.32757)</f>
        <v>1439719.32757</v>
      </c>
      <c r="C8" s="26">
        <f>IF(1199698.31424="","-",1439719.32757/1199698.31424*100)</f>
        <v>120.00678091158706</v>
      </c>
      <c r="D8" s="26">
        <f>IF(1199698.31424="","-",1199698.31424/1851128.77138*100)</f>
        <v>64.80901452067192</v>
      </c>
      <c r="E8" s="26">
        <f>IF(1439719.32757="","-",1439719.32757/2192069.6494*100)</f>
        <v>65.67853936411515</v>
      </c>
      <c r="F8" s="26">
        <f>IF(1803364.51961="","-",(1199698.31424-1119362.57237)/1803364.51961*100)</f>
        <v>4.454770014404721</v>
      </c>
      <c r="G8" s="26">
        <f>IF(1851128.77138="","-",(1439719.32757-1199698.31424)/1851128.77138*100)</f>
        <v>12.966197546109473</v>
      </c>
    </row>
    <row r="9" spans="1:7" s="29" customFormat="1" ht="15.75">
      <c r="A9" s="45" t="s">
        <v>5</v>
      </c>
      <c r="B9" s="27">
        <f>IF(545899.21619="","-",545899.21619)</f>
        <v>545899.21619</v>
      </c>
      <c r="C9" s="27">
        <f>IF(OR(463381.88993="",545899.21619=""),"-",545899.21619/463381.88993*100)</f>
        <v>117.80762866508773</v>
      </c>
      <c r="D9" s="27">
        <f>IF(463381.88993="","-",463381.88993/1851128.77138*100)</f>
        <v>25.03239629215816</v>
      </c>
      <c r="E9" s="27">
        <f>IF(545899.21619="","-",545899.21619/2192069.6494*100)</f>
        <v>24.903370033859105</v>
      </c>
      <c r="F9" s="27">
        <f>IF(OR(1803364.51961="",414084.05131="",463381.88993=""),"-",(463381.88993-414084.05131)/1803364.51961*100)</f>
        <v>2.7336591179392427</v>
      </c>
      <c r="G9" s="27">
        <f>IF(OR(1851128.77138="",545899.21619="",463381.88993=""),"-",(545899.21619-463381.88993)/1851128.77138*100)</f>
        <v>4.457676177680714</v>
      </c>
    </row>
    <row r="10" spans="1:7" s="29" customFormat="1" ht="15.75">
      <c r="A10" s="45" t="s">
        <v>6</v>
      </c>
      <c r="B10" s="27">
        <f>IF(215220.30516="","-",215220.30516)</f>
        <v>215220.30516</v>
      </c>
      <c r="C10" s="27">
        <f>IF(OR(180786.11436="",215220.30516=""),"-",215220.30516/180786.11436*100)</f>
        <v>119.04692233797948</v>
      </c>
      <c r="D10" s="27">
        <f>IF(180786.11436="","-",180786.11436/1851128.77138*100)</f>
        <v>9.766263544444051</v>
      </c>
      <c r="E10" s="27">
        <f>IF(215220.30516="","-",215220.30516/2192069.6494*100)</f>
        <v>9.818132613574061</v>
      </c>
      <c r="F10" s="27">
        <f>IF(OR(1803364.51961="",180794.25469="",180786.11436=""),"-",(180786.11436-180794.25469)/1803364.51961*100)</f>
        <v>-0.00045139681475795957</v>
      </c>
      <c r="G10" s="27">
        <f>IF(OR(1851128.77138="",215220.30516="",180786.11436=""),"-",(215220.30516-180786.11436)/1851128.77138*100)</f>
        <v>1.860172632632661</v>
      </c>
    </row>
    <row r="11" spans="1:7" s="29" customFormat="1" ht="15.75">
      <c r="A11" s="45" t="s">
        <v>7</v>
      </c>
      <c r="B11" s="27">
        <f>IF(148684.13819="","-",148684.13819)</f>
        <v>148684.13819</v>
      </c>
      <c r="C11" s="27">
        <f>IF(OR(115548.75493="",148684.13819=""),"-",148684.13819/115548.75493*100)</f>
        <v>128.67653855731598</v>
      </c>
      <c r="D11" s="27">
        <f>IF(115548.75493="","-",115548.75493/1851128.77138*100)</f>
        <v>6.2420700664632545</v>
      </c>
      <c r="E11" s="27">
        <f>IF(148684.13819="","-",148684.13819/2192069.6494*100)</f>
        <v>6.78281998159579</v>
      </c>
      <c r="F11" s="27">
        <f>IF(OR(1803364.51961="",107330.21236="",115548.75493=""),"-",(115548.75493-107330.21236)/1803364.51961*100)</f>
        <v>0.4557338508454936</v>
      </c>
      <c r="G11" s="27">
        <f>IF(OR(1851128.77138="",148684.13819="",115548.75493=""),"-",(148684.13819-115548.75493)/1851128.77138*100)</f>
        <v>1.7900096293840146</v>
      </c>
    </row>
    <row r="12" spans="1:7" s="29" customFormat="1" ht="15.75">
      <c r="A12" s="45" t="s">
        <v>209</v>
      </c>
      <c r="B12" s="27">
        <f>IF(124278.69079="","-",124278.69079)</f>
        <v>124278.69079</v>
      </c>
      <c r="C12" s="27">
        <f>IF(OR(108695.66428="",124278.69079=""),"-",124278.69079/108695.66428*100)</f>
        <v>114.33638279247103</v>
      </c>
      <c r="D12" s="27">
        <f>IF(108695.66428="","-",108695.66428/1851128.77138*100)</f>
        <v>5.871858617321816</v>
      </c>
      <c r="E12" s="27">
        <f>IF(124278.69079="","-",124278.69079/2192069.6494*100)</f>
        <v>5.66946815873377</v>
      </c>
      <c r="F12" s="27">
        <f>IF(OR(1803364.51961="",130702.5984="",108695.66428=""),"-",(108695.66428-130702.5984)/1803364.51961*100)</f>
        <v>-1.2203264443041875</v>
      </c>
      <c r="G12" s="27">
        <f>IF(OR(1851128.77138="",124278.69079="",108695.66428=""),"-",(124278.69079-108695.66428)/1851128.77138*100)</f>
        <v>0.841812128411952</v>
      </c>
    </row>
    <row r="13" spans="1:7" s="29" customFormat="1" ht="15.75">
      <c r="A13" s="45" t="s">
        <v>8</v>
      </c>
      <c r="B13" s="27">
        <f>IF(93619.97692="","-",93619.97692)</f>
        <v>93619.97692</v>
      </c>
      <c r="C13" s="27">
        <f>IF(OR(66536.5062="",93619.97692=""),"-",93619.97692/66536.5062*100)</f>
        <v>140.70467817860865</v>
      </c>
      <c r="D13" s="27">
        <f>IF(66536.5062="","-",66536.5062/1851128.77138*100)</f>
        <v>3.594374806804911</v>
      </c>
      <c r="E13" s="27">
        <f>IF(93619.97692="","-",93619.97692/2192069.6494*100)</f>
        <v>4.270848645052181</v>
      </c>
      <c r="F13" s="27">
        <f>IF(OR(1803364.51961="",63391.68028="",66536.5062=""),"-",(66536.5062-63391.68028)/1803364.51961*100)</f>
        <v>0.17438659160712058</v>
      </c>
      <c r="G13" s="27">
        <f>IF(OR(1851128.77138="",93619.97692="",66536.5062=""),"-",(93619.97692-66536.5062)/1851128.77138*100)</f>
        <v>1.4630786976429258</v>
      </c>
    </row>
    <row r="14" spans="1:7" s="29" customFormat="1" ht="15.75">
      <c r="A14" s="45" t="s">
        <v>9</v>
      </c>
      <c r="B14" s="27">
        <f>IF(72018.45897="","-",72018.45897)</f>
        <v>72018.45897</v>
      </c>
      <c r="C14" s="27">
        <f>IF(OR(67171.72186="",72018.45897=""),"-",72018.45897/67171.72186*100)</f>
        <v>107.21544271278563</v>
      </c>
      <c r="D14" s="27">
        <f>IF(67171.72186="","-",67171.72186/1851128.77138*100)</f>
        <v>3.6286898512157038</v>
      </c>
      <c r="E14" s="27">
        <f>IF(72018.45897="","-",72018.45897/2192069.6494*100)</f>
        <v>3.2854092473618466</v>
      </c>
      <c r="F14" s="27">
        <f>IF(OR(1803364.51961="",24699.75419="",67171.72186=""),"-",(67171.72186-24699.75419)/1803364.51961*100)</f>
        <v>2.3551515629898883</v>
      </c>
      <c r="G14" s="27">
        <f>IF(OR(1851128.77138="",72018.45897="",67171.72186=""),"-",(72018.45897-67171.72186)/1851128.77138*100)</f>
        <v>0.26182603743913513</v>
      </c>
    </row>
    <row r="15" spans="1:7" s="31" customFormat="1" ht="15.75">
      <c r="A15" s="45" t="s">
        <v>200</v>
      </c>
      <c r="B15" s="27">
        <f>IF(42382.16085="","-",42382.16085)</f>
        <v>42382.16085</v>
      </c>
      <c r="C15" s="27">
        <f>IF(OR(38276.05057="",42382.16085=""),"-",42382.16085/38276.05057*100)</f>
        <v>110.72762267489082</v>
      </c>
      <c r="D15" s="27">
        <f>IF(38276.05057="","-",38276.05057/1851128.77138*100)</f>
        <v>2.0677140975700756</v>
      </c>
      <c r="E15" s="27">
        <f>IF(42382.16085="","-",42382.16085/2192069.6494*100)</f>
        <v>1.9334313059624082</v>
      </c>
      <c r="F15" s="27">
        <f>IF(OR(1803364.51961="",36301.64246="",38276.05057=""),"-",(38276.05057-36301.64246)/1803364.51961*100)</f>
        <v>0.1094846931127927</v>
      </c>
      <c r="G15" s="27">
        <f>IF(OR(1851128.77138="",42382.16085="",38276.05057=""),"-",(42382.16085-38276.05057)/1851128.77138*100)</f>
        <v>0.22181656638284175</v>
      </c>
    </row>
    <row r="16" spans="1:7" s="29" customFormat="1" ht="15.75">
      <c r="A16" s="45" t="s">
        <v>11</v>
      </c>
      <c r="B16" s="27">
        <f>IF(38267.03721="","-",38267.03721)</f>
        <v>38267.03721</v>
      </c>
      <c r="C16" s="27" t="s">
        <v>215</v>
      </c>
      <c r="D16" s="27">
        <f>IF(24232.25007="","-",24232.25007/1851128.77138*100)</f>
        <v>1.3090526409967185</v>
      </c>
      <c r="E16" s="27">
        <f>IF(38267.03721="","-",38267.03721/2192069.6494*100)</f>
        <v>1.7457035281919178</v>
      </c>
      <c r="F16" s="27">
        <f>IF(OR(1803364.51961="",20561.36784="",24232.25007=""),"-",(24232.25007-20561.36784)/1803364.51961*100)</f>
        <v>0.20355741671095276</v>
      </c>
      <c r="G16" s="27">
        <f>IF(OR(1851128.77138="",38267.03721="",24232.25007=""),"-",(38267.03721-24232.25007)/1851128.77138*100)</f>
        <v>0.7581745450121871</v>
      </c>
    </row>
    <row r="17" spans="1:7" s="29" customFormat="1" ht="15.75">
      <c r="A17" s="45" t="s">
        <v>12</v>
      </c>
      <c r="B17" s="27">
        <f>IF(27862.99243="","-",27862.99243)</f>
        <v>27862.99243</v>
      </c>
      <c r="C17" s="27">
        <f>IF(OR(25501.63062="",27862.99243=""),"-",27862.99243/25501.63062*100)</f>
        <v>109.2596502756497</v>
      </c>
      <c r="D17" s="27">
        <f>IF(25501.63062="","-",25501.63062/1851128.77138*100)</f>
        <v>1.3776259660741355</v>
      </c>
      <c r="E17" s="27">
        <f>IF(27862.99243="","-",27862.99243/2192069.6494*100)</f>
        <v>1.2710815296232256</v>
      </c>
      <c r="F17" s="27">
        <f>IF(OR(1803364.51961="",23170.84076="",25501.63062=""),"-",(25501.63062-23170.84076)/1803364.51961*100)</f>
        <v>0.12924674044846257</v>
      </c>
      <c r="G17" s="27">
        <f>IF(OR(1851128.77138="",27862.99243="",25501.63062=""),"-",(27862.99243-25501.63062)/1851128.77138*100)</f>
        <v>0.12756334656500554</v>
      </c>
    </row>
    <row r="18" spans="1:7" s="29" customFormat="1" ht="15.75">
      <c r="A18" s="45" t="s">
        <v>10</v>
      </c>
      <c r="B18" s="27">
        <f>IF(26974.6822099999="","-",26974.6822099999)</f>
        <v>26974.6822099999</v>
      </c>
      <c r="C18" s="27">
        <f>IF(OR(26675.42153="",26974.6822099999=""),"-",26974.6822099999/26675.42153*100)</f>
        <v>101.12185923533896</v>
      </c>
      <c r="D18" s="27">
        <f>IF(26675.42153="","-",26675.42153/1851128.77138*100)</f>
        <v>1.4410354342941638</v>
      </c>
      <c r="E18" s="27">
        <f>IF(26974.6822099999="","-",26974.6822099999/2192069.6494*100)</f>
        <v>1.2305577159641459</v>
      </c>
      <c r="F18" s="27">
        <f>IF(OR(1803364.51961="",25389.69251="",26675.42153=""),"-",(26675.42153-25389.69251)/1803364.51961*100)</f>
        <v>0.07129612488317412</v>
      </c>
      <c r="G18" s="27">
        <f>IF(OR(1851128.77138="",26974.6822099999="",26675.42153=""),"-",(26974.6822099999-26675.42153)/1851128.77138*100)</f>
        <v>0.016166389104135908</v>
      </c>
    </row>
    <row r="19" spans="1:7" s="29" customFormat="1" ht="15.75">
      <c r="A19" s="45" t="s">
        <v>13</v>
      </c>
      <c r="B19" s="27">
        <f>IF(23140.59284="","-",23140.59284)</f>
        <v>23140.59284</v>
      </c>
      <c r="C19" s="27">
        <f>IF(OR(24518.82211="",23140.59284=""),"-",23140.59284/24518.82211*100)</f>
        <v>94.37889282031257</v>
      </c>
      <c r="D19" s="27">
        <f>IF(24518.82211="","-",24518.82211/1851128.77138*100)</f>
        <v>1.324533575896043</v>
      </c>
      <c r="E19" s="27">
        <f>IF(23140.59284="","-",23140.59284/2192069.6494*100)</f>
        <v>1.0556504373085913</v>
      </c>
      <c r="F19" s="27">
        <f>IF(OR(1803364.51961="",22848.66788="",24518.82211=""),"-",(24518.82211-22848.66788)/1803364.51961*100)</f>
        <v>0.09261323552939767</v>
      </c>
      <c r="G19" s="27">
        <f>IF(OR(1851128.77138="",23140.59284="",24518.82211=""),"-",(23140.59284-24518.82211)/1851128.77138*100)</f>
        <v>-0.07445345193206317</v>
      </c>
    </row>
    <row r="20" spans="1:7" s="29" customFormat="1" ht="15.75">
      <c r="A20" s="45" t="s">
        <v>123</v>
      </c>
      <c r="B20" s="27">
        <f>IF(21943.36166="","-",21943.36166)</f>
        <v>21943.36166</v>
      </c>
      <c r="C20" s="27" t="s">
        <v>215</v>
      </c>
      <c r="D20" s="27">
        <f>IF(13607.16363="","-",13607.16363/1851128.77138*100)</f>
        <v>0.7350738554971505</v>
      </c>
      <c r="E20" s="27">
        <f>IF(21943.36166="","-",21943.36166/2192069.6494*100)</f>
        <v>1.0010339619457898</v>
      </c>
      <c r="F20" s="27">
        <f>IF(OR(1803364.51961="",13492.38046="",13607.16363=""),"-",(13607.16363-13492.38046)/1803364.51961*100)</f>
        <v>0.006364945564351131</v>
      </c>
      <c r="G20" s="27">
        <f>IF(OR(1851128.77138="",21943.36166="",13607.16363=""),"-",(21943.36166-13607.16363)/1851128.77138*100)</f>
        <v>0.4503305312350279</v>
      </c>
    </row>
    <row r="21" spans="1:7" s="29" customFormat="1" ht="15.75">
      <c r="A21" s="45" t="s">
        <v>124</v>
      </c>
      <c r="B21" s="27">
        <f>IF(11642.01511="","-",11642.01511)</f>
        <v>11642.01511</v>
      </c>
      <c r="C21" s="27">
        <f>IF(OR(8922.5979="",11642.01511=""),"-",11642.01511/8922.5979*100)</f>
        <v>130.47786351551267</v>
      </c>
      <c r="D21" s="27">
        <f>IF(8922.5979="","-",8922.5979/1851128.77138*100)</f>
        <v>0.48200849330153744</v>
      </c>
      <c r="E21" s="27">
        <f>IF(11642.01511="","-",11642.01511/2192069.6494*100)</f>
        <v>0.5310969527444798</v>
      </c>
      <c r="F21" s="27">
        <f>IF(OR(1803364.51961="",8596.4488="",8922.5979=""),"-",(8922.5979-8596.4488)/1803364.51961*100)</f>
        <v>0.018085589266807485</v>
      </c>
      <c r="G21" s="27">
        <f>IF(OR(1851128.77138="",11642.01511="",8922.5979=""),"-",(11642.01511-8922.5979)/1851128.77138*100)</f>
        <v>0.1469058907216216</v>
      </c>
    </row>
    <row r="22" spans="1:7" s="16" customFormat="1" ht="15.75">
      <c r="A22" s="45" t="s">
        <v>127</v>
      </c>
      <c r="B22" s="27">
        <f>IF(9351.27048="","-",9351.27048)</f>
        <v>9351.27048</v>
      </c>
      <c r="C22" s="27">
        <f>IF(OR(6509.97521="",9351.27048=""),"-",9351.27048/6509.97521*100)</f>
        <v>143.64525483346654</v>
      </c>
      <c r="D22" s="27">
        <f>IF(6509.97521="","-",6509.97521/1851128.77138*100)</f>
        <v>0.35167597795732336</v>
      </c>
      <c r="E22" s="27">
        <f>IF(9351.27048="","-",9351.27048/2192069.6494*100)</f>
        <v>0.42659549994497536</v>
      </c>
      <c r="F22" s="27">
        <f>IF(OR(1803364.51961="",8042.98443="",6509.97521=""),"-",(6509.97521-8042.98443)/1803364.51961*100)</f>
        <v>-0.08500828331321131</v>
      </c>
      <c r="G22" s="27">
        <f>IF(OR(1851128.77138="",9351.27048="",6509.97521=""),"-",(9351.27048-6509.97521)/1851128.77138*100)</f>
        <v>0.15348987676755946</v>
      </c>
    </row>
    <row r="23" spans="1:7" s="16" customFormat="1" ht="15.75">
      <c r="A23" s="45" t="s">
        <v>125</v>
      </c>
      <c r="B23" s="27">
        <f>IF(9248.79506="","-",9248.79506)</f>
        <v>9248.79506</v>
      </c>
      <c r="C23" s="27">
        <f>IF(OR(7692.74792="",9248.79506=""),"-",9248.79506/7692.74792*100)</f>
        <v>120.22745521082928</v>
      </c>
      <c r="D23" s="27">
        <f>IF(7692.74792="","-",7692.74792/1851128.77138*100)</f>
        <v>0.4155706528328185</v>
      </c>
      <c r="E23" s="27">
        <f>IF(9248.79506="","-",9248.79506/2192069.6494*100)</f>
        <v>0.4219206749444081</v>
      </c>
      <c r="F23" s="27">
        <f>IF(OR(1803364.51961="",3919.9816="",7692.74792=""),"-",(7692.74792-3919.9816)/1803364.51961*100)</f>
        <v>0.20920708370240682</v>
      </c>
      <c r="G23" s="27">
        <f>IF(OR(1851128.77138="",9248.79506="",7692.74792=""),"-",(9248.79506-7692.74792)/1851128.77138*100)</f>
        <v>0.08405936767110919</v>
      </c>
    </row>
    <row r="24" spans="1:7" s="29" customFormat="1" ht="15.75">
      <c r="A24" s="45" t="s">
        <v>126</v>
      </c>
      <c r="B24" s="27">
        <f>IF(7947.24793="","-",7947.24793)</f>
        <v>7947.24793</v>
      </c>
      <c r="C24" s="27">
        <f>IF(OR(6806.62971="",7947.24793=""),"-",7947.24793/6806.62971*100)</f>
        <v>116.75745954454162</v>
      </c>
      <c r="D24" s="27">
        <f>IF(6806.62971="","-",6806.62971/1851128.77138*100)</f>
        <v>0.3677015783686252</v>
      </c>
      <c r="E24" s="27">
        <f>IF(7947.24793="","-",7947.24793/2192069.6494*100)</f>
        <v>0.3625454114642422</v>
      </c>
      <c r="F24" s="27">
        <f>IF(OR(1803364.51961="",7899.11907="",6806.62971=""),"-",(6806.62971-7899.11907)/1803364.51961*100)</f>
        <v>-0.06058061740264602</v>
      </c>
      <c r="G24" s="27">
        <f>IF(OR(1851128.77138="",7947.24793="",6806.62971=""),"-",(7947.24793-6806.62971)/1851128.77138*100)</f>
        <v>0.061617443239763356</v>
      </c>
    </row>
    <row r="25" spans="1:7" s="29" customFormat="1" ht="15.75">
      <c r="A25" s="45" t="s">
        <v>130</v>
      </c>
      <c r="B25" s="27">
        <f>IF(7802.82751="","-",7802.82751)</f>
        <v>7802.82751</v>
      </c>
      <c r="C25" s="27" t="s">
        <v>185</v>
      </c>
      <c r="D25" s="27">
        <f>IF(2806.96274="","-",2806.96274/1851128.77138*100)</f>
        <v>0.1516351959624848</v>
      </c>
      <c r="E25" s="27">
        <f>IF(7802.82751="","-",7802.82751/2192069.6494*100)</f>
        <v>0.35595709799347586</v>
      </c>
      <c r="F25" s="27">
        <f>IF(OR(1803364.51961="",7005.03179="",2806.96274=""),"-",(2806.96274-7005.03179)/1803364.51961*100)</f>
        <v>-0.23279093074914683</v>
      </c>
      <c r="G25" s="27">
        <f>IF(OR(1851128.77138="",7802.82751="",2806.96274=""),"-",(7802.82751-2806.96274)/1851128.77138*100)</f>
        <v>0.2698820766680444</v>
      </c>
    </row>
    <row r="26" spans="1:7" s="16" customFormat="1" ht="15.75">
      <c r="A26" s="45" t="s">
        <v>128</v>
      </c>
      <c r="B26" s="27">
        <f>IF(5401.22322="","-",5401.22322)</f>
        <v>5401.22322</v>
      </c>
      <c r="C26" s="27">
        <f>IF(OR(4716.32722="",5401.22322=""),"-",5401.22322/4716.32722*100)</f>
        <v>114.52180834899745</v>
      </c>
      <c r="D26" s="27">
        <f>IF(4716.32722="","-",4716.32722/1851128.77138*100)</f>
        <v>0.2547811526090657</v>
      </c>
      <c r="E26" s="27">
        <f>IF(5401.22322="","-",5401.22322/2192069.6494*100)</f>
        <v>0.2463983396457494</v>
      </c>
      <c r="F26" s="27">
        <f>IF(OR(1803364.51961="",10080.28453="",4716.32722=""),"-",(4716.32722-10080.28453)/1803364.51961*100)</f>
        <v>-0.2974416570622129</v>
      </c>
      <c r="G26" s="27">
        <f>IF(OR(1851128.77138="",5401.22322="",4716.32722=""),"-",(5401.22322-4716.32722)/1851128.77138*100)</f>
        <v>0.03699883069125525</v>
      </c>
    </row>
    <row r="27" spans="1:7" s="16" customFormat="1" ht="15.75">
      <c r="A27" s="45" t="s">
        <v>129</v>
      </c>
      <c r="B27" s="27">
        <f>IF(3246.0644="","-",3246.0644)</f>
        <v>3246.0644</v>
      </c>
      <c r="C27" s="27">
        <f>IF(OR(3208.35578="",3246.0644=""),"-",3246.0644/3208.35578*100)</f>
        <v>101.17532538738583</v>
      </c>
      <c r="D27" s="27">
        <f>IF(3208.35578="","-",3208.35578/1851128.77138*100)</f>
        <v>0.17331888681132643</v>
      </c>
      <c r="E27" s="27">
        <f>IF(3246.0644="","-",3246.0644/2192069.6494*100)</f>
        <v>0.148082174345532</v>
      </c>
      <c r="F27" s="27">
        <f>IF(OR(1803364.51961="",3766.04637="",3208.35578=""),"-",(3208.35578-3766.04637)/1803364.51961*100)</f>
        <v>-0.030925006227837268</v>
      </c>
      <c r="G27" s="27">
        <f>IF(OR(1851128.77138="",3246.0644="",3208.35578=""),"-",(3246.0644-3208.35578)/1851128.77138*100)</f>
        <v>0.002037060877828013</v>
      </c>
    </row>
    <row r="28" spans="1:7" s="16" customFormat="1" ht="15.75">
      <c r="A28" s="45" t="s">
        <v>131</v>
      </c>
      <c r="B28" s="27">
        <f>IF(1329.42909="","-",1329.42909)</f>
        <v>1329.42909</v>
      </c>
      <c r="C28" s="27">
        <f>IF(OR(1094.20449="",1329.42909=""),"-",1329.42909/1094.20449*100)</f>
        <v>121.49731628317481</v>
      </c>
      <c r="D28" s="27">
        <f>IF(1094.20449="","-",1094.20449/1851128.77138*100)</f>
        <v>0.05911012280276322</v>
      </c>
      <c r="E28" s="27">
        <f>IF(1329.42909="","-",1329.42909/2192069.6494*100)</f>
        <v>0.06064721029114578</v>
      </c>
      <c r="F28" s="27">
        <f>IF(OR(1803364.51961="",2506.00191="",1094.20449=""),"-",(1094.20449-2506.00191)/1803364.51961*100)</f>
        <v>-0.07828685796176796</v>
      </c>
      <c r="G28" s="27">
        <f>IF(OR(1851128.77138="",1329.42909="",1094.20449=""),"-",(1329.42909-1094.20449)/1851128.77138*100)</f>
        <v>0.012707090054283051</v>
      </c>
    </row>
    <row r="29" spans="1:7" s="16" customFormat="1" ht="15.75">
      <c r="A29" s="45" t="s">
        <v>133</v>
      </c>
      <c r="B29" s="27">
        <f>IF(999.48714="","-",999.48714)</f>
        <v>999.48714</v>
      </c>
      <c r="C29" s="27">
        <f>IF(OR(663.19357="",999.48714=""),"-",999.48714/663.19357*100)</f>
        <v>150.7082072584027</v>
      </c>
      <c r="D29" s="27">
        <f>IF(663.19357="","-",663.19357/1851128.77138*100)</f>
        <v>0.03582644169619789</v>
      </c>
      <c r="E29" s="27">
        <f>IF(999.48714="","-",999.48714/2192069.6494*100)</f>
        <v>0.04559559228757049</v>
      </c>
      <c r="F29" s="27">
        <f>IF(OR(1803364.51961="",2902.43124="",663.19357=""),"-",(663.19357-2902.43124)/1803364.51961*100)</f>
        <v>-0.12416999700561165</v>
      </c>
      <c r="G29" s="27">
        <f>IF(OR(1851128.77138="",999.48714="",663.19357=""),"-",(999.48714-663.19357)/1851128.77138*100)</f>
        <v>0.018166946308618825</v>
      </c>
    </row>
    <row r="30" spans="1:7" s="16" customFormat="1" ht="15.75">
      <c r="A30" s="45" t="s">
        <v>201</v>
      </c>
      <c r="B30" s="27">
        <f>IF(788.18331="","-",788.18331)</f>
        <v>788.18331</v>
      </c>
      <c r="C30" s="27" t="s">
        <v>260</v>
      </c>
      <c r="D30" s="27">
        <f>IF(182.45162="","-",182.45162/1851128.77138*100)</f>
        <v>0.009856235979952055</v>
      </c>
      <c r="E30" s="27">
        <f>IF(788.18331="","-",788.18331/2192069.6494*100)</f>
        <v>0.03595612530905379</v>
      </c>
      <c r="F30" s="27">
        <f>IF(OR(1803364.51961="",192.20256="",182.45162=""),"-",(182.45162-192.20256)/1803364.51961*100)</f>
        <v>-0.0005407082092370751</v>
      </c>
      <c r="G30" s="27">
        <f>IF(OR(1851128.77138="",788.18331="",182.45162=""),"-",(788.18331-182.45162)/1851128.77138*100)</f>
        <v>0.03272228811766739</v>
      </c>
    </row>
    <row r="31" spans="1:7" s="16" customFormat="1" ht="15.75">
      <c r="A31" s="45" t="s">
        <v>134</v>
      </c>
      <c r="B31" s="27">
        <f>IF(653.25696="","-",653.25696)</f>
        <v>653.25696</v>
      </c>
      <c r="C31" s="27">
        <f>IF(OR(547.45044="",653.25696=""),"-",653.25696/547.45044*100)</f>
        <v>119.32714128424121</v>
      </c>
      <c r="D31" s="27">
        <f>IF(547.45044="","-",547.45044/1851128.77138*100)</f>
        <v>0.029573871275950216</v>
      </c>
      <c r="E31" s="27">
        <f>IF(653.25696="","-",653.25696/2192069.6494*100)</f>
        <v>0.029800921707884856</v>
      </c>
      <c r="F31" s="27">
        <f>IF(OR(1803364.51961="",223.1817="",547.45044=""),"-",(547.45044-223.1817)/1803364.51961*100)</f>
        <v>0.01798131972065898</v>
      </c>
      <c r="G31" s="27">
        <f>IF(OR(1851128.77138="",653.25696="",547.45044=""),"-",(653.25696-547.45044)/1851128.77138*100)</f>
        <v>0.005715783884722524</v>
      </c>
    </row>
    <row r="32" spans="1:7" s="16" customFormat="1" ht="15.75">
      <c r="A32" s="45" t="s">
        <v>136</v>
      </c>
      <c r="B32" s="27">
        <f>IF(614.71141="","-",614.71141)</f>
        <v>614.71141</v>
      </c>
      <c r="C32" s="27" t="s">
        <v>185</v>
      </c>
      <c r="D32" s="27">
        <f>IF(220.56376="","-",220.56376/1851128.77138*100)</f>
        <v>0.011915095449333418</v>
      </c>
      <c r="E32" s="27">
        <f>IF(614.71141="","-",614.71141/2192069.6494*100)</f>
        <v>0.028042512707944982</v>
      </c>
      <c r="F32" s="27">
        <f>IF(OR(1803364.51961="",215.82557="",220.56376=""),"-",(220.56376-215.82557)/1803364.51961*100)</f>
        <v>0.0002627416669495469</v>
      </c>
      <c r="G32" s="27">
        <f>IF(OR(1851128.77138="",614.71141="",220.56376=""),"-",(614.71141-220.56376)/1851128.77138*100)</f>
        <v>0.021292286959926965</v>
      </c>
    </row>
    <row r="33" spans="1:7" s="16" customFormat="1" ht="15.75">
      <c r="A33" s="45" t="s">
        <v>135</v>
      </c>
      <c r="B33" s="27">
        <f>IF(259.29212="","-",259.29212)</f>
        <v>259.29212</v>
      </c>
      <c r="C33" s="27">
        <f>IF(OR(391.97037="",259.29212=""),"-",259.29212/391.97037*100)</f>
        <v>66.15094911383225</v>
      </c>
      <c r="D33" s="27">
        <f>IF(391.97037="","-",391.97037/1851128.77138*100)</f>
        <v>0.02117466791398794</v>
      </c>
      <c r="E33" s="27">
        <f>IF(259.29212="","-",259.29212/2192069.6494*100)</f>
        <v>0.011828644225377232</v>
      </c>
      <c r="F33" s="27">
        <f>IF(OR(1803364.51961="",323.88123="",391.97037=""),"-",(391.97037-323.88123)/1803364.51961*100)</f>
        <v>0.003775672597502645</v>
      </c>
      <c r="G33" s="27">
        <f>IF(OR(1851128.77138="",259.29212="",391.97037=""),"-",(259.29212-391.97037)/1851128.77138*100)</f>
        <v>-0.0071674241171828116</v>
      </c>
    </row>
    <row r="34" spans="1:7" s="16" customFormat="1" ht="15.75">
      <c r="A34" s="45" t="s">
        <v>132</v>
      </c>
      <c r="B34" s="27">
        <f>IF(89.89643="","-",89.89643)</f>
        <v>89.89643</v>
      </c>
      <c r="C34" s="27">
        <f>IF(OR(828.85451="",89.89643=""),"-",89.89643/828.85451*100)</f>
        <v>10.845863648615484</v>
      </c>
      <c r="D34" s="27">
        <f>IF(828.85451="","-",828.85451/1851128.77138*100)</f>
        <v>0.04477562678592567</v>
      </c>
      <c r="E34" s="27">
        <f>IF(89.89643="","-",89.89643/2192069.6494*100)</f>
        <v>0.004100984201145521</v>
      </c>
      <c r="F34" s="27">
        <f>IF(OR(1803364.51961="",275.18977="",828.85451=""),"-",(828.85451-275.18977)/1803364.51961*100)</f>
        <v>0.030701765171676814</v>
      </c>
      <c r="G34" s="27">
        <f>IF(OR(1851128.77138="",89.89643="",828.85451=""),"-",(89.89643-828.85451)/1851128.77138*100)</f>
        <v>-0.039919323356911215</v>
      </c>
    </row>
    <row r="35" spans="1:7" s="16" customFormat="1" ht="15.75">
      <c r="A35" s="45" t="s">
        <v>137</v>
      </c>
      <c r="B35" s="27">
        <f>IF(36.15205="","-",36.15205)</f>
        <v>36.15205</v>
      </c>
      <c r="C35" s="27">
        <f>IF(OR(98.8475="",36.15205=""),"-",36.15205/98.8475*100)</f>
        <v>36.57356028225297</v>
      </c>
      <c r="D35" s="27">
        <f>IF(98.8475="","-",98.8475/1851128.77138*100)</f>
        <v>0.005339850016285472</v>
      </c>
      <c r="E35" s="27">
        <f>IF(36.15205="","-",36.15205/2192069.6494*100)</f>
        <v>0.001649219951103986</v>
      </c>
      <c r="F35" s="27">
        <f>IF(OR(1803364.51961="",353.50797="",98.8475=""),"-",(98.8475-353.50797)/1803364.51961*100)</f>
        <v>-0.014121408469047261</v>
      </c>
      <c r="G35" s="27">
        <f>IF(OR(1851128.77138="",36.15205="",98.8475=""),"-",(36.15205-98.8475)/1851128.77138*100)</f>
        <v>-0.00338687675159741</v>
      </c>
    </row>
    <row r="36" spans="1:7" s="16" customFormat="1" ht="15.75">
      <c r="A36" s="45" t="s">
        <v>138</v>
      </c>
      <c r="B36" s="27">
        <f>IF(17.86193="","-",17.86193)</f>
        <v>17.86193</v>
      </c>
      <c r="C36" s="27">
        <f>IF(OR(75.19141="",17.86193=""),"-",17.86193/75.19141*100)</f>
        <v>23.75528002467303</v>
      </c>
      <c r="D36" s="27">
        <f>IF(75.19141="","-",75.19141/1851128.77138*100)</f>
        <v>0.004061922172164473</v>
      </c>
      <c r="E36" s="27">
        <f>IF(17.86193="","-",17.86193/2192069.6494*100)</f>
        <v>0.0008148431782215069</v>
      </c>
      <c r="F36" s="27">
        <f>IF(OR(1803364.51961="",293.31069="",75.19141=""),"-",(75.19141-293.31069)/1803364.51961*100)</f>
        <v>-0.01209512983249615</v>
      </c>
      <c r="G36" s="27">
        <f>IF(OR(1851128.77138="",17.86193="",75.19141=""),"-",(17.86193-75.19141)/1851128.77138*100)</f>
        <v>-0.0030970011857825203</v>
      </c>
    </row>
    <row r="37" spans="1:7" s="16" customFormat="1" ht="14.25" customHeight="1">
      <c r="A37" s="15" t="s">
        <v>14</v>
      </c>
      <c r="B37" s="26">
        <f>IF(427731.16471="","-",427731.16471)</f>
        <v>427731.16471</v>
      </c>
      <c r="C37" s="26">
        <f>IF(380491.96189="","-",427731.16471/380491.96189*100)</f>
        <v>112.41529586731633</v>
      </c>
      <c r="D37" s="26">
        <f>IF(380491.96189="","-",380491.96189/1851128.77138*100)</f>
        <v>20.554591758970208</v>
      </c>
      <c r="E37" s="26">
        <f>IF(427731.16471="","-",427731.16471/2192128.37338*100)</f>
        <v>19.512140342880087</v>
      </c>
      <c r="F37" s="26">
        <f>IF(1803364.51961="","-",(380491.96189-454136.28749)/1803364.51961*100)</f>
        <v>-4.083718227745023</v>
      </c>
      <c r="G37" s="26">
        <f>IF(1851128.77138="","-",(427731.16471-380491.96189)/1851128.77138*100)</f>
        <v>2.551913381195172</v>
      </c>
    </row>
    <row r="38" spans="1:7" s="30" customFormat="1" ht="14.25" customHeight="1">
      <c r="A38" s="45" t="s">
        <v>210</v>
      </c>
      <c r="B38" s="27">
        <f>IF(238375.22471="","-",238375.22471)</f>
        <v>238375.22471</v>
      </c>
      <c r="C38" s="27">
        <f>IF(OR(216082.24324="",238375.22471=""),"-",238375.22471/216082.24324*100)</f>
        <v>110.31689653704653</v>
      </c>
      <c r="D38" s="27">
        <f>IF(216082.24324="","-",216082.24324/1851128.77138*100)</f>
        <v>11.672999014483072</v>
      </c>
      <c r="E38" s="27">
        <f>IF(238375.22471="","-",238375.22471/2192128.37338*100)</f>
        <v>10.874145310315651</v>
      </c>
      <c r="F38" s="27">
        <f>IF(OR(1803364.51961="",224125.98092="",216082.24324=""),"-",(216082.24324-224125.98092)/1803364.51961*100)</f>
        <v>-0.44604058649992456</v>
      </c>
      <c r="G38" s="27">
        <f>IF(OR(1851128.77138="",238375.22471="",216082.24324=""),"-",(238375.22471-216082.24324)/1851128.77138*100)</f>
        <v>1.2042912310946785</v>
      </c>
    </row>
    <row r="39" spans="1:7" s="30" customFormat="1" ht="14.25" customHeight="1">
      <c r="A39" s="45" t="s">
        <v>15</v>
      </c>
      <c r="B39" s="27">
        <f>IF(100245.77259="","-",100245.77259)</f>
        <v>100245.77259</v>
      </c>
      <c r="C39" s="27">
        <f>IF(OR(93601.24835="",100245.77259=""),"-",100245.77259/93601.24835*100)</f>
        <v>107.0987560071361</v>
      </c>
      <c r="D39" s="27">
        <f>IF(93601.24835="","-",93601.24835/1851128.77138*100)</f>
        <v>5.056441766621189</v>
      </c>
      <c r="E39" s="27">
        <f>IF(100245.77259="","-",100245.77259/2192128.37338*100)</f>
        <v>4.57298823405278</v>
      </c>
      <c r="F39" s="27">
        <f>IF(OR(1803364.51961="",117188.20893="",93601.24835=""),"-",(93601.24835-117188.20893)/1803364.51961*100)</f>
        <v>-1.3079419231948166</v>
      </c>
      <c r="G39" s="27">
        <f>IF(OR(1851128.77138="",100245.77259="",93601.24835=""),"-",(100245.77259-93601.24835)/1851128.77138*100)</f>
        <v>0.35894446365536015</v>
      </c>
    </row>
    <row r="40" spans="1:7" s="30" customFormat="1" ht="14.25" customHeight="1">
      <c r="A40" s="45" t="s">
        <v>16</v>
      </c>
      <c r="B40" s="27">
        <f>IF(60135.38109="","-",60135.38109)</f>
        <v>60135.38109</v>
      </c>
      <c r="C40" s="27">
        <f>IF(OR(45861.24278="",60135.38109=""),"-",60135.38109/45861.24278*100)</f>
        <v>131.12462167341207</v>
      </c>
      <c r="D40" s="27">
        <f>IF(45861.24278="","-",45861.24278/1851128.77138*100)</f>
        <v>2.4774744733620477</v>
      </c>
      <c r="E40" s="27">
        <f>IF(60135.38109="","-",60135.38109/2192128.37338*100)</f>
        <v>2.7432417654116867</v>
      </c>
      <c r="F40" s="27">
        <f>IF(OR(1803364.51961="",42378.68635="",45861.24278=""),"-",(45861.24278-42378.68635)/1803364.51961*100)</f>
        <v>0.1931143921337181</v>
      </c>
      <c r="G40" s="27">
        <f>IF(OR(1851128.77138="",60135.38109="",45861.24278=""),"-",(60135.38109-45861.24278)/1851128.77138*100)</f>
        <v>0.771104556889295</v>
      </c>
    </row>
    <row r="41" spans="1:7" s="25" customFormat="1" ht="14.25" customHeight="1">
      <c r="A41" s="45" t="s">
        <v>17</v>
      </c>
      <c r="B41" s="27">
        <f>IF(15093.10463="","-",15093.10463)</f>
        <v>15093.10463</v>
      </c>
      <c r="C41" s="27">
        <f>IF(OR(12380.74982="",15093.10463=""),"-",15093.10463/12380.74982*100)</f>
        <v>121.90783958511489</v>
      </c>
      <c r="D41" s="27">
        <f>IF(12380.74982="","-",12380.74982/1851128.77138*100)</f>
        <v>0.6688216406884683</v>
      </c>
      <c r="E41" s="27">
        <f>IF(15093.10463="","-",15093.10463/2192128.37338*100)</f>
        <v>0.6885137208788661</v>
      </c>
      <c r="F41" s="27">
        <f>IF(OR(1803364.51961="",56971.38333="",12380.74982=""),"-",(12380.74982-56971.38333)/1803364.51961*100)</f>
        <v>-2.472635622200401</v>
      </c>
      <c r="G41" s="27">
        <f>IF(OR(1851128.77138="",15093.10463="",12380.74982=""),"-",(15093.10463-12380.74982)/1851128.77138*100)</f>
        <v>0.14652437215256303</v>
      </c>
    </row>
    <row r="42" spans="1:7" s="30" customFormat="1" ht="14.25" customHeight="1">
      <c r="A42" s="45" t="s">
        <v>18</v>
      </c>
      <c r="B42" s="27">
        <f>IF(5454.12441="","-",5454.12441)</f>
        <v>5454.12441</v>
      </c>
      <c r="C42" s="27">
        <f>IF(OR(3931.07836="",5454.12441=""),"-",5454.12441/3931.07836*100)</f>
        <v>138.7437214556059</v>
      </c>
      <c r="D42" s="27">
        <f>IF(3931.07836="","-",3931.07836/1851128.77138*100)</f>
        <v>0.21236115070857095</v>
      </c>
      <c r="E42" s="27">
        <f>IF(5454.12441="","-",5454.12441/2192128.37338*100)</f>
        <v>0.24880497311343097</v>
      </c>
      <c r="F42" s="27">
        <f>IF(OR(1803364.51961="",3091.97118="",3931.07836=""),"-",(3931.07836-3091.97118)/1803364.51961*100)</f>
        <v>0.04653009255064346</v>
      </c>
      <c r="G42" s="27">
        <f>IF(OR(1851128.77138="",5454.12441="",3931.07836=""),"-",(5454.12441-3931.07836)/1851128.77138*100)</f>
        <v>0.08227661271044819</v>
      </c>
    </row>
    <row r="43" spans="1:7" s="25" customFormat="1" ht="14.25" customHeight="1">
      <c r="A43" s="45" t="s">
        <v>19</v>
      </c>
      <c r="B43" s="27">
        <f>IF(5379.93027="","-",5379.93027)</f>
        <v>5379.93027</v>
      </c>
      <c r="C43" s="27">
        <f>IF(OR(4751.25483="",5379.93027=""),"-",5379.93027/4751.25483*100)</f>
        <v>113.23177691986687</v>
      </c>
      <c r="D43" s="27">
        <f>IF(4751.25483="","-",4751.25483/1851128.77138*100)</f>
        <v>0.25666798028631915</v>
      </c>
      <c r="E43" s="27">
        <f>IF(5379.93027="","-",5379.93027/2192128.37338*100)</f>
        <v>0.24542040216854596</v>
      </c>
      <c r="F43" s="27">
        <f>IF(OR(1803364.51961="",5294.25611="",4751.25483=""),"-",(4751.25483-5294.25611)/1803364.51961*100)</f>
        <v>-0.03011045598908817</v>
      </c>
      <c r="G43" s="27">
        <f>IF(OR(1851128.77138="",5379.93027="",4751.25483=""),"-",(5379.93027-4751.25483)/1851128.77138*100)</f>
        <v>0.033961734576213626</v>
      </c>
    </row>
    <row r="44" spans="1:7" s="25" customFormat="1" ht="14.25" customHeight="1">
      <c r="A44" s="45" t="s">
        <v>22</v>
      </c>
      <c r="B44" s="27">
        <f>IF(1050.30179="","-",1050.30179)</f>
        <v>1050.30179</v>
      </c>
      <c r="C44" s="27">
        <f>IF(OR(873.93988="",1050.30179=""),"-",1050.30179/873.93988*100)</f>
        <v>120.18009637001575</v>
      </c>
      <c r="D44" s="27">
        <f>IF(873.93988="","-",873.93988/1851128.77138*100)</f>
        <v>0.04721118776347934</v>
      </c>
      <c r="E44" s="27">
        <f>IF(1050.30179="","-",1050.30179/2192128.37338*100)</f>
        <v>0.047912421679053414</v>
      </c>
      <c r="F44" s="27">
        <f>IF(OR(1803364.51961="",1011.39171="",873.93988=""),"-",(873.93988-1011.39171)/1803364.51961*100)</f>
        <v>-0.007621965970015071</v>
      </c>
      <c r="G44" s="27">
        <f>IF(OR(1851128.77138="",1050.30179="",873.93988=""),"-",(1050.30179-873.93988)/1851128.77138*100)</f>
        <v>0.009527263188099211</v>
      </c>
    </row>
    <row r="45" spans="1:7" s="25" customFormat="1" ht="14.25" customHeight="1">
      <c r="A45" s="45" t="s">
        <v>20</v>
      </c>
      <c r="B45" s="27">
        <f>IF(1013.12207="","-",1013.12207)</f>
        <v>1013.12207</v>
      </c>
      <c r="C45" s="27">
        <f>IF(OR(1615.16984="",1013.12207=""),"-",1013.12207/1615.16984*100)</f>
        <v>62.725420256732875</v>
      </c>
      <c r="D45" s="27">
        <f>IF(1615.16984="","-",1615.16984/1851128.77138*100)</f>
        <v>0.08725324056175224</v>
      </c>
      <c r="E45" s="27">
        <f>IF(1013.12207="","-",1013.12207/2192128.37338*100)</f>
        <v>0.04621636589822004</v>
      </c>
      <c r="F45" s="27">
        <f>IF(OR(1803364.51961="",1670.64502="",1615.16984=""),"-",(1615.16984-1670.64502)/1803364.51961*100)</f>
        <v>-0.003076204472071853</v>
      </c>
      <c r="G45" s="27">
        <f>IF(OR(1851128.77138="",1013.12207="",1615.16984=""),"-",(1013.12207-1615.16984)/1851128.77138*100)</f>
        <v>-0.03252327873177503</v>
      </c>
    </row>
    <row r="46" spans="1:7" s="25" customFormat="1" ht="14.25" customHeight="1">
      <c r="A46" s="45" t="s">
        <v>21</v>
      </c>
      <c r="B46" s="27">
        <f>IF(611.64714="","-",611.64714)</f>
        <v>611.64714</v>
      </c>
      <c r="C46" s="27">
        <f>IF(OR(915.42194="",611.64714=""),"-",611.64714/915.42194*100)</f>
        <v>66.81587072295865</v>
      </c>
      <c r="D46" s="27">
        <f>IF(915.42194="","-",915.42194/1851128.77138*100)</f>
        <v>0.049452093995468564</v>
      </c>
      <c r="E46" s="27">
        <f>IF(611.64714="","-",611.64714/2192128.37338*100)</f>
        <v>0.027901976336217636</v>
      </c>
      <c r="F46" s="27">
        <f>IF(OR(1803364.51961="",1680.45412="",915.42194=""),"-",(915.42194-1680.45412)/1803364.51961*100)</f>
        <v>-0.04242249260651129</v>
      </c>
      <c r="G46" s="27">
        <f>IF(OR(1851128.77138="",611.64714="",915.42194=""),"-",(611.64714-915.42194)/1851128.77138*100)</f>
        <v>-0.01641024680166029</v>
      </c>
    </row>
    <row r="47" spans="1:7" s="25" customFormat="1" ht="14.25" customHeight="1">
      <c r="A47" s="45" t="s">
        <v>23</v>
      </c>
      <c r="B47" s="27">
        <f>IF(372.55601="","-",372.55601)</f>
        <v>372.55601</v>
      </c>
      <c r="C47" s="27">
        <f>IF(OR(479.61285="",372.55601=""),"-",372.55601/479.61285*100)</f>
        <v>77.67848797212169</v>
      </c>
      <c r="D47" s="27">
        <f>IF(479.61285="","-",479.61285/1851128.77138*100)</f>
        <v>0.025909210499842905</v>
      </c>
      <c r="E47" s="27">
        <f>IF(372.55601="","-",372.55601/2192128.37338*100)</f>
        <v>0.016995173025636415</v>
      </c>
      <c r="F47" s="27">
        <f>IF(OR(1803364.51961="",723.30982="",479.61285=""),"-",(479.61285-723.30982)/1803364.51961*100)</f>
        <v>-0.013513461496553258</v>
      </c>
      <c r="G47" s="27">
        <f>IF(OR(1851128.77138="",372.55601="",479.61285=""),"-",(372.55601-479.61285)/1851128.77138*100)</f>
        <v>-0.005783327538050745</v>
      </c>
    </row>
    <row r="48" spans="1:7" s="16" customFormat="1" ht="15.75">
      <c r="A48" s="15" t="s">
        <v>24</v>
      </c>
      <c r="B48" s="26">
        <f>IF(324619.15712="","-",324619.15712)</f>
        <v>324619.15712</v>
      </c>
      <c r="C48" s="26">
        <f>IF(270938.49525="","-",324619.15712/270938.49525*100)</f>
        <v>119.81285893703213</v>
      </c>
      <c r="D48" s="26">
        <f>IF(270938.49525="","-",270938.49525/1851128.77138*100)</f>
        <v>14.636393720357862</v>
      </c>
      <c r="E48" s="26">
        <f>IF(324619.15712="","-",324619.15712/2192128.37338*100)</f>
        <v>14.80840087022258</v>
      </c>
      <c r="F48" s="26">
        <f>IF(1803364.51961="","-",(270938.49525-229865.65975)/1803364.51961*100)</f>
        <v>2.2775670172818137</v>
      </c>
      <c r="G48" s="26">
        <f>IF(1851128.77138="","-",(324619.15712-270938.49525)/1851128.77138*100)</f>
        <v>2.899888041283133</v>
      </c>
    </row>
    <row r="49" spans="1:7" s="16" customFormat="1" ht="15.75">
      <c r="A49" s="45" t="s">
        <v>139</v>
      </c>
      <c r="B49" s="27">
        <f>IF(87857.64982="","-",87857.64982)</f>
        <v>87857.64982</v>
      </c>
      <c r="C49" s="27" t="s">
        <v>215</v>
      </c>
      <c r="D49" s="27">
        <f>IF(53553.49313="","-",53553.49313/1851128.77138*100)</f>
        <v>2.8930182469194916</v>
      </c>
      <c r="E49" s="27">
        <f>IF(87857.64982="","-",87857.64982/2192128.37338*100)</f>
        <v>4.00786974371095</v>
      </c>
      <c r="F49" s="27">
        <f>IF(OR(1803364.51961="",55941.87757="",53553.49313=""),"-",(53553.49313-55941.87757)/1803364.51961*100)</f>
        <v>-0.13244046969031598</v>
      </c>
      <c r="G49" s="27">
        <f>IF(OR(1851128.77138="",87857.64982="",53553.49313=""),"-",(87857.64982-53553.49313)/1851128.77138*100)</f>
        <v>1.8531480478490192</v>
      </c>
    </row>
    <row r="50" spans="1:7" s="29" customFormat="1" ht="15.75">
      <c r="A50" s="45" t="s">
        <v>206</v>
      </c>
      <c r="B50" s="27">
        <f>IF(36283.05115="","-",36283.05115)</f>
        <v>36283.05115</v>
      </c>
      <c r="C50" s="27">
        <f>IF(OR(40481.39877="",36283.05115=""),"-",36283.05115/40481.39877*100)</f>
        <v>89.6289462628171</v>
      </c>
      <c r="D50" s="27">
        <f>IF(40481.39877="","-",40481.39877/1851128.77138*100)</f>
        <v>2.18684941835902</v>
      </c>
      <c r="E50" s="27">
        <f>IF(36283.05115="","-",36283.05115/2192128.37338*100)</f>
        <v>1.6551517507186804</v>
      </c>
      <c r="F50" s="27">
        <f>IF(OR(1803364.51961="",33099.27549="",40481.39877=""),"-",(40481.39877-33099.27549)/1803364.51961*100)</f>
        <v>0.40935280691872966</v>
      </c>
      <c r="G50" s="27">
        <f>IF(OR(1851128.77138="",36283.05115="",40481.39877=""),"-",(36283.05115-40481.39877)/1851128.77138*100)</f>
        <v>-0.2267993283292858</v>
      </c>
    </row>
    <row r="51" spans="1:7" s="31" customFormat="1" ht="15.75">
      <c r="A51" s="45" t="s">
        <v>25</v>
      </c>
      <c r="B51" s="27">
        <f>IF(17325.13033="","-",17325.13033)</f>
        <v>17325.13033</v>
      </c>
      <c r="C51" s="27">
        <f>IF(OR(14855.72675="",17325.13033=""),"-",17325.13033/14855.72675*100)</f>
        <v>116.62257001327787</v>
      </c>
      <c r="D51" s="27">
        <f>IF(14855.72675="","-",14855.72675/1851128.77138*100)</f>
        <v>0.8025226002470475</v>
      </c>
      <c r="E51" s="27">
        <f>IF(17325.13033="","-",17325.13033/2192128.37338*100)</f>
        <v>0.7903337478035887</v>
      </c>
      <c r="F51" s="27">
        <f>IF(OR(1803364.51961="",20363.55973="",14855.72675=""),"-",(14855.72675-20363.55973)/1803364.51961*100)</f>
        <v>-0.30541983720468996</v>
      </c>
      <c r="G51" s="27">
        <f>IF(OR(1851128.77138="",17325.13033="",14855.72675=""),"-",(17325.13033-14855.72675)/1851128.77138*100)</f>
        <v>0.1333998810984436</v>
      </c>
    </row>
    <row r="52" spans="1:7" s="16" customFormat="1" ht="15.75">
      <c r="A52" s="45" t="s">
        <v>142</v>
      </c>
      <c r="B52" s="27">
        <f>IF(16981.27311="","-",16981.27311)</f>
        <v>16981.27311</v>
      </c>
      <c r="C52" s="27">
        <f>IF(OR(13230.02678="",16981.27311=""),"-",16981.27311/13230.02678*100)</f>
        <v>128.35403429168267</v>
      </c>
      <c r="D52" s="27">
        <f>IF(13230.02678="","-",13230.02678/1851128.77138*100)</f>
        <v>0.7147005105504969</v>
      </c>
      <c r="E52" s="27">
        <f>IF(16981.27311="","-",16981.27311/2192128.37338*100)</f>
        <v>0.7746477494754063</v>
      </c>
      <c r="F52" s="27">
        <f>IF(OR(1803364.51961="",7242.0495="",13230.02678=""),"-",(13230.02678-7242.0495)/1803364.51961*100)</f>
        <v>0.3320447538412796</v>
      </c>
      <c r="G52" s="27">
        <f>IF(OR(1851128.77138="",16981.27311="",13230.02678=""),"-",(16981.27311-13230.02678)/1851128.77138*100)</f>
        <v>0.20264642784431885</v>
      </c>
    </row>
    <row r="53" spans="1:7" s="31" customFormat="1" ht="15.75">
      <c r="A53" s="45" t="s">
        <v>141</v>
      </c>
      <c r="B53" s="27">
        <f>IF(16522.63062="","-",16522.63062)</f>
        <v>16522.63062</v>
      </c>
      <c r="C53" s="27">
        <f>IF(OR(15469.17885="",16522.63062=""),"-",16522.63062/15469.17885*100)</f>
        <v>106.81000446251872</v>
      </c>
      <c r="D53" s="27">
        <f>IF(15469.17885="","-",15469.17885/1851128.77138*100)</f>
        <v>0.8356619533533514</v>
      </c>
      <c r="E53" s="27">
        <f>IF(16522.63062="","-",16522.63062/2192128.37338*100)</f>
        <v>0.7537255035171174</v>
      </c>
      <c r="F53" s="27">
        <f>IF(OR(1803364.51961="",17140.15678="",15469.17885=""),"-",(15469.17885-17140.15678)/1803364.51961*100)</f>
        <v>-0.09265891126444976</v>
      </c>
      <c r="G53" s="27">
        <f>IF(OR(1851128.77138="",16522.63062="",15469.17885=""),"-",(16522.63062-15469.17885)/1851128.77138*100)</f>
        <v>0.0569086163149342</v>
      </c>
    </row>
    <row r="54" spans="1:7" s="29" customFormat="1" ht="15.75">
      <c r="A54" s="45" t="s">
        <v>140</v>
      </c>
      <c r="B54" s="27">
        <f>IF(12656.92043="","-",12656.92043)</f>
        <v>12656.92043</v>
      </c>
      <c r="C54" s="27">
        <f>IF(OR(25419.29935="",12656.92043=""),"-",12656.92043/25419.29935*100)</f>
        <v>49.79256216202513</v>
      </c>
      <c r="D54" s="27">
        <f>IF(25419.29935="","-",25419.29935/1851128.77138*100)</f>
        <v>1.3731783408590283</v>
      </c>
      <c r="E54" s="27">
        <f>IF(12656.92043="","-",12656.92043/2192128.37338*100)</f>
        <v>0.577380439197753</v>
      </c>
      <c r="F54" s="27">
        <f>IF(OR(1803364.51961="",13313.52281="",25419.29935=""),"-",(25419.29935-13313.52281)/1803364.51961*100)</f>
        <v>0.6712883839268405</v>
      </c>
      <c r="G54" s="27">
        <f>IF(OR(1851128.77138="",12656.92043="",25419.29935=""),"-",(12656.92043-25419.29935)/1851128.77138*100)</f>
        <v>-0.6894376618913314</v>
      </c>
    </row>
    <row r="55" spans="1:7" s="16" customFormat="1" ht="15.75">
      <c r="A55" s="45" t="s">
        <v>202</v>
      </c>
      <c r="B55" s="27">
        <f>IF(11556.70812="","-",11556.70812)</f>
        <v>11556.70812</v>
      </c>
      <c r="C55" s="27" t="str">
        <f>IF(OR(""="",11556.70812=""),"-",11556.70812/""*100)</f>
        <v>-</v>
      </c>
      <c r="D55" s="27" t="str">
        <f>IF(""="","-",""/1851128.77138*100)</f>
        <v>-</v>
      </c>
      <c r="E55" s="27">
        <f>IF(11556.70812="","-",11556.70812/2192128.37338*100)</f>
        <v>0.5271912110777042</v>
      </c>
      <c r="F55" s="27" t="str">
        <f>IF(OR(1803364.51961="",0.16492="",""=""),"-",(""-0.16492)/1803364.51961*100)</f>
        <v>-</v>
      </c>
      <c r="G55" s="27" t="str">
        <f>IF(OR(1851128.77138="",11556.70812="",""=""),"-",(11556.70812-"")/1851128.77138*100)</f>
        <v>-</v>
      </c>
    </row>
    <row r="56" spans="1:7" s="16" customFormat="1" ht="15.75">
      <c r="A56" s="45" t="s">
        <v>151</v>
      </c>
      <c r="B56" s="27">
        <f>IF(9620.72541="","-",9620.72541)</f>
        <v>9620.72541</v>
      </c>
      <c r="C56" s="27" t="s">
        <v>261</v>
      </c>
      <c r="D56" s="27">
        <f>IF(2885.52911="","-",2885.52911/1851128.77138*100)</f>
        <v>0.15587943716356714</v>
      </c>
      <c r="E56" s="27">
        <f>IF(9620.72541="","-",9620.72541/2192128.37338*100)</f>
        <v>0.43887600410764227</v>
      </c>
      <c r="F56" s="27">
        <f>IF(OR(1803364.51961="",2147.16374="",2885.52911=""),"-",(2885.52911-2147.16374)/1803364.51961*100)</f>
        <v>0.04094376716248586</v>
      </c>
      <c r="G56" s="27">
        <f>IF(OR(1851128.77138="",9620.72541="",2885.52911=""),"-",(9620.72541-2885.52911)/1851128.77138*100)</f>
        <v>0.363842667464942</v>
      </c>
    </row>
    <row r="57" spans="1:7" s="31" customFormat="1" ht="15.75">
      <c r="A57" s="45" t="s">
        <v>143</v>
      </c>
      <c r="B57" s="27">
        <f>IF(7827.7997="","-",7827.7997)</f>
        <v>7827.7997</v>
      </c>
      <c r="C57" s="27">
        <f>IF(OR(10335.77767="",7827.7997=""),"-",7827.7997/10335.77767*100)</f>
        <v>75.73498530952824</v>
      </c>
      <c r="D57" s="27">
        <f>IF(10335.77767="","-",10335.77767/1851128.77138*100)</f>
        <v>0.5583500094536789</v>
      </c>
      <c r="E57" s="27">
        <f>IF(7827.7997="","-",7827.7997/2192128.37338*100)</f>
        <v>0.35708673794183265</v>
      </c>
      <c r="F57" s="27">
        <f>IF(OR(1803364.51961="",8366.19908="",10335.77767=""),"-",(10335.77767-8366.19908)/1803364.51961*100)</f>
        <v>0.10921688702325945</v>
      </c>
      <c r="G57" s="27">
        <f>IF(OR(1851128.77138="",7827.7997="",10335.77767=""),"-",(7827.7997-10335.77767)/1851128.77138*100)</f>
        <v>-0.13548371181818564</v>
      </c>
    </row>
    <row r="58" spans="1:7" s="16" customFormat="1" ht="15.75">
      <c r="A58" s="45" t="s">
        <v>144</v>
      </c>
      <c r="B58" s="27">
        <f>IF(6928.83313="","-",6928.83313)</f>
        <v>6928.83313</v>
      </c>
      <c r="C58" s="27">
        <f>IF(OR(9571.68485="",6928.83313=""),"-",6928.83313/9571.68485*100)</f>
        <v>72.38885565690141</v>
      </c>
      <c r="D58" s="27">
        <f>IF(9571.68485="","-",9571.68485/1851128.77138*100)</f>
        <v>0.5170728799630937</v>
      </c>
      <c r="E58" s="27">
        <f>IF(6928.83313="","-",6928.83313/2192128.37338*100)</f>
        <v>0.31607789097298933</v>
      </c>
      <c r="F58" s="27">
        <f>IF(OR(1803364.51961="",3015.56462="",9571.68485=""),"-",(9571.68485-3015.56462)/1803364.51961*100)</f>
        <v>0.36354936335432847</v>
      </c>
      <c r="G58" s="27">
        <f>IF(OR(1851128.77138="",6928.83313="",9571.68485=""),"-",(6928.83313-9571.68485)/1851128.77138*100)</f>
        <v>-0.14276973924562672</v>
      </c>
    </row>
    <row r="59" spans="1:7" s="29" customFormat="1" ht="15.75">
      <c r="A59" s="45" t="s">
        <v>146</v>
      </c>
      <c r="B59" s="27">
        <f>IF(5011.79659="","-",5011.79659)</f>
        <v>5011.79659</v>
      </c>
      <c r="C59" s="27">
        <f>IF(OR(5095.7416="",5011.79659=""),"-",5011.79659/5095.7416*100)</f>
        <v>98.35264390172374</v>
      </c>
      <c r="D59" s="27">
        <f>IF(5095.7416="","-",5095.7416/1851128.77138*100)</f>
        <v>0.275277532216258</v>
      </c>
      <c r="E59" s="27">
        <f>IF(5011.79659="","-",5011.79659/2192128.37338*100)</f>
        <v>0.22862696595968096</v>
      </c>
      <c r="F59" s="27">
        <f>IF(OR(1803364.51961="",4832.59411="",5095.7416=""),"-",(5095.7416-4832.59411)/1803364.51961*100)</f>
        <v>0.014592029905130283</v>
      </c>
      <c r="G59" s="27">
        <f>IF(OR(1851128.77138="",5011.79659="",5095.7416=""),"-",(5011.79659-5095.7416)/1851128.77138*100)</f>
        <v>-0.0045348012141489275</v>
      </c>
    </row>
    <row r="60" spans="1:7" s="16" customFormat="1" ht="15.75">
      <c r="A60" s="45" t="s">
        <v>150</v>
      </c>
      <c r="B60" s="27">
        <f>IF(4463.42204="","-",4463.42204)</f>
        <v>4463.42204</v>
      </c>
      <c r="C60" s="27">
        <f>IF(OR(3612.68914="",4463.42204=""),"-",4463.42204/3612.68914*100)</f>
        <v>123.54846672470691</v>
      </c>
      <c r="D60" s="27">
        <f>IF(3612.68914="","-",3612.68914/1851128.77138*100)</f>
        <v>0.19516141696111028</v>
      </c>
      <c r="E60" s="27">
        <f>IF(4463.42204="","-",4463.42204/2192128.37338*100)</f>
        <v>0.20361134385199978</v>
      </c>
      <c r="F60" s="27">
        <f>IF(OR(1803364.51961="",9427.74096="",3612.68914=""),"-",(3612.68914-9427.74096)/1803364.51961*100)</f>
        <v>-0.32245570747158625</v>
      </c>
      <c r="G60" s="27">
        <f>IF(OR(1851128.77138="",4463.42204="",3612.68914=""),"-",(4463.42204-3612.68914)/1851128.77138*100)</f>
        <v>0.045957521332553576</v>
      </c>
    </row>
    <row r="61" spans="1:7" s="29" customFormat="1" ht="15.75">
      <c r="A61" s="45" t="s">
        <v>153</v>
      </c>
      <c r="B61" s="27">
        <f>IF(4426.88777="","-",4426.88777)</f>
        <v>4426.88777</v>
      </c>
      <c r="C61" s="27" t="s">
        <v>184</v>
      </c>
      <c r="D61" s="27">
        <f>IF(2156.44688="","-",2156.44688/1851128.77138*100)</f>
        <v>0.11649361802055445</v>
      </c>
      <c r="E61" s="27">
        <f>IF(4426.88777="","-",4426.88777/2192128.37338*100)</f>
        <v>0.20194473205847285</v>
      </c>
      <c r="F61" s="27">
        <f>IF(OR(1803364.51961="",2133.28775="",2156.44688=""),"-",(2156.44688-2133.28775)/1803364.51961*100)</f>
        <v>0.0012842179020472497</v>
      </c>
      <c r="G61" s="27">
        <f>IF(OR(1851128.77138="",4426.88777="",2156.44688=""),"-",(4426.88777-2156.44688)/1851128.77138*100)</f>
        <v>0.12265169906615447</v>
      </c>
    </row>
    <row r="62" spans="1:7" s="16" customFormat="1" ht="15.75">
      <c r="A62" s="45" t="s">
        <v>148</v>
      </c>
      <c r="B62" s="27">
        <f>IF(4131.96414="","-",4131.96414)</f>
        <v>4131.96414</v>
      </c>
      <c r="C62" s="27">
        <f>IF(OR(4083.26658="",4131.96414=""),"-",4131.96414/4083.26658*100)</f>
        <v>101.19261280266447</v>
      </c>
      <c r="D62" s="27">
        <f>IF(4083.26658="","-",4083.26658/1851128.77138*100)</f>
        <v>0.2205825247346764</v>
      </c>
      <c r="E62" s="27">
        <f>IF(4131.96414="","-",4131.96414/2192128.37338*100)</f>
        <v>0.1884909748067813</v>
      </c>
      <c r="F62" s="27">
        <f>IF(OR(1803364.51961="",840.75983="",4083.26658=""),"-",(4083.26658-840.75983)/1803364.51961*100)</f>
        <v>0.17980317981975338</v>
      </c>
      <c r="G62" s="27">
        <f>IF(OR(1851128.77138="",4131.96414="",4083.26658=""),"-",(4131.96414-4083.26658)/1851128.77138*100)</f>
        <v>0.002630695430426294</v>
      </c>
    </row>
    <row r="63" spans="1:7" s="29" customFormat="1" ht="15.75">
      <c r="A63" s="45" t="s">
        <v>149</v>
      </c>
      <c r="B63" s="27">
        <f>IF(4059.86204="","-",4059.86204)</f>
        <v>4059.86204</v>
      </c>
      <c r="C63" s="27">
        <f>IF(OR(4041.92452="",4059.86204=""),"-",4059.86204/4041.92452*100)</f>
        <v>100.44378661479804</v>
      </c>
      <c r="D63" s="27">
        <f>IF(4041.92452="","-",4041.92452/1851128.77138*100)</f>
        <v>0.21834918145574395</v>
      </c>
      <c r="E63" s="27">
        <f>IF(4059.86204="","-",4059.86204/2192128.37338*100)</f>
        <v>0.18520183805386262</v>
      </c>
      <c r="F63" s="27">
        <f>IF(OR(1803364.51961="",1597.18244="",4041.92452=""),"-",(4041.92452-1597.18244)/1803364.51961*100)</f>
        <v>0.13556560825144245</v>
      </c>
      <c r="G63" s="27">
        <f>IF(OR(1851128.77138="",4059.86204="",4041.92452=""),"-",(4059.86204-4041.92452)/1851128.77138*100)</f>
        <v>0.0009690044408216771</v>
      </c>
    </row>
    <row r="64" spans="1:7" s="16" customFormat="1" ht="15.75">
      <c r="A64" s="45" t="s">
        <v>119</v>
      </c>
      <c r="B64" s="27">
        <f>IF(3657.74098="","-",3657.74098)</f>
        <v>3657.74098</v>
      </c>
      <c r="C64" s="27" t="s">
        <v>189</v>
      </c>
      <c r="D64" s="27">
        <f>IF(1468.38482="","-",1468.38482/1851128.77138*100)</f>
        <v>0.07932375330676386</v>
      </c>
      <c r="E64" s="27">
        <f>IF(3657.74098="","-",3657.74098/2192128.37338*100)</f>
        <v>0.16685797348447257</v>
      </c>
      <c r="F64" s="27">
        <f>IF(OR(1803364.51961="",416.19553="",1468.38482=""),"-",(1468.38482-416.19553)/1803364.51961*100)</f>
        <v>0.0583459017053052</v>
      </c>
      <c r="G64" s="27">
        <f>IF(OR(1851128.77138="",3657.74098="",1468.38482=""),"-",(3657.74098-1468.38482)/1851128.77138*100)</f>
        <v>0.11827141330464302</v>
      </c>
    </row>
    <row r="65" spans="1:7" s="16" customFormat="1" ht="15.75">
      <c r="A65" s="45" t="s">
        <v>145</v>
      </c>
      <c r="B65" s="27">
        <f>IF(3480.22196="","-",3480.22196)</f>
        <v>3480.22196</v>
      </c>
      <c r="C65" s="27">
        <f>IF(OR(7516.05798="",3480.22196=""),"-",3480.22196/7516.05798*100)</f>
        <v>46.30382002454962</v>
      </c>
      <c r="D65" s="27">
        <f>IF(7516.05798="","-",7516.05798/1851128.77138*100)</f>
        <v>0.4060256691054964</v>
      </c>
      <c r="E65" s="27">
        <f>IF(3480.22196="","-",3480.22196/2192128.37338*100)</f>
        <v>0.15875995230306306</v>
      </c>
      <c r="F65" s="27">
        <f>IF(OR(1803364.51961="",2005.12799="",7516.05798=""),"-",(7516.05798-2005.12799)/1803364.51961*100)</f>
        <v>0.3055915723123912</v>
      </c>
      <c r="G65" s="27">
        <f>IF(OR(1851128.77138="",3480.22196="",7516.05798=""),"-",(3480.22196-7516.05798)/1851128.77138*100)</f>
        <v>-0.21802027402941393</v>
      </c>
    </row>
    <row r="66" spans="1:7" s="29" customFormat="1" ht="15.75">
      <c r="A66" s="45" t="s">
        <v>157</v>
      </c>
      <c r="B66" s="27">
        <f>IF(2804.08836="","-",2804.08836)</f>
        <v>2804.08836</v>
      </c>
      <c r="C66" s="27" t="s">
        <v>122</v>
      </c>
      <c r="D66" s="27">
        <f>IF(1157.02141="","-",1157.02141/1851128.77138*100)</f>
        <v>0.06250356149655925</v>
      </c>
      <c r="E66" s="27">
        <f>IF(2804.08836="","-",2804.08836/2192128.37338*100)</f>
        <v>0.12791624770023988</v>
      </c>
      <c r="F66" s="27">
        <f>IF(OR(1803364.51961="",803.96612="",1157.02141=""),"-",(1157.02141-803.96612)/1803364.51961*100)</f>
        <v>0.019577588788114376</v>
      </c>
      <c r="G66" s="27">
        <f>IF(OR(1851128.77138="",2804.08836="",1157.02141=""),"-",(2804.08836-1157.02141)/1851128.77138*100)</f>
        <v>0.08897635731587308</v>
      </c>
    </row>
    <row r="67" spans="1:7" s="31" customFormat="1" ht="15.75">
      <c r="A67" s="45" t="s">
        <v>160</v>
      </c>
      <c r="B67" s="27">
        <f>IF(2273.59955="","-",2273.59955)</f>
        <v>2273.59955</v>
      </c>
      <c r="C67" s="27" t="s">
        <v>235</v>
      </c>
      <c r="D67" s="27">
        <f>IF(785.23677="","-",785.23677/1851128.77138*100)</f>
        <v>0.04241934878547714</v>
      </c>
      <c r="E67" s="27">
        <f>IF(2273.59955="","-",2273.59955/2192128.37338*100)</f>
        <v>0.10371653310131566</v>
      </c>
      <c r="F67" s="27">
        <f>IF(OR(1803364.51961="",763.55175="",785.23677=""),"-",(785.23677-763.55175)/1803364.51961*100)</f>
        <v>0.0012024756927506628</v>
      </c>
      <c r="G67" s="27">
        <f>IF(OR(1851128.77138="",2273.59955="",785.23677=""),"-",(2273.59955-785.23677)/1851128.77138*100)</f>
        <v>0.0804029845471225</v>
      </c>
    </row>
    <row r="68" spans="1:7" s="16" customFormat="1" ht="15.75">
      <c r="A68" s="45" t="s">
        <v>221</v>
      </c>
      <c r="B68" s="27">
        <f>IF(1887.89814="","-",1887.89814)</f>
        <v>1887.89814</v>
      </c>
      <c r="C68" s="27" t="s">
        <v>253</v>
      </c>
      <c r="D68" s="27">
        <f>IF(333.83922="","-",333.83922/1851128.77138*100)</f>
        <v>0.018034359638369503</v>
      </c>
      <c r="E68" s="27">
        <f>IF(1887.89814="","-",1887.89814/2192128.37338*100)</f>
        <v>0.08612169628957847</v>
      </c>
      <c r="F68" s="27">
        <f>IF(OR(1803364.51961="",599.43166="",333.83922=""),"-",(333.83922-599.43166)/1803364.51961*100)</f>
        <v>-0.014727607042942022</v>
      </c>
      <c r="G68" s="27">
        <f>IF(OR(1851128.77138="",1887.89814="",333.83922=""),"-",(1887.89814-333.83922)/1851128.77138*100)</f>
        <v>0.08395196185306238</v>
      </c>
    </row>
    <row r="69" spans="1:7" s="16" customFormat="1" ht="15.75">
      <c r="A69" s="45" t="s">
        <v>207</v>
      </c>
      <c r="B69" s="27">
        <f>IF(1600.75064="","-",1600.75064)</f>
        <v>1600.75064</v>
      </c>
      <c r="C69" s="27">
        <f>IF(OR(1273.37922="",1600.75064=""),"-",1600.75064/1273.37922*100)</f>
        <v>125.70887092063587</v>
      </c>
      <c r="D69" s="27">
        <f>IF(1273.37922="","-",1273.37922/1851128.77138*100)</f>
        <v>0.06878933760241364</v>
      </c>
      <c r="E69" s="27">
        <f>IF(1600.75064="","-",1600.75064/2192128.37338*100)</f>
        <v>0.07302266871952548</v>
      </c>
      <c r="F69" s="27">
        <f>IF(OR(1803364.51961="",730.06831="",1273.37922=""),"-",(1273.37922-730.06831)/1803364.51961*100)</f>
        <v>0.030127625562772955</v>
      </c>
      <c r="G69" s="27">
        <f>IF(OR(1851128.77138="",1600.75064="",1273.37922=""),"-",(1600.75064-1273.37922)/1851128.77138*100)</f>
        <v>0.01768496201136496</v>
      </c>
    </row>
    <row r="70" spans="1:7" s="16" customFormat="1" ht="15.75">
      <c r="A70" s="45" t="s">
        <v>152</v>
      </c>
      <c r="B70" s="27">
        <f>IF(1438.52371="","-",1438.52371)</f>
        <v>1438.52371</v>
      </c>
      <c r="C70" s="27">
        <f>IF(OR(2565.7021="",1438.52371=""),"-",1438.52371/2565.7021*100)</f>
        <v>56.067448750188106</v>
      </c>
      <c r="D70" s="27">
        <f>IF(2565.7021="","-",2565.7021/1851128.77138*100)</f>
        <v>0.1386020324284243</v>
      </c>
      <c r="E70" s="27">
        <f>IF(1438.52371="","-",1438.52371/2192128.37338*100)</f>
        <v>0.06562223852711548</v>
      </c>
      <c r="F70" s="27">
        <f>IF(OR(1803364.51961="",571.75879="",2565.7021=""),"-",(2565.7021-571.75879)/1803364.51961*100)</f>
        <v>0.11056795718877817</v>
      </c>
      <c r="G70" s="27">
        <f>IF(OR(1851128.77138="",1438.52371="",2565.7021=""),"-",(1438.52371-2565.7021)/1851128.77138*100)</f>
        <v>-0.06089140892989841</v>
      </c>
    </row>
    <row r="71" spans="1:7" s="16" customFormat="1" ht="15.75">
      <c r="A71" s="45" t="s">
        <v>155</v>
      </c>
      <c r="B71" s="27">
        <f>IF(1282.80194="","-",1282.80194)</f>
        <v>1282.80194</v>
      </c>
      <c r="C71" s="27">
        <f>IF(OR(1547.83226="",1282.80194=""),"-",1282.80194/1547.83226*100)</f>
        <v>82.87732289544088</v>
      </c>
      <c r="D71" s="27">
        <f>IF(1547.83226="","-",1547.83226/1851128.77138*100)</f>
        <v>0.0836155908724872</v>
      </c>
      <c r="E71" s="27">
        <f>IF(1282.80194="","-",1282.80194/2192128.37338*100)</f>
        <v>0.05851855920381492</v>
      </c>
      <c r="F71" s="27">
        <f>IF(OR(1803364.51961="",1243.42229="",1547.83226=""),"-",(1547.83226-1243.42229)/1803364.51961*100)</f>
        <v>0.01688011307141788</v>
      </c>
      <c r="G71" s="27">
        <f>IF(OR(1851128.77138="",1282.80194="",1547.83226=""),"-",(1282.80194-1547.83226)/1851128.77138*100)</f>
        <v>-0.014317227634165186</v>
      </c>
    </row>
    <row r="72" spans="1:7" s="16" customFormat="1" ht="15.75">
      <c r="A72" s="45" t="s">
        <v>242</v>
      </c>
      <c r="B72" s="27">
        <f>IF(1251.50516="","-",1251.50516)</f>
        <v>1251.50516</v>
      </c>
      <c r="C72" s="27">
        <f>IF(OR(162.26283="",1251.50516=""),"-",1251.50516/162.26283*100)</f>
        <v>771.2827145933544</v>
      </c>
      <c r="D72" s="27">
        <f>IF(162.26283="","-",162.26283/1851128.77138*100)</f>
        <v>0.008765615472500841</v>
      </c>
      <c r="E72" s="27">
        <f>IF(1251.50516="","-",1251.50516/2192128.37338*100)</f>
        <v>0.05709087000549738</v>
      </c>
      <c r="F72" s="27">
        <f>IF(OR(1803364.51961="",2098.96593="",162.26283=""),"-",(162.26283-2098.96593)/1803364.51961*100)</f>
        <v>-0.10739387843888798</v>
      </c>
      <c r="G72" s="27">
        <f>IF(OR(1851128.77138="",1251.50516="",162.26283=""),"-",(1251.50516-162.26283)/1851128.77138*100)</f>
        <v>0.05884206149461875</v>
      </c>
    </row>
    <row r="73" spans="1:7" s="16" customFormat="1" ht="15.75">
      <c r="A73" s="45" t="s">
        <v>226</v>
      </c>
      <c r="B73" s="27">
        <f>IF(1251.1606="","-",1251.1606)</f>
        <v>1251.1606</v>
      </c>
      <c r="C73" s="27" t="s">
        <v>262</v>
      </c>
      <c r="D73" s="27">
        <f>IF(25.84653="","-",25.84653/1851128.77138*100)</f>
        <v>0.0013962578076473656</v>
      </c>
      <c r="E73" s="27">
        <f>IF(1251.1606="","-",1251.1606/2192128.37338*100)</f>
        <v>0.05707515194791535</v>
      </c>
      <c r="F73" s="27">
        <f>IF(OR(1803364.51961="",44.2398="",25.84653=""),"-",(25.84653-44.2398)/1803364.51961*100)</f>
        <v>-0.0010199418808559998</v>
      </c>
      <c r="G73" s="27">
        <f>IF(OR(1851128.77138="",1251.1606="",25.84653=""),"-",(1251.1606-25.84653)/1851128.77138*100)</f>
        <v>0.0661928056515776</v>
      </c>
    </row>
    <row r="74" spans="1:7" s="16" customFormat="1" ht="15.75">
      <c r="A74" s="45" t="s">
        <v>147</v>
      </c>
      <c r="B74" s="27">
        <f>IF(1229.76969="","-",1229.76969)</f>
        <v>1229.76969</v>
      </c>
      <c r="C74" s="27">
        <f>IF(OR(4210.03303="",1229.76969=""),"-",1229.76969/4210.03303*100)</f>
        <v>29.21045229899301</v>
      </c>
      <c r="D74" s="27">
        <f>IF(4210.03303="","-",4210.03303/1851128.77138*100)</f>
        <v>0.22743058695270874</v>
      </c>
      <c r="E74" s="27">
        <f>IF(1229.76969="","-",1229.76969/2192128.37338*100)</f>
        <v>0.05609934641299507</v>
      </c>
      <c r="F74" s="27">
        <f>IF(OR(1803364.51961="",3075.05152="",4210.03303=""),"-",(4210.03303-3075.05152)/1803364.51961*100)</f>
        <v>0.0629368881143039</v>
      </c>
      <c r="G74" s="27">
        <f>IF(OR(1851128.77138="",1229.76969="",4210.03303=""),"-",(1229.76969-4210.03303)/1851128.77138*100)</f>
        <v>-0.16099708383756792</v>
      </c>
    </row>
    <row r="75" spans="1:7" s="16" customFormat="1" ht="15.75">
      <c r="A75" s="45" t="s">
        <v>228</v>
      </c>
      <c r="B75" s="27">
        <f>IF(1034.90358="","-",1034.90358)</f>
        <v>1034.90358</v>
      </c>
      <c r="C75" s="27" t="s">
        <v>189</v>
      </c>
      <c r="D75" s="27">
        <f>IF(420.55127="","-",420.55127/1851128.77138*100)</f>
        <v>0.02271863937842005</v>
      </c>
      <c r="E75" s="27">
        <f>IF(1034.90358="","-",1034.90358/2192128.37338*100)</f>
        <v>0.047209989732686246</v>
      </c>
      <c r="F75" s="27" t="str">
        <f>IF(OR(1803364.51961="",""="",420.55127=""),"-",(420.55127-"")/1803364.51961*100)</f>
        <v>-</v>
      </c>
      <c r="G75" s="27">
        <f>IF(OR(1851128.77138="",1034.90358="",420.55127=""),"-",(1034.90358-420.55127)/1851128.77138*100)</f>
        <v>0.03318798343466975</v>
      </c>
    </row>
    <row r="76" spans="1:7" s="16" customFormat="1" ht="15.75">
      <c r="A76" s="45" t="s">
        <v>161</v>
      </c>
      <c r="B76" s="27">
        <f>IF(1005.20356="","-",1005.20356)</f>
        <v>1005.20356</v>
      </c>
      <c r="C76" s="27">
        <f>IF(OR(727.85554="",1005.20356=""),"-",1005.20356/727.85554*100)</f>
        <v>138.10481678823245</v>
      </c>
      <c r="D76" s="27">
        <f>IF(727.85554="","-",727.85554/1851128.77138*100)</f>
        <v>0.03931955200811828</v>
      </c>
      <c r="E76" s="27">
        <f>IF(1005.20356="","-",1005.20356/2192128.37338*100)</f>
        <v>0.04585514115900504</v>
      </c>
      <c r="F76" s="27">
        <f>IF(OR(1803364.51961="",1249.15285="",727.85554=""),"-",(727.85554-1249.15285)/1803364.51961*100)</f>
        <v>-0.028906929482716944</v>
      </c>
      <c r="G76" s="27">
        <f>IF(OR(1851128.77138="",1005.20356="",727.85554=""),"-",(1005.20356-727.85554)/1851128.77138*100)</f>
        <v>0.014982643254647248</v>
      </c>
    </row>
    <row r="77" spans="1:7" ht="15.75">
      <c r="A77" s="45" t="s">
        <v>154</v>
      </c>
      <c r="B77" s="27">
        <f>IF(994.14035="","-",994.14035)</f>
        <v>994.14035</v>
      </c>
      <c r="C77" s="27">
        <f>IF(OR(1935.01241="",994.14035=""),"-",994.14035/1935.01241*100)</f>
        <v>51.37643277440272</v>
      </c>
      <c r="D77" s="27">
        <f>IF(1935.01241="","-",1935.01241/1851128.77138*100)</f>
        <v>0.10453148586510627</v>
      </c>
      <c r="E77" s="27">
        <f>IF(994.14035="","-",994.14035/2192128.37338*100)</f>
        <v>0.0453504622298718</v>
      </c>
      <c r="F77" s="27">
        <f>IF(OR(1803364.51961="",287.06407="",1935.01241=""),"-",(1935.01241-287.06407)/1803364.51961*100)</f>
        <v>0.09138187660231827</v>
      </c>
      <c r="G77" s="27">
        <f>IF(OR(1851128.77138="",994.14035="",1935.01241=""),"-",(994.14035-1935.01241)/1851128.77138*100)</f>
        <v>-0.05082693730153567</v>
      </c>
    </row>
    <row r="78" spans="1:7" ht="15.75">
      <c r="A78" s="45" t="s">
        <v>225</v>
      </c>
      <c r="B78" s="27">
        <f>IF(853.95428="","-",853.95428)</f>
        <v>853.95428</v>
      </c>
      <c r="C78" s="27" t="s">
        <v>263</v>
      </c>
      <c r="D78" s="27">
        <f>IF(64.64852="","-",64.64852/1851128.77138*100)</f>
        <v>0.0034923837282160065</v>
      </c>
      <c r="E78" s="27">
        <f>IF(853.95428="","-",853.95428/2192128.37338*100)</f>
        <v>0.03895548683963726</v>
      </c>
      <c r="F78" s="27">
        <f>IF(OR(1803364.51961="",56.52931="",64.64852=""),"-",(64.64852-56.52931)/1803364.51961*100)</f>
        <v>0.00045022567050148474</v>
      </c>
      <c r="G78" s="27">
        <f>IF(OR(1851128.77138="",853.95428="",64.64852=""),"-",(853.95428-64.64852)/1851128.77138*100)</f>
        <v>0.04263916007375217</v>
      </c>
    </row>
    <row r="79" spans="1:7" ht="15.75">
      <c r="A79" s="45" t="s">
        <v>162</v>
      </c>
      <c r="B79" s="27">
        <f>IF(844.28097="","-",844.28097)</f>
        <v>844.28097</v>
      </c>
      <c r="C79" s="27">
        <f>IF(OR(671.57793="",844.28097=""),"-",844.28097/671.57793*100)</f>
        <v>125.71600886288803</v>
      </c>
      <c r="D79" s="27">
        <f>IF(671.57793="","-",671.57793/1851128.77138*100)</f>
        <v>0.03627937398970601</v>
      </c>
      <c r="E79" s="27">
        <f>IF(844.28097="","-",844.28097/2192128.37338*100)</f>
        <v>0.03851421204398809</v>
      </c>
      <c r="F79" s="27">
        <f>IF(OR(1803364.51961="",754.58317="",671.57793=""),"-",(671.57793-754.58317)/1803364.51961*100)</f>
        <v>-0.004602798774035483</v>
      </c>
      <c r="G79" s="27">
        <f>IF(OR(1851128.77138="",844.28097="",671.57793=""),"-",(844.28097-671.57793)/1851128.77138*100)</f>
        <v>0.00932960703059309</v>
      </c>
    </row>
    <row r="80" spans="1:7" ht="15.75">
      <c r="A80" s="45" t="s">
        <v>222</v>
      </c>
      <c r="B80" s="27">
        <f>IF(828.11184="","-",828.11184)</f>
        <v>828.11184</v>
      </c>
      <c r="C80" s="27" t="s">
        <v>235</v>
      </c>
      <c r="D80" s="27">
        <f>IF(282.88909="","-",282.88909/1851128.77138*100)</f>
        <v>0.015281977913892436</v>
      </c>
      <c r="E80" s="27">
        <f>IF(828.11184="","-",828.11184/2192128.37338*100)</f>
        <v>0.03777661244916741</v>
      </c>
      <c r="F80" s="27">
        <f>IF(OR(1803364.51961="",1071.95562="",282.88909=""),"-",(282.88909-1071.95562)/1803364.51961*100)</f>
        <v>-0.04375524312581271</v>
      </c>
      <c r="G80" s="27">
        <f>IF(OR(1851128.77138="",828.11184="",282.88909=""),"-",(828.11184-282.88909)/1851128.77138*100)</f>
        <v>0.029453529026699815</v>
      </c>
    </row>
    <row r="81" spans="1:7" ht="15.75">
      <c r="A81" s="45" t="s">
        <v>172</v>
      </c>
      <c r="B81" s="27">
        <f>IF(806.09166="","-",806.09166)</f>
        <v>806.09166</v>
      </c>
      <c r="C81" s="27" t="s">
        <v>264</v>
      </c>
      <c r="D81" s="27">
        <f>IF(69.87158="","-",69.87158/1851128.77138*100)</f>
        <v>0.003774539139592723</v>
      </c>
      <c r="E81" s="27">
        <f>IF(806.09166="","-",806.09166/2192128.37338*100)</f>
        <v>0.036772101022400576</v>
      </c>
      <c r="F81" s="27">
        <f>IF(OR(1803364.51961="",19.30235="",69.87158=""),"-",(69.87158-19.30235)/1803364.51961*100)</f>
        <v>0.0028041601933554853</v>
      </c>
      <c r="G81" s="27">
        <f>IF(OR(1851128.77138="",806.09166="",69.87158=""),"-",(806.09166-69.87158)/1851128.77138*100)</f>
        <v>0.039771413603557924</v>
      </c>
    </row>
    <row r="82" spans="1:7" ht="15.75">
      <c r="A82" s="45" t="s">
        <v>159</v>
      </c>
      <c r="B82" s="27">
        <f>IF(795.00121="","-",795.00121)</f>
        <v>795.00121</v>
      </c>
      <c r="C82" s="27">
        <f>IF(OR(884.8753="",795.00121=""),"-",795.00121/884.8753*100)</f>
        <v>89.8433044746531</v>
      </c>
      <c r="D82" s="27">
        <f>IF(884.8753="","-",884.8753/1851128.77138*100)</f>
        <v>0.04780193110716622</v>
      </c>
      <c r="E82" s="27">
        <f>IF(795.00121="","-",795.00121/2192128.37338*100)</f>
        <v>0.0362661794653113</v>
      </c>
      <c r="F82" s="27">
        <f>IF(OR(1803364.51961="",628.63605="",884.8753=""),"-",(884.8753-628.63605)/1803364.51961*100)</f>
        <v>0.014208954829355021</v>
      </c>
      <c r="G82" s="27">
        <f>IF(OR(1851128.77138="",795.00121="",884.8753=""),"-",(795.00121-884.8753)/1851128.77138*100)</f>
        <v>-0.004855096597790962</v>
      </c>
    </row>
    <row r="83" spans="1:7" ht="15.75">
      <c r="A83" s="45" t="s">
        <v>203</v>
      </c>
      <c r="B83" s="27">
        <f>IF(782.2788="","-",782.2788)</f>
        <v>782.2788</v>
      </c>
      <c r="C83" s="27">
        <f>IF(OR(519.13359="",782.2788=""),"-",782.2788/519.13359*100)</f>
        <v>150.68930523258956</v>
      </c>
      <c r="D83" s="27">
        <f>IF(519.13359="","-",519.13359/1851128.77138*100)</f>
        <v>0.02804416408119412</v>
      </c>
      <c r="E83" s="27">
        <f>IF(782.2788="","-",782.2788/2192128.37338*100)</f>
        <v>0.03568581153820931</v>
      </c>
      <c r="F83" s="27" t="str">
        <f>IF(OR(1803364.51961="",""="",519.13359=""),"-",(519.13359-"")/1803364.51961*100)</f>
        <v>-</v>
      </c>
      <c r="G83" s="27">
        <f>IF(OR(1851128.77138="",782.2788="",519.13359=""),"-",(782.2788-519.13359)/1851128.77138*100)</f>
        <v>0.014215391931044732</v>
      </c>
    </row>
    <row r="84" spans="1:7" ht="15.75">
      <c r="A84" s="45" t="s">
        <v>120</v>
      </c>
      <c r="B84" s="27">
        <f>IF(751.63134="","-",751.63134)</f>
        <v>751.63134</v>
      </c>
      <c r="C84" s="27" t="s">
        <v>208</v>
      </c>
      <c r="D84" s="27">
        <f>IF(243.05497="","-",243.05497/1851128.77138*100)</f>
        <v>0.013130095202334557</v>
      </c>
      <c r="E84" s="27">
        <f>IF(751.63134="","-",751.63134/2192128.37338*100)</f>
        <v>0.03428774286795414</v>
      </c>
      <c r="F84" s="27">
        <f>IF(OR(1803364.51961="",210.01341="",243.05497=""),"-",(243.05497-210.01341)/1803364.51961*100)</f>
        <v>0.001832217482417013</v>
      </c>
      <c r="G84" s="27">
        <f>IF(OR(1851128.77138="",751.63134="",243.05497=""),"-",(751.63134-243.05497)/1851128.77138*100)</f>
        <v>0.0274738515149792</v>
      </c>
    </row>
    <row r="85" spans="1:7" ht="15.75">
      <c r="A85" s="45" t="s">
        <v>169</v>
      </c>
      <c r="B85" s="27">
        <f>IF(727.3691="","-",727.3691)</f>
        <v>727.3691</v>
      </c>
      <c r="C85" s="27" t="s">
        <v>26</v>
      </c>
      <c r="D85" s="27">
        <f>IF(371.43938="","-",371.43938/1851128.77138*100)</f>
        <v>0.020065561388422228</v>
      </c>
      <c r="E85" s="27">
        <f>IF(727.3691="","-",727.3691/2192128.37338*100)</f>
        <v>0.03318095367190945</v>
      </c>
      <c r="F85" s="27">
        <f>IF(OR(1803364.51961="",725.83131="",371.43938=""),"-",(371.43938-725.83131)/1803364.51961*100)</f>
        <v>-0.01965170802387981</v>
      </c>
      <c r="G85" s="27">
        <f>IF(OR(1851128.77138="",727.3691="",371.43938=""),"-",(727.3691-371.43938)/1851128.77138*100)</f>
        <v>0.019227712599089338</v>
      </c>
    </row>
    <row r="86" spans="1:7" ht="15.75">
      <c r="A86" s="45" t="s">
        <v>164</v>
      </c>
      <c r="B86" s="27">
        <f>IF(558.22111="","-",558.22111)</f>
        <v>558.22111</v>
      </c>
      <c r="C86" s="27">
        <f>IF(OR(455.80864="",558.22111=""),"-",558.22111/455.80864*100)</f>
        <v>122.46830380398228</v>
      </c>
      <c r="D86" s="27">
        <f>IF(455.80864="","-",455.80864/1851128.77138*100)</f>
        <v>0.02462328105138784</v>
      </c>
      <c r="E86" s="27">
        <f>IF(558.22111="","-",558.22111/2192128.37338*100)</f>
        <v>0.02546480018135479</v>
      </c>
      <c r="F86" s="27">
        <f>IF(OR(1803364.51961="",451.41788="",455.80864=""),"-",(455.80864-451.41788)/1803364.51961*100)</f>
        <v>0.00024347601121428057</v>
      </c>
      <c r="G86" s="27">
        <f>IF(OR(1851128.77138="",558.22111="",455.80864=""),"-",(558.22111-455.80864)/1851128.77138*100)</f>
        <v>0.005532433593134223</v>
      </c>
    </row>
    <row r="87" spans="1:7" ht="15.75">
      <c r="A87" s="45" t="s">
        <v>205</v>
      </c>
      <c r="B87" s="27">
        <f>IF(520.75765="","-",520.75765)</f>
        <v>520.75765</v>
      </c>
      <c r="C87" s="27">
        <f>IF(OR(485.669="",520.75765=""),"-",520.75765/485.669*100)</f>
        <v>107.22480743057514</v>
      </c>
      <c r="D87" s="27">
        <f>IF(485.669="","-",485.669/1851128.77138*100)</f>
        <v>0.026236370343805857</v>
      </c>
      <c r="E87" s="27">
        <f>IF(520.75765="","-",520.75765/2192128.37338*100)</f>
        <v>0.02375580081549029</v>
      </c>
      <c r="F87" s="27">
        <f>IF(OR(1803364.51961="",489.01475="",485.669=""),"-",(485.669-489.01475)/1803364.51961*100)</f>
        <v>-0.00018552821482389868</v>
      </c>
      <c r="G87" s="27">
        <f>IF(OR(1851128.77138="",520.75765="",485.669=""),"-",(520.75765-485.669)/1851128.77138*100)</f>
        <v>0.0018955272341125008</v>
      </c>
    </row>
    <row r="88" spans="1:7" ht="15.75">
      <c r="A88" s="45" t="s">
        <v>233</v>
      </c>
      <c r="B88" s="27">
        <f>IF(482.15933="","-",482.15933)</f>
        <v>482.15933</v>
      </c>
      <c r="C88" s="27" t="s">
        <v>265</v>
      </c>
      <c r="D88" s="27">
        <f>IF(118.14958="","-",118.14958/1851128.77138*100)</f>
        <v>0.006382569480129712</v>
      </c>
      <c r="E88" s="27">
        <f>IF(482.15933="","-",482.15933/2192128.37338*100)</f>
        <v>0.0219950316712779</v>
      </c>
      <c r="F88" s="27" t="str">
        <f>IF(OR(1803364.51961="",""="",118.14958=""),"-",(118.14958-"")/1803364.51961*100)</f>
        <v>-</v>
      </c>
      <c r="G88" s="27">
        <f>IF(OR(1851128.77138="",482.15933="",118.14958=""),"-",(482.15933-118.14958)/1851128.77138*100)</f>
        <v>0.019664204653284816</v>
      </c>
    </row>
    <row r="89" spans="1:7" ht="15.75">
      <c r="A89" s="45" t="s">
        <v>231</v>
      </c>
      <c r="B89" s="27">
        <f>IF(403.42283="","-",403.42283)</f>
        <v>403.42283</v>
      </c>
      <c r="C89" s="27">
        <f>IF(OR(865.1805="",403.42283=""),"-",403.42283/865.1805*100)</f>
        <v>46.62874741166727</v>
      </c>
      <c r="D89" s="27">
        <f>IF(865.1805="","-",865.1805/1851128.77138*100)</f>
        <v>0.04673799647957584</v>
      </c>
      <c r="E89" s="27">
        <f>IF(403.42283="","-",403.42283/2192128.37338*100)</f>
        <v>0.018403248409123513</v>
      </c>
      <c r="F89" s="27">
        <f>IF(OR(1803364.51961="",153.19952="",865.1805=""),"-",(865.1805-153.19952)/1803364.51961*100)</f>
        <v>0.03948070244578033</v>
      </c>
      <c r="G89" s="27">
        <f>IF(OR(1851128.77138="",403.42283="",865.1805=""),"-",(403.42283-865.1805)/1851128.77138*100)</f>
        <v>-0.024944654155840483</v>
      </c>
    </row>
    <row r="90" spans="1:7" s="31" customFormat="1" ht="15.75">
      <c r="A90" s="45" t="s">
        <v>182</v>
      </c>
      <c r="B90" s="27">
        <f>IF(369.59657="","-",369.59657)</f>
        <v>369.59657</v>
      </c>
      <c r="C90" s="27">
        <f>IF(OR(263.51736="",369.59657=""),"-",369.59657/263.51736*100)</f>
        <v>140.25511260434607</v>
      </c>
      <c r="D90" s="27">
        <f>IF(263.51736="","-",263.51736/1851128.77138*100)</f>
        <v>0.014235495880902447</v>
      </c>
      <c r="E90" s="27">
        <f>IF(369.59657="","-",369.59657/2192128.37338*100)</f>
        <v>0.016860169983116742</v>
      </c>
      <c r="F90" s="27">
        <f>IF(OR(1803364.51961="",171.56458="",263.51736=""),"-",(263.51736-171.56458)/1803364.51961*100)</f>
        <v>0.005098956921914263</v>
      </c>
      <c r="G90" s="27">
        <f>IF(OR(1851128.77138="",369.59657="",263.51736=""),"-",(369.59657-263.51736)/1851128.77138*100)</f>
        <v>0.005730514896644326</v>
      </c>
    </row>
    <row r="91" spans="1:7" ht="15.75">
      <c r="A91" s="45" t="s">
        <v>188</v>
      </c>
      <c r="B91" s="27">
        <f>IF(354.12978="","-",354.12978)</f>
        <v>354.12978</v>
      </c>
      <c r="C91" s="27">
        <f>IF(OR(241.55899="",354.12978=""),"-",354.12978/241.55899*100)</f>
        <v>146.60178037671045</v>
      </c>
      <c r="D91" s="27">
        <f>IF(241.55899="","-",241.55899/1851128.77138*100)</f>
        <v>0.013049280727235412</v>
      </c>
      <c r="E91" s="27">
        <f>IF(354.12978="","-",354.12978/2192128.37338*100)</f>
        <v>0.016154609570331605</v>
      </c>
      <c r="F91" s="27">
        <f>IF(OR(1803364.51961="",373.93572="",241.55899=""),"-",(241.55899-373.93572)/1803364.51961*100)</f>
        <v>-0.0073405420013824005</v>
      </c>
      <c r="G91" s="27">
        <f>IF(OR(1851128.77138="",354.12978="",241.55899=""),"-",(354.12978-241.55899)/1851128.77138*100)</f>
        <v>0.006081197145246652</v>
      </c>
    </row>
    <row r="92" spans="1:7" ht="15.75">
      <c r="A92" s="45" t="s">
        <v>114</v>
      </c>
      <c r="B92" s="27">
        <f>IF(292.4594="","-",292.4594)</f>
        <v>292.4594</v>
      </c>
      <c r="C92" s="27">
        <f>IF(OR(304.87012="",292.4594=""),"-",292.4594/304.87012*100)</f>
        <v>95.92917797257402</v>
      </c>
      <c r="D92" s="27">
        <f>IF(304.87012="","-",304.87012/1851128.77138*100)</f>
        <v>0.016469417185532804</v>
      </c>
      <c r="E92" s="27">
        <f>IF(292.4594="","-",292.4594/2192128.37338*100)</f>
        <v>0.013341344583258261</v>
      </c>
      <c r="F92" s="27">
        <f>IF(OR(1803364.51961="",183.97601="",304.87012=""),"-",(304.87012-183.97601)/1803364.51961*100)</f>
        <v>0.006703808835395344</v>
      </c>
      <c r="G92" s="27">
        <f>IF(OR(1851128.77138="",292.4594="",304.87012=""),"-",(292.4594-304.87012)/1851128.77138*100)</f>
        <v>-0.0006704406625773467</v>
      </c>
    </row>
    <row r="93" spans="1:7" ht="15.75">
      <c r="A93" s="45" t="s">
        <v>173</v>
      </c>
      <c r="B93" s="27">
        <f>IF(288.12969="","-",288.12969)</f>
        <v>288.12969</v>
      </c>
      <c r="C93" s="27">
        <f>IF(OR(285.37274="",288.12969=""),"-",288.12969/285.37274*100)</f>
        <v>100.96608737050357</v>
      </c>
      <c r="D93" s="27">
        <f>IF(285.37274="","-",285.37274/1851128.77138*100)</f>
        <v>0.015416147402174358</v>
      </c>
      <c r="E93" s="27">
        <f>IF(288.12969="","-",288.12969/2192128.37338*100)</f>
        <v>0.013143832884008453</v>
      </c>
      <c r="F93" s="27">
        <f>IF(OR(1803364.51961="",467.38855="",285.37274=""),"-",(285.37274-467.38855)/1803364.51961*100)</f>
        <v>-0.010093123604281799</v>
      </c>
      <c r="G93" s="27">
        <f>IF(OR(1851128.77138="",288.12969="",285.37274=""),"-",(288.12969-285.37274)/1851128.77138*100)</f>
        <v>0.00014893345307061913</v>
      </c>
    </row>
    <row r="94" spans="1:7" ht="15.75">
      <c r="A94" s="45" t="s">
        <v>156</v>
      </c>
      <c r="B94" s="27">
        <f>IF(283.66265="","-",283.66265)</f>
        <v>283.66265</v>
      </c>
      <c r="C94" s="27">
        <f>IF(OR(1429.88723="",283.66265=""),"-",283.66265/1429.88723*100)</f>
        <v>19.838113387445244</v>
      </c>
      <c r="D94" s="27">
        <f>IF(1429.88723="","-",1429.88723/1851128.77138*100)</f>
        <v>0.07724407140698439</v>
      </c>
      <c r="E94" s="27">
        <f>IF(283.66265="","-",283.66265/2192128.37338*100)</f>
        <v>0.01294005649690242</v>
      </c>
      <c r="F94" s="27">
        <f>IF(OR(1803364.51961="",527.76143="",1429.88723=""),"-",(1429.88723-527.76143)/1803364.51961*100)</f>
        <v>0.050024595149243366</v>
      </c>
      <c r="G94" s="27">
        <f>IF(OR(1851128.77138="",283.66265="",1429.88723=""),"-",(283.66265-1429.88723)/1851128.77138*100)</f>
        <v>-0.06192030493618766</v>
      </c>
    </row>
    <row r="95" spans="1:7" ht="15.75">
      <c r="A95" s="45" t="s">
        <v>234</v>
      </c>
      <c r="B95" s="27">
        <f>IF(242.01661="","-",242.01661)</f>
        <v>242.01661</v>
      </c>
      <c r="C95" s="27">
        <f>IF(OR(282.85589="",242.01661=""),"-",242.01661/282.85589*100)</f>
        <v>85.56180675608346</v>
      </c>
      <c r="D95" s="27">
        <f>IF(282.85589="","-",282.85589/1851128.77138*100)</f>
        <v>0.015280184413596113</v>
      </c>
      <c r="E95" s="27">
        <f>IF(242.01661="","-",242.01661/2192128.37338*100)</f>
        <v>0.011040257173754807</v>
      </c>
      <c r="F95" s="27">
        <f>IF(OR(1803364.51961="",299.8078="",282.85589=""),"-",(282.85589-299.8078)/1803364.51961*100)</f>
        <v>-0.0009400157214840879</v>
      </c>
      <c r="G95" s="27">
        <f>IF(OR(1851128.77138="",242.01661="",282.85589=""),"-",(242.01661-282.85589)/1851128.77138*100)</f>
        <v>-0.0022061825536618222</v>
      </c>
    </row>
    <row r="96" spans="1:7" ht="15.75">
      <c r="A96" s="45" t="s">
        <v>163</v>
      </c>
      <c r="B96" s="27">
        <f>IF(209.09636="","-",209.09636)</f>
        <v>209.09636</v>
      </c>
      <c r="C96" s="27">
        <f>IF(OR(512.03324="",209.09636=""),"-",209.09636/512.03324*100)</f>
        <v>40.83648163154408</v>
      </c>
      <c r="D96" s="27">
        <f>IF(512.03324="","-",512.03324/1851128.77138*100)</f>
        <v>0.027660595411646255</v>
      </c>
      <c r="E96" s="27">
        <f>IF(209.09636="","-",209.09636/2192128.37338*100)</f>
        <v>0.009538508900261092</v>
      </c>
      <c r="F96" s="27">
        <f>IF(OR(1803364.51961="",621.98685="",512.03324=""),"-",(512.03324-621.98685)/1803364.51961*100)</f>
        <v>-0.006097137256741574</v>
      </c>
      <c r="G96" s="27">
        <f>IF(OR(1851128.77138="",209.09636="",512.03324=""),"-",(209.09636-512.03324)/1851128.77138*100)</f>
        <v>-0.01636498144719361</v>
      </c>
    </row>
    <row r="97" spans="1:7" ht="15.75">
      <c r="A97" s="45" t="s">
        <v>211</v>
      </c>
      <c r="B97" s="27">
        <f>IF(186.65941="","-",186.65941)</f>
        <v>186.65941</v>
      </c>
      <c r="C97" s="27">
        <f>IF(OR(362.46351="",186.65941=""),"-",186.65941/362.46351*100)</f>
        <v>51.497434872823476</v>
      </c>
      <c r="D97" s="27">
        <f>IF(362.46351="","-",362.46351/1851128.77138*100)</f>
        <v>0.019580675078038286</v>
      </c>
      <c r="E97" s="27">
        <f>IF(186.65941="","-",186.65941/2192128.37338*100)</f>
        <v>0.008514985357002314</v>
      </c>
      <c r="F97" s="27">
        <f>IF(OR(1803364.51961="",48.29934="",362.46351=""),"-",(362.46351-48.29934)/1803364.51961*100)</f>
        <v>0.017421002053868838</v>
      </c>
      <c r="G97" s="27">
        <f>IF(OR(1851128.77138="",186.65941="",362.46351=""),"-",(186.65941-362.46351)/1851128.77138*100)</f>
        <v>-0.009497129682066343</v>
      </c>
    </row>
    <row r="98" spans="1:7" ht="15.75">
      <c r="A98" s="45" t="s">
        <v>187</v>
      </c>
      <c r="B98" s="27">
        <f>IF(186.33116="","-",186.33116)</f>
        <v>186.33116</v>
      </c>
      <c r="C98" s="27" t="str">
        <f>IF(OR(""="",186.33116=""),"-",186.33116/""*100)</f>
        <v>-</v>
      </c>
      <c r="D98" s="27" t="str">
        <f>IF(""="","-",""/1851128.77138*100)</f>
        <v>-</v>
      </c>
      <c r="E98" s="27">
        <f>IF(186.33116="","-",186.33116/2192128.37338*100)</f>
        <v>0.008500011325189849</v>
      </c>
      <c r="F98" s="27" t="str">
        <f>IF(OR(1803364.51961="",163.41066="",""=""),"-",(""-163.41066)/1803364.51961*100)</f>
        <v>-</v>
      </c>
      <c r="G98" s="27" t="str">
        <f>IF(OR(1851128.77138="",186.33116="",""=""),"-",(186.33116-"")/1851128.77138*100)</f>
        <v>-</v>
      </c>
    </row>
    <row r="99" spans="1:7" ht="15.75">
      <c r="A99" s="45" t="s">
        <v>247</v>
      </c>
      <c r="B99" s="27">
        <f>IF(182.62207="","-",182.62207)</f>
        <v>182.62207</v>
      </c>
      <c r="C99" s="27" t="s">
        <v>208</v>
      </c>
      <c r="D99" s="27">
        <f>IF(58.40482="","-",58.40482/1851128.77138*100)</f>
        <v>0.00315509222821164</v>
      </c>
      <c r="E99" s="27">
        <f>IF(182.62207="","-",182.62207/2192128.37338*100)</f>
        <v>0.008330810924107451</v>
      </c>
      <c r="F99" s="27">
        <f>IF(OR(1803364.51961="",18.09034="",58.40482=""),"-",(58.40482-18.09034)/1803364.51961*100)</f>
        <v>0.0022355147593077027</v>
      </c>
      <c r="G99" s="27">
        <f>IF(OR(1851128.77138="",182.62207="",58.40482=""),"-",(182.62207-58.40482)/1851128.77138*100)</f>
        <v>0.006710351647087045</v>
      </c>
    </row>
    <row r="100" spans="1:7" ht="15.75">
      <c r="A100" s="45" t="s">
        <v>121</v>
      </c>
      <c r="B100" s="27">
        <f>IF(180.53281="","-",180.53281)</f>
        <v>180.53281</v>
      </c>
      <c r="C100" s="27" t="s">
        <v>266</v>
      </c>
      <c r="D100" s="27">
        <f>IF(56.39275="","-",56.39275/1851128.77138*100)</f>
        <v>0.0030463980070905444</v>
      </c>
      <c r="E100" s="27">
        <f>IF(180.53281="","-",180.53281/2192128.37338*100)</f>
        <v>0.008235503549531637</v>
      </c>
      <c r="F100" s="27">
        <f>IF(OR(1803364.51961="",83.51252="",56.39275=""),"-",(56.39275-83.51252)/1803364.51961*100)</f>
        <v>-0.001503842939411106</v>
      </c>
      <c r="G100" s="27">
        <f>IF(OR(1851128.77138="",180.53281="",56.39275=""),"-",(180.53281-56.39275)/1851128.77138*100)</f>
        <v>0.006706181758898096</v>
      </c>
    </row>
    <row r="101" spans="1:7" ht="15.75">
      <c r="A101" s="45" t="s">
        <v>232</v>
      </c>
      <c r="B101" s="27">
        <f>IF(177.95744="","-",177.95744)</f>
        <v>177.95744</v>
      </c>
      <c r="C101" s="27" t="str">
        <f>IF(OR(""="",177.95744=""),"-",177.95744/""*100)</f>
        <v>-</v>
      </c>
      <c r="D101" s="27" t="str">
        <f>IF(""="","-",""/1851128.77138*100)</f>
        <v>-</v>
      </c>
      <c r="E101" s="27">
        <f>IF(177.95744="","-",177.95744/2192128.37338*100)</f>
        <v>0.008118020922543458</v>
      </c>
      <c r="F101" s="27" t="str">
        <f>IF(OR(1803364.51961="",""="",""=""),"-",(""-"")/1803364.51961*100)</f>
        <v>-</v>
      </c>
      <c r="G101" s="27" t="str">
        <f>IF(OR(1851128.77138="",177.95744="",""=""),"-",(177.95744-"")/1851128.77138*100)</f>
        <v>-</v>
      </c>
    </row>
    <row r="102" spans="1:7" ht="15.75">
      <c r="A102" s="45" t="s">
        <v>204</v>
      </c>
      <c r="B102" s="27">
        <f>IF(174.27736="","-",174.27736)</f>
        <v>174.27736</v>
      </c>
      <c r="C102" s="27" t="s">
        <v>267</v>
      </c>
      <c r="D102" s="27">
        <f>IF(50.57699="","-",50.57699/1851128.77138*100)</f>
        <v>0.002732224293737021</v>
      </c>
      <c r="E102" s="27">
        <f>IF(174.27736="","-",174.27736/2192128.37338*100)</f>
        <v>0.007950143892863588</v>
      </c>
      <c r="F102" s="27">
        <f>IF(OR(1803364.51961="",27.7076="",50.57699=""),"-",(50.57699-27.7076)/1803364.51961*100)</f>
        <v>0.0012681512667747168</v>
      </c>
      <c r="G102" s="27">
        <f>IF(OR(1851128.77138="",174.27736="",50.57699=""),"-",(174.27736-50.57699)/1851128.77138*100)</f>
        <v>0.006682429224401415</v>
      </c>
    </row>
    <row r="103" spans="1:7" ht="15.75">
      <c r="A103" s="45" t="s">
        <v>167</v>
      </c>
      <c r="B103" s="27">
        <f>IF(119.69828="","-",119.69828)</f>
        <v>119.69828</v>
      </c>
      <c r="C103" s="27" t="s">
        <v>212</v>
      </c>
      <c r="D103" s="27">
        <f>IF(40.49776="","-",40.49776/1851128.77138*100)</f>
        <v>0.0021877332698907424</v>
      </c>
      <c r="E103" s="27">
        <f>IF(119.69828="","-",119.69828/2192128.37338*100)</f>
        <v>0.005460368172482507</v>
      </c>
      <c r="F103" s="27" t="str">
        <f>IF(OR(1803364.51961="",""="",40.49776=""),"-",(40.49776-"")/1803364.51961*100)</f>
        <v>-</v>
      </c>
      <c r="G103" s="27">
        <f>IF(OR(1851128.77138="",119.69828="",40.49776=""),"-",(119.69828-40.49776)/1851128.77138*100)</f>
        <v>0.004278498677374925</v>
      </c>
    </row>
    <row r="104" spans="1:7" ht="15.75">
      <c r="A104" s="45" t="s">
        <v>179</v>
      </c>
      <c r="B104" s="27">
        <f>IF(94.90115="","-",94.90115)</f>
        <v>94.90115</v>
      </c>
      <c r="C104" s="27" t="str">
        <f>IF(OR(""="",94.90115=""),"-",94.90115/""*100)</f>
        <v>-</v>
      </c>
      <c r="D104" s="27" t="str">
        <f>IF(""="","-",""/1851128.77138*100)</f>
        <v>-</v>
      </c>
      <c r="E104" s="27">
        <f>IF(94.90115="","-",94.90115/2192128.37338*100)</f>
        <v>0.004329178489381705</v>
      </c>
      <c r="F104" s="27" t="str">
        <f>IF(OR(1803364.51961="",""="",""=""),"-",(""-"")/1803364.51961*100)</f>
        <v>-</v>
      </c>
      <c r="G104" s="27" t="str">
        <f>IF(OR(1851128.77138="",94.90115="",""=""),"-",(94.90115-"")/1851128.77138*100)</f>
        <v>-</v>
      </c>
    </row>
    <row r="105" spans="1:7" ht="15.75">
      <c r="A105" s="45" t="s">
        <v>223</v>
      </c>
      <c r="B105" s="27">
        <f>IF(64.1936="","-",64.1936)</f>
        <v>64.1936</v>
      </c>
      <c r="C105" s="27" t="s">
        <v>243</v>
      </c>
      <c r="D105" s="27">
        <f>IF(14.606="","-",14.606/1851128.77138*100)</f>
        <v>0.0007890320881951046</v>
      </c>
      <c r="E105" s="27">
        <f>IF(64.1936="","-",64.1936/2192128.37338*100)</f>
        <v>0.0029283686475450868</v>
      </c>
      <c r="F105" s="27" t="str">
        <f>IF(OR(1803364.51961="",""="",14.606=""),"-",(14.606-"")/1803364.51961*100)</f>
        <v>-</v>
      </c>
      <c r="G105" s="27">
        <f>IF(OR(1851128.77138="",64.1936="",14.606=""),"-",(64.1936-14.606)/1851128.77138*100)</f>
        <v>0.002678776364273831</v>
      </c>
    </row>
    <row r="106" spans="1:7" ht="15.75">
      <c r="A106" s="45" t="s">
        <v>174</v>
      </c>
      <c r="B106" s="27">
        <f>IF(59.2493="","-",59.2493)</f>
        <v>59.2493</v>
      </c>
      <c r="C106" s="27">
        <f>IF(OR(253.5538="",59.2493=""),"-",59.2493/253.5538*100)</f>
        <v>23.367545664864814</v>
      </c>
      <c r="D106" s="27">
        <f>IF(253.5538="","-",253.5538/1851128.77138*100)</f>
        <v>0.013697253476913866</v>
      </c>
      <c r="E106" s="27">
        <f>IF(59.2493="","-",59.2493/2192128.37338*100)</f>
        <v>0.0027028207252591083</v>
      </c>
      <c r="F106" s="27">
        <f>IF(OR(1803364.51961="",288.49697="",253.5538=""),"-",(253.5538-288.49697)/1803364.51961*100)</f>
        <v>-0.0019376653815700484</v>
      </c>
      <c r="G106" s="27">
        <f>IF(OR(1851128.77138="",59.2493="",253.5538=""),"-",(59.2493-253.5538)/1851128.77138*100)</f>
        <v>-0.010496541515863735</v>
      </c>
    </row>
    <row r="107" spans="1:7" ht="15.75">
      <c r="A107" s="45" t="s">
        <v>237</v>
      </c>
      <c r="B107" s="27">
        <f>IF(55.15="","-",55.15)</f>
        <v>55.15</v>
      </c>
      <c r="C107" s="27" t="str">
        <f>IF(OR(""="",55.15=""),"-",55.15/""*100)</f>
        <v>-</v>
      </c>
      <c r="D107" s="27" t="str">
        <f>IF(""="","-",""/1851128.77138*100)</f>
        <v>-</v>
      </c>
      <c r="E107" s="27">
        <f>IF(55.15="","-",55.15/2192128.37338*100)</f>
        <v>0.0025158198155596743</v>
      </c>
      <c r="F107" s="27" t="str">
        <f>IF(OR(1803364.51961="",""="",""=""),"-",(""-"")/1803364.51961*100)</f>
        <v>-</v>
      </c>
      <c r="G107" s="27" t="str">
        <f>IF(OR(1851128.77138="",55.15="",""=""),"-",(55.15-"")/1851128.77138*100)</f>
        <v>-</v>
      </c>
    </row>
    <row r="108" spans="1:7" ht="15.75">
      <c r="A108" s="45" t="s">
        <v>168</v>
      </c>
      <c r="B108" s="27">
        <f>IF(51.06442="","-",51.06442)</f>
        <v>51.06442</v>
      </c>
      <c r="C108" s="27" t="s">
        <v>249</v>
      </c>
      <c r="D108" s="27">
        <f>IF(7.225="","-",7.225/1851128.77138*100)</f>
        <v>0.00039030239882306114</v>
      </c>
      <c r="E108" s="27">
        <f>IF(51.06442="","-",51.06442/2192128.37338*100)</f>
        <v>0.0023294447816149004</v>
      </c>
      <c r="F108" s="27" t="str">
        <f>IF(OR(1803364.51961="",""="",7.225=""),"-",(7.225-"")/1803364.51961*100)</f>
        <v>-</v>
      </c>
      <c r="G108" s="27">
        <f>IF(OR(1851128.77138="",51.06442="",7.225=""),"-",(51.06442-7.225)/1851128.77138*100)</f>
        <v>0.0023682533964030014</v>
      </c>
    </row>
    <row r="109" spans="1:7" ht="15.75">
      <c r="A109" s="45" t="s">
        <v>192</v>
      </c>
      <c r="B109" s="27">
        <f>IF(50.37223="","-",50.37223)</f>
        <v>50.37223</v>
      </c>
      <c r="C109" s="27">
        <f>IF(OR(41.16549="",50.37223=""),"-",50.37223/41.16549*100)</f>
        <v>122.365189871419</v>
      </c>
      <c r="D109" s="27">
        <f>IF(41.16549="","-",41.16549/1851128.77138*100)</f>
        <v>0.00222380477449505</v>
      </c>
      <c r="E109" s="27">
        <f>IF(50.37223="","-",50.37223/2192128.37338*100)</f>
        <v>0.00229786861990806</v>
      </c>
      <c r="F109" s="27">
        <f>IF(OR(1803364.51961="",43.08568="",41.16549=""),"-",(41.16549-43.08568)/1803364.51961*100)</f>
        <v>-0.00010647819556831861</v>
      </c>
      <c r="G109" s="27">
        <f>IF(OR(1851128.77138="",50.37223="",41.16549=""),"-",(50.37223-41.16549)/1851128.77138*100)</f>
        <v>0.0004973581601854991</v>
      </c>
    </row>
    <row r="110" spans="1:7" ht="15.75">
      <c r="A110" s="49" t="s">
        <v>27</v>
      </c>
      <c r="B110" s="49"/>
      <c r="C110" s="49"/>
      <c r="D110" s="49"/>
      <c r="E110" s="49"/>
      <c r="F110" s="49"/>
      <c r="G110" s="49"/>
    </row>
  </sheetData>
  <sheetProtection/>
  <mergeCells count="10">
    <mergeCell ref="A110:G110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7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32.375" style="0" customWidth="1"/>
    <col min="2" max="2" width="11.375" style="0" customWidth="1"/>
    <col min="3" max="3" width="10.2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63" t="s">
        <v>30</v>
      </c>
      <c r="B1" s="63"/>
      <c r="C1" s="63"/>
      <c r="D1" s="63"/>
      <c r="E1" s="63"/>
      <c r="F1" s="63"/>
      <c r="G1" s="63"/>
    </row>
    <row r="2" ht="15.75">
      <c r="A2" s="2"/>
    </row>
    <row r="3" spans="1:7" ht="56.25" customHeight="1">
      <c r="A3" s="64"/>
      <c r="B3" s="67" t="s">
        <v>254</v>
      </c>
      <c r="C3" s="68"/>
      <c r="D3" s="67" t="s">
        <v>230</v>
      </c>
      <c r="E3" s="68"/>
      <c r="F3" s="69" t="s">
        <v>220</v>
      </c>
      <c r="G3" s="70"/>
    </row>
    <row r="4" spans="1:7" ht="30" customHeight="1">
      <c r="A4" s="65"/>
      <c r="B4" s="71" t="s">
        <v>217</v>
      </c>
      <c r="C4" s="73" t="s">
        <v>255</v>
      </c>
      <c r="D4" s="75" t="s">
        <v>256</v>
      </c>
      <c r="E4" s="75"/>
      <c r="F4" s="75" t="s">
        <v>256</v>
      </c>
      <c r="G4" s="67"/>
    </row>
    <row r="5" spans="1:7" ht="26.25" customHeight="1">
      <c r="A5" s="66"/>
      <c r="B5" s="72"/>
      <c r="C5" s="74"/>
      <c r="D5" s="18">
        <v>2016</v>
      </c>
      <c r="E5" s="18">
        <v>2017</v>
      </c>
      <c r="F5" s="18" t="s">
        <v>2</v>
      </c>
      <c r="G5" s="19" t="s">
        <v>186</v>
      </c>
    </row>
    <row r="6" spans="1:7" s="3" customFormat="1" ht="15">
      <c r="A6" s="7" t="s">
        <v>29</v>
      </c>
      <c r="B6" s="34">
        <f>IF(4359977.4969="","-",4359977.4969)</f>
        <v>4359977.4969</v>
      </c>
      <c r="C6" s="34">
        <f>IF(3628984.82886="","-",4359977.4969/3628984.82886*100)</f>
        <v>120.14317233366975</v>
      </c>
      <c r="D6" s="34">
        <v>100</v>
      </c>
      <c r="E6" s="34">
        <v>100</v>
      </c>
      <c r="F6" s="34">
        <f>IF(3634169.64824="","-",(3628984.82886-3634169.64824)/3634169.64824*100)</f>
        <v>-0.14266861159085406</v>
      </c>
      <c r="G6" s="34">
        <f>IF(3628984.82886="","-",(4359977.4969-3628984.82886)/3628984.82886*100)</f>
        <v>20.14317233366975</v>
      </c>
    </row>
    <row r="7" spans="1:7" ht="12.75" customHeight="1">
      <c r="A7" s="8" t="s">
        <v>3</v>
      </c>
      <c r="B7" s="44"/>
      <c r="C7" s="38"/>
      <c r="D7" s="39"/>
      <c r="E7" s="39"/>
      <c r="F7" s="40"/>
      <c r="G7" s="40"/>
    </row>
    <row r="8" spans="1:7" ht="15.75">
      <c r="A8" s="9" t="s">
        <v>4</v>
      </c>
      <c r="B8" s="26">
        <f>IF(2169763.21379="","-",2169763.21379)</f>
        <v>2169763.21379</v>
      </c>
      <c r="C8" s="26">
        <f>IF(1795197.31="","-",2169763.21379/1795197.31*100)</f>
        <v>120.86488775932935</v>
      </c>
      <c r="D8" s="26">
        <f>IF(1795197.31="","-",1795197.31/3628984.82886*100)</f>
        <v>49.46830572901399</v>
      </c>
      <c r="E8" s="26">
        <f>IF(2169763.21379="","-",2169763.21379/4359977.4969*100)</f>
        <v>49.76546817805206</v>
      </c>
      <c r="F8" s="26">
        <f>IF(3634169.64824="","-",(1795197.31-1797419.11259)/3634169.64824*100)</f>
        <v>-0.06113645770708528</v>
      </c>
      <c r="G8" s="26">
        <f>IF(3628984.82886="","-",(2169763.21379-1795197.31)/3628984.82886*100)</f>
        <v>10.321506466800665</v>
      </c>
    </row>
    <row r="9" spans="1:7" s="16" customFormat="1" ht="15.75">
      <c r="A9" s="45" t="s">
        <v>5</v>
      </c>
      <c r="B9" s="27">
        <f>IF(631768.98588="","-",631768.98588)</f>
        <v>631768.98588</v>
      </c>
      <c r="C9" s="27">
        <f>IF(OR(502059.20595="",631768.98588=""),"-",631768.98588/502059.20595*100)</f>
        <v>125.83555453077737</v>
      </c>
      <c r="D9" s="27">
        <f>IF(502059.20595="","-",502059.20595/3628984.82886*100)</f>
        <v>13.834701152710952</v>
      </c>
      <c r="E9" s="27">
        <f>IF(631768.98588="","-",631768.98588/4359977.4969*100)</f>
        <v>14.490189142700757</v>
      </c>
      <c r="F9" s="27">
        <f>IF(OR(3634169.64824="",518946.31179="",502059.20595=""),"-",(502059.20595-518946.31179)/3634169.64824*100)</f>
        <v>-0.4646757712089287</v>
      </c>
      <c r="G9" s="27">
        <f>IF(OR(3628984.82886="",631768.98588="",502059.20595=""),"-",(631768.98588-502059.20595)/3628984.82886*100)</f>
        <v>3.5742717604787226</v>
      </c>
    </row>
    <row r="10" spans="1:7" s="16" customFormat="1" ht="15.75">
      <c r="A10" s="45" t="s">
        <v>7</v>
      </c>
      <c r="B10" s="27">
        <f>IF(353520.11738="","-",353520.11738)</f>
        <v>353520.11738</v>
      </c>
      <c r="C10" s="27">
        <f>IF(OR(288258.09398="",353520.11738=""),"-",353520.11738/288258.09398*100)</f>
        <v>122.64013561559455</v>
      </c>
      <c r="D10" s="27">
        <f>IF(288258.09398="","-",288258.09398/3628984.82886*100)</f>
        <v>7.9432157359156745</v>
      </c>
      <c r="E10" s="27">
        <f>IF(353520.11738="","-",353520.11738/4359977.4969*100)</f>
        <v>8.10830142199948</v>
      </c>
      <c r="F10" s="27">
        <f>IF(OR(3634169.64824="",295115.64323="",288258.09398=""),"-",(288258.09398-295115.64323)/3634169.64824*100)</f>
        <v>-0.18869645376409544</v>
      </c>
      <c r="G10" s="27">
        <f>IF(OR(3628984.82886="",353520.11738="",288258.09398=""),"-",(353520.11738-288258.09398)/3628984.82886*100)</f>
        <v>1.7983548148505557</v>
      </c>
    </row>
    <row r="11" spans="1:7" s="16" customFormat="1" ht="15.75">
      <c r="A11" s="45" t="s">
        <v>6</v>
      </c>
      <c r="B11" s="27">
        <f>IF(304862.00845="","-",304862.00845)</f>
        <v>304862.00845</v>
      </c>
      <c r="C11" s="27">
        <f>IF(OR(258618.77805="",304862.00845=""),"-",304862.00845/258618.77805*100)</f>
        <v>117.88084792166933</v>
      </c>
      <c r="D11" s="27">
        <f>IF(258618.77805="","-",258618.77805/3628984.82886*100)</f>
        <v>7.126477244911543</v>
      </c>
      <c r="E11" s="27">
        <f>IF(304862.00845="","-",304862.00845/4359977.4969*100)</f>
        <v>6.992283989235284</v>
      </c>
      <c r="F11" s="27">
        <f>IF(OR(3634169.64824="",254737.71522="",258618.77805=""),"-",(258618.77805-254737.71522)/3634169.64824*100)</f>
        <v>0.10679366143183627</v>
      </c>
      <c r="G11" s="27">
        <f>IF(OR(3628984.82886="",304862.00845="",258618.77805=""),"-",(304862.00845-258618.77805)/3628984.82886*100)</f>
        <v>1.274274558335003</v>
      </c>
    </row>
    <row r="12" spans="1:7" s="16" customFormat="1" ht="15.75">
      <c r="A12" s="45" t="s">
        <v>8</v>
      </c>
      <c r="B12" s="27">
        <f>IF(148525.10812="","-",148525.10812)</f>
        <v>148525.10812</v>
      </c>
      <c r="C12" s="27">
        <f>IF(OR(117885.13986="",148525.10812=""),"-",148525.10812/117885.13986*100)</f>
        <v>125.99137456713197</v>
      </c>
      <c r="D12" s="27">
        <f>IF(117885.13986="","-",117885.13986/3628984.82886*100)</f>
        <v>3.248432975594228</v>
      </c>
      <c r="E12" s="27">
        <f>IF(148525.10812="","-",148525.10812/4359977.4969*100)</f>
        <v>3.4065567591943595</v>
      </c>
      <c r="F12" s="27">
        <f>IF(OR(3634169.64824="",112952.98461="",117885.13986=""),"-",(117885.13986-112952.98461)/3634169.64824*100)</f>
        <v>0.1357161532728281</v>
      </c>
      <c r="G12" s="27">
        <f>IF(OR(3628984.82886="",148525.10812="",117885.13986=""),"-",(148525.10812-117885.13986)/3628984.82886*100)</f>
        <v>0.8443123822489266</v>
      </c>
    </row>
    <row r="13" spans="1:7" s="16" customFormat="1" ht="15.75">
      <c r="A13" s="45" t="s">
        <v>200</v>
      </c>
      <c r="B13" s="27">
        <f>IF(102733.17146="","-",102733.17146)</f>
        <v>102733.17146</v>
      </c>
      <c r="C13" s="27">
        <f>IF(OR(82591.87267="",102733.17146=""),"-",102733.17146/82591.87267*100)</f>
        <v>124.38653845575772</v>
      </c>
      <c r="D13" s="27">
        <f>IF(82591.87267="","-",82591.87267/3628984.82886*100)</f>
        <v>2.2758946803297935</v>
      </c>
      <c r="E13" s="27">
        <f>IF(102733.17146="","-",102733.17146/4359977.4969*100)</f>
        <v>2.3562775618233034</v>
      </c>
      <c r="F13" s="27">
        <f>IF(OR(3634169.64824="",73874.18034="",82591.87267=""),"-",(82591.87267-73874.18034)/3634169.64824*100)</f>
        <v>0.2398812706561979</v>
      </c>
      <c r="G13" s="27">
        <f>IF(OR(3628984.82886="",102733.17146="",82591.87267=""),"-",(102733.17146-82591.87267)/3628984.82886*100)</f>
        <v>0.5550119314311694</v>
      </c>
    </row>
    <row r="14" spans="1:7" s="16" customFormat="1" ht="15.75">
      <c r="A14" s="45" t="s">
        <v>125</v>
      </c>
      <c r="B14" s="27">
        <f>IF(91558.77228="","-",91558.77228)</f>
        <v>91558.77228</v>
      </c>
      <c r="C14" s="27">
        <f>IF(OR(72772.69636="",91558.77228=""),"-",91558.77228/72772.69636*100)</f>
        <v>125.81473115557924</v>
      </c>
      <c r="D14" s="27">
        <f>IF(72772.69636="","-",72772.69636/3628984.82886*100)</f>
        <v>2.0053182857438574</v>
      </c>
      <c r="E14" s="27">
        <f>IF(91558.77228="","-",91558.77228/4359977.4969*100)</f>
        <v>2.099982679844093</v>
      </c>
      <c r="F14" s="27">
        <f>IF(OR(3634169.64824="",62667.54225="",72772.69636=""),"-",(72772.69636-62667.54225)/3634169.64824*100)</f>
        <v>0.2780595043187885</v>
      </c>
      <c r="G14" s="27">
        <f>IF(OR(3628984.82886="",91558.77228="",72772.69636=""),"-",(91558.77228-72772.69636)/3628984.82886*100)</f>
        <v>0.5176675242784472</v>
      </c>
    </row>
    <row r="15" spans="1:7" s="16" customFormat="1" ht="15.75">
      <c r="A15" s="45" t="s">
        <v>11</v>
      </c>
      <c r="B15" s="27">
        <f>IF(73868.32344="","-",73868.32344)</f>
        <v>73868.32344</v>
      </c>
      <c r="C15" s="27">
        <f>IF(OR(68710.28771="",73868.32344=""),"-",73868.32344/68710.28771*100)</f>
        <v>107.50693368039745</v>
      </c>
      <c r="D15" s="27">
        <f>IF(68710.28771="","-",68710.28771/3628984.82886*100)</f>
        <v>1.8933748954686174</v>
      </c>
      <c r="E15" s="27">
        <f>IF(73868.32344="","-",73868.32344/4359977.4969*100)</f>
        <v>1.6942363462316337</v>
      </c>
      <c r="F15" s="27">
        <f>IF(OR(3634169.64824="",84302.6536="",68710.28771=""),"-",(68710.28771-84302.6536)/3634169.64824*100)</f>
        <v>-0.4290489272439789</v>
      </c>
      <c r="G15" s="27">
        <f>IF(OR(3628984.82886="",73868.32344="",68710.28771=""),"-",(73868.32344-68710.28771)/3628984.82886*100)</f>
        <v>0.1421343977241239</v>
      </c>
    </row>
    <row r="16" spans="1:7" s="16" customFormat="1" ht="15.75">
      <c r="A16" s="45" t="s">
        <v>9</v>
      </c>
      <c r="B16" s="27">
        <f>IF(67899.57669="","-",67899.57669)</f>
        <v>67899.57669</v>
      </c>
      <c r="C16" s="27">
        <f>IF(OR(52163.9650499999="",67899.57669=""),"-",67899.57669/52163.9650499999*100)</f>
        <v>130.16567399529023</v>
      </c>
      <c r="D16" s="27">
        <f>IF(52163.9650499999="","-",52163.9650499999/3628984.82886*100)</f>
        <v>1.4374258231987858</v>
      </c>
      <c r="E16" s="27">
        <f>IF(67899.57669="","-",67899.57669/4359977.4969*100)</f>
        <v>1.5573377784237987</v>
      </c>
      <c r="F16" s="27">
        <f>IF(OR(3634169.64824="",64739.12183="",52163.9650499999=""),"-",(52163.9650499999-64739.12183)/3634169.64824*100)</f>
        <v>-0.34602558485650636</v>
      </c>
      <c r="G16" s="27">
        <f>IF(OR(3628984.82886="",67899.57669="",52163.9650499999=""),"-",(67899.57669-52163.9650499999)/3628984.82886*100)</f>
        <v>0.43360918775026264</v>
      </c>
    </row>
    <row r="17" spans="1:7" s="16" customFormat="1" ht="15.75">
      <c r="A17" s="45" t="s">
        <v>10</v>
      </c>
      <c r="B17" s="27">
        <f>IF(60263.02194="","-",60263.02194)</f>
        <v>60263.02194</v>
      </c>
      <c r="C17" s="27">
        <f>IF(OR(48842.21776="",60263.02194=""),"-",60263.02194/48842.21776*100)</f>
        <v>123.3830581488321</v>
      </c>
      <c r="D17" s="27">
        <f>IF(48842.21776="","-",48842.21776/3628984.82886*100)</f>
        <v>1.3458920349177423</v>
      </c>
      <c r="E17" s="27">
        <f>IF(60263.02194="","-",60263.02194/4359977.4969*100)</f>
        <v>1.3821865361196883</v>
      </c>
      <c r="F17" s="27">
        <f>IF(OR(3634169.64824="",47401.50883="",48842.21776=""),"-",(48842.21776-47401.50883)/3634169.64824*100)</f>
        <v>0.039643414299542254</v>
      </c>
      <c r="G17" s="27">
        <f>IF(OR(3628984.82886="",60263.02194="",48842.21776=""),"-",(60263.02194-48842.21776)/3628984.82886*100)</f>
        <v>0.3147107171453153</v>
      </c>
    </row>
    <row r="18" spans="1:7" s="16" customFormat="1" ht="15.75">
      <c r="A18" s="45" t="s">
        <v>123</v>
      </c>
      <c r="B18" s="27">
        <f>IF(54801.9603="","-",54801.9603)</f>
        <v>54801.9603</v>
      </c>
      <c r="C18" s="27">
        <f>IF(OR(45242.5249="",54801.9603=""),"-",54801.9603/45242.5249*100)</f>
        <v>121.12931455777351</v>
      </c>
      <c r="D18" s="27">
        <f>IF(45242.5249="","-",45242.5249/3628984.82886*100)</f>
        <v>1.2466992019421688</v>
      </c>
      <c r="E18" s="27">
        <f>IF(54801.9603="","-",54801.9603/4359977.4969*100)</f>
        <v>1.2569321823097688</v>
      </c>
      <c r="F18" s="27">
        <f>IF(OR(3634169.64824="",39581.43733="",45242.5249=""),"-",(45242.5249-39581.43733)/3634169.64824*100)</f>
        <v>0.1557738938450938</v>
      </c>
      <c r="G18" s="27">
        <f>IF(OR(3628984.82886="",54801.9603="",45242.5249=""),"-",(54801.9603-45242.5249)/3628984.82886*100)</f>
        <v>0.2634189959676128</v>
      </c>
    </row>
    <row r="19" spans="1:7" s="16" customFormat="1" ht="25.5">
      <c r="A19" s="45" t="s">
        <v>209</v>
      </c>
      <c r="B19" s="27">
        <f>IF(52987.50547="","-",52987.50547)</f>
        <v>52987.50547</v>
      </c>
      <c r="C19" s="27">
        <f>IF(OR(58201.56427="",52987.50547=""),"-",52987.50547/58201.56427*100)</f>
        <v>91.04137686779049</v>
      </c>
      <c r="D19" s="27">
        <f>IF(58201.56427="","-",58201.56427/3628984.82886*100)</f>
        <v>1.6037973983011469</v>
      </c>
      <c r="E19" s="27">
        <f>IF(52987.50547="","-",52987.50547/4359977.4969*100)</f>
        <v>1.215316031050041</v>
      </c>
      <c r="F19" s="27">
        <f>IF(OR(3634169.64824="",48743.17252="",58201.56427=""),"-",(58201.56427-48743.17252)/3634169.64824*100)</f>
        <v>0.26026280183646977</v>
      </c>
      <c r="G19" s="27">
        <f>IF(OR(3628984.82886="",52987.50547="",58201.56427=""),"-",(52987.50547-58201.56427)/3628984.82886*100)</f>
        <v>-0.14367816471798084</v>
      </c>
    </row>
    <row r="20" spans="1:7" s="16" customFormat="1" ht="15.75">
      <c r="A20" s="45" t="s">
        <v>13</v>
      </c>
      <c r="B20" s="27">
        <f>IF(43102.31048="","-",43102.31048)</f>
        <v>43102.31048</v>
      </c>
      <c r="C20" s="27">
        <f>IF(OR(39183.75612="",43102.31048=""),"-",43102.31048/39183.75612*100)</f>
        <v>110.00045617882945</v>
      </c>
      <c r="D20" s="27">
        <f>IF(39183.75612="","-",39183.75612/3628984.82886*100)</f>
        <v>1.0797442802291648</v>
      </c>
      <c r="E20" s="27">
        <f>IF(43102.31048="","-",43102.31048/4359977.4969*100)</f>
        <v>0.988590205124827</v>
      </c>
      <c r="F20" s="27">
        <f>IF(OR(3634169.64824="",37641.29205="",39183.75612=""),"-",(39183.75612-37641.29205)/3634169.64824*100)</f>
        <v>0.04244336999366568</v>
      </c>
      <c r="G20" s="27">
        <f>IF(OR(3628984.82886="",43102.31048="",39183.75612=""),"-",(43102.31048-39183.75612)/3628984.82886*100)</f>
        <v>0.10797935358773508</v>
      </c>
    </row>
    <row r="21" spans="1:7" s="16" customFormat="1" ht="15.75">
      <c r="A21" s="45" t="s">
        <v>124</v>
      </c>
      <c r="B21" s="27">
        <f>IF(35574.9593="","-",35574.9593)</f>
        <v>35574.9593</v>
      </c>
      <c r="C21" s="27">
        <f>IF(OR(28194.24169="",35574.9593=""),"-",35574.9593/28194.24169*100)</f>
        <v>126.17810293020865</v>
      </c>
      <c r="D21" s="27">
        <f>IF(28194.24169="","-",28194.24169/3628984.82886*100)</f>
        <v>0.7769181470746701</v>
      </c>
      <c r="E21" s="27">
        <f>IF(35574.9593="","-",35574.9593/4359977.4969*100)</f>
        <v>0.8159436447847325</v>
      </c>
      <c r="F21" s="27">
        <f>IF(OR(3634169.64824="",30644.81687="",28194.24169=""),"-",(28194.24169-30644.81687)/3634169.64824*100)</f>
        <v>-0.0674315020265164</v>
      </c>
      <c r="G21" s="27">
        <f>IF(OR(3628984.82886="",35574.9593="",28194.24169=""),"-",(35574.9593-28194.24169)/3628984.82886*100)</f>
        <v>0.2033824322246771</v>
      </c>
    </row>
    <row r="22" spans="1:7" s="16" customFormat="1" ht="15.75">
      <c r="A22" s="45" t="s">
        <v>12</v>
      </c>
      <c r="B22" s="27">
        <f>IF(22762.92297="","-",22762.92297)</f>
        <v>22762.92297</v>
      </c>
      <c r="C22" s="27">
        <f>IF(OR(17483.27535="",22762.92297=""),"-",22762.92297/17483.27535*100)</f>
        <v>130.19827529056218</v>
      </c>
      <c r="D22" s="27">
        <f>IF(17483.27535="","-",17483.27535/3628984.82886*100)</f>
        <v>0.4817676616050266</v>
      </c>
      <c r="E22" s="27">
        <f>IF(22762.92297="","-",22762.92297/4359977.4969*100)</f>
        <v>0.5220880838532935</v>
      </c>
      <c r="F22" s="27">
        <f>IF(OR(3634169.64824="",17467.12338="",17483.27535=""),"-",(17483.27535-17467.12338)/3634169.64824*100)</f>
        <v>0.0004444473308454727</v>
      </c>
      <c r="G22" s="27">
        <f>IF(OR(3628984.82886="",22762.92297="",17483.27535=""),"-",(22762.92297-17483.27535)/3628984.82886*100)</f>
        <v>0.14548552471239</v>
      </c>
    </row>
    <row r="23" spans="1:7" s="16" customFormat="1" ht="15.75">
      <c r="A23" s="45" t="s">
        <v>127</v>
      </c>
      <c r="B23" s="27">
        <f>IF(21131.78288="","-",21131.78288)</f>
        <v>21131.78288</v>
      </c>
      <c r="C23" s="27">
        <f>IF(OR(16348.43648="",21131.78288=""),"-",21131.78288/16348.43648*100)</f>
        <v>129.25873924305697</v>
      </c>
      <c r="D23" s="27">
        <f>IF(16348.43648="","-",16348.43648/3628984.82886*100)</f>
        <v>0.45049613737667943</v>
      </c>
      <c r="E23" s="27">
        <f>IF(21131.78288="","-",21131.78288/4359977.4969*100)</f>
        <v>0.4846764208077902</v>
      </c>
      <c r="F23" s="27">
        <f>IF(OR(3634169.64824="",13451.37646="",16348.43648=""),"-",(16348.43648-13451.37646)/3634169.64824*100)</f>
        <v>0.07971724769103787</v>
      </c>
      <c r="G23" s="27">
        <f>IF(OR(3628984.82886="",21131.78288="",16348.43648=""),"-",(21131.78288-16348.43648)/3628984.82886*100)</f>
        <v>0.13180949013508625</v>
      </c>
    </row>
    <row r="24" spans="1:7" s="16" customFormat="1" ht="15.75">
      <c r="A24" s="45" t="s">
        <v>133</v>
      </c>
      <c r="B24" s="27">
        <f>IF(17515.30058="","-",17515.30058)</f>
        <v>17515.30058</v>
      </c>
      <c r="C24" s="27">
        <f>IF(OR(16031.58791="",17515.30058=""),"-",17515.30058/16031.58791*100)</f>
        <v>109.25493268869832</v>
      </c>
      <c r="D24" s="27">
        <f>IF(16031.58791="","-",16031.58791/3628984.82886*100)</f>
        <v>0.4417650848938965</v>
      </c>
      <c r="E24" s="27">
        <f>IF(17515.30058="","-",17515.30058/4359977.4969*100)</f>
        <v>0.4017291509521231</v>
      </c>
      <c r="F24" s="27">
        <f>IF(OR(3634169.64824="",15161.87763="",16031.58791=""),"-",(16031.58791-15161.87763)/3634169.64824*100)</f>
        <v>0.023931471675275075</v>
      </c>
      <c r="G24" s="27">
        <f>IF(OR(3628984.82886="",17515.30058="",16031.58791=""),"-",(17515.30058-16031.58791)/3628984.82886*100)</f>
        <v>0.040885061249101136</v>
      </c>
    </row>
    <row r="25" spans="1:7" s="16" customFormat="1" ht="15.75">
      <c r="A25" s="45" t="s">
        <v>135</v>
      </c>
      <c r="B25" s="27">
        <f>IF(15322.35009="","-",15322.35009)</f>
        <v>15322.35009</v>
      </c>
      <c r="C25" s="27">
        <f>IF(OR(14148.35199="",15322.35009=""),"-",15322.35009/14148.35199*100)</f>
        <v>108.2977727782697</v>
      </c>
      <c r="D25" s="27">
        <f>IF(14148.35199="","-",14148.35199/3628984.82886*100)</f>
        <v>0.38987079464987806</v>
      </c>
      <c r="E25" s="27">
        <f>IF(15322.35009="","-",15322.35009/4359977.4969*100)</f>
        <v>0.35143186176750657</v>
      </c>
      <c r="F25" s="27">
        <f>IF(OR(3634169.64824="",14567.41422="",14148.35199=""),"-",(14148.35199-14567.41422)/3634169.64824*100)</f>
        <v>-0.011531168617924865</v>
      </c>
      <c r="G25" s="27">
        <f>IF(OR(3628984.82886="",15322.35009="",14148.35199=""),"-",(15322.35009-14148.35199)/3628984.82886*100)</f>
        <v>0.032350592668881385</v>
      </c>
    </row>
    <row r="26" spans="1:7" s="16" customFormat="1" ht="15.75">
      <c r="A26" s="45" t="s">
        <v>131</v>
      </c>
      <c r="B26" s="27">
        <f>IF(13137.28581="","-",13137.28581)</f>
        <v>13137.28581</v>
      </c>
      <c r="C26" s="27">
        <f>IF(OR(10875.13008="",13137.28581=""),"-",13137.28581/10875.13008*100)</f>
        <v>120.80118318915775</v>
      </c>
      <c r="D26" s="27">
        <f>IF(10875.13008="","-",10875.13008/3628984.82886*100)</f>
        <v>0.2996741676491463</v>
      </c>
      <c r="E26" s="27">
        <f>IF(13137.28581="","-",13137.28581/4359977.4969*100)</f>
        <v>0.30131544989259185</v>
      </c>
      <c r="F26" s="27">
        <f>IF(OR(3634169.64824="",13481.93627="",10875.13008=""),"-",(10875.13008-13481.93627)/3634169.64824*100)</f>
        <v>-0.07173044855686513</v>
      </c>
      <c r="G26" s="27">
        <f>IF(OR(3628984.82886="",13137.28581="",10875.13008=""),"-",(13137.28581-10875.13008)/3628984.82886*100)</f>
        <v>0.06233577258328265</v>
      </c>
    </row>
    <row r="27" spans="1:7" s="16" customFormat="1" ht="15.75">
      <c r="A27" s="45" t="s">
        <v>132</v>
      </c>
      <c r="B27" s="27">
        <f>IF(12315.28806="","-",12315.28806)</f>
        <v>12315.28806</v>
      </c>
      <c r="C27" s="27">
        <f>IF(OR(11073.57609="",12315.28806=""),"-",12315.28806/11073.57609*100)</f>
        <v>111.21328791989183</v>
      </c>
      <c r="D27" s="27">
        <f>IF(11073.57609="","-",11073.57609/3628984.82886*100)</f>
        <v>0.3051425291705787</v>
      </c>
      <c r="E27" s="27">
        <f>IF(12315.28806="","-",12315.28806/4359977.4969*100)</f>
        <v>0.28246219318233473</v>
      </c>
      <c r="F27" s="27">
        <f>IF(OR(3634169.64824="",12063.77679="",11073.57609=""),"-",(11073.57609-12063.77679)/3634169.64824*100)</f>
        <v>-0.027246958613490867</v>
      </c>
      <c r="G27" s="27">
        <f>IF(OR(3628984.82886="",12315.28806="",11073.57609=""),"-",(12315.28806-11073.57609)/3628984.82886*100)</f>
        <v>0.03421651036193691</v>
      </c>
    </row>
    <row r="28" spans="1:7" s="16" customFormat="1" ht="15.75">
      <c r="A28" s="45" t="s">
        <v>134</v>
      </c>
      <c r="B28" s="27">
        <f>IF(12271.07275="","-",12271.07275)</f>
        <v>12271.07275</v>
      </c>
      <c r="C28" s="27">
        <f>IF(OR(11494.96175="",12271.07275=""),"-",12271.07275/11494.96175*100)</f>
        <v>106.75174930442894</v>
      </c>
      <c r="D28" s="27">
        <f>IF(11494.96175="","-",11494.96175/3628984.82886*100)</f>
        <v>0.31675419689233036</v>
      </c>
      <c r="E28" s="27">
        <f>IF(12271.07275="","-",12271.07275/4359977.4969*100)</f>
        <v>0.28144807533352845</v>
      </c>
      <c r="F28" s="27">
        <f>IF(OR(3634169.64824="",6683.36699="",11494.96175=""),"-",(11494.96175-6683.36699)/3634169.64824*100)</f>
        <v>0.13239873824630663</v>
      </c>
      <c r="G28" s="27">
        <f>IF(OR(3628984.82886="",12271.07275="",11494.96175=""),"-",(12271.07275-11494.96175)/3628984.82886*100)</f>
        <v>0.02138644928542742</v>
      </c>
    </row>
    <row r="29" spans="1:7" s="16" customFormat="1" ht="15.75">
      <c r="A29" s="45" t="s">
        <v>126</v>
      </c>
      <c r="B29" s="27">
        <f>IF(10128.34925="","-",10128.34925)</f>
        <v>10128.34925</v>
      </c>
      <c r="C29" s="27">
        <f>IF(OR(12908.42813="",10128.34925=""),"-",10128.34925/12908.42813*100)</f>
        <v>78.46307194027038</v>
      </c>
      <c r="D29" s="27">
        <f>IF(12908.42813="","-",12908.42813/3628984.82886*100)</f>
        <v>0.35570355729635333</v>
      </c>
      <c r="E29" s="27">
        <f>IF(10128.34925="","-",10128.34925/4359977.4969*100)</f>
        <v>0.23230278727817713</v>
      </c>
      <c r="F29" s="27">
        <f>IF(OR(3634169.64824="",9661.34591="",12908.42813=""),"-",(12908.42813-9661.34591)/3634169.64824*100)</f>
        <v>0.08934866927779601</v>
      </c>
      <c r="G29" s="27">
        <f>IF(OR(3628984.82886="",10128.34925="",12908.42813=""),"-",(10128.34925-12908.42813)/3628984.82886*100)</f>
        <v>-0.07660761924081473</v>
      </c>
    </row>
    <row r="30" spans="1:7" s="16" customFormat="1" ht="15.75">
      <c r="A30" s="45" t="s">
        <v>128</v>
      </c>
      <c r="B30" s="27">
        <f>IF(7756.4341="","-",7756.4341)</f>
        <v>7756.4341</v>
      </c>
      <c r="C30" s="27">
        <f>IF(OR(7906.16937="",7756.4341=""),"-",7756.4341/7906.16937*100)</f>
        <v>98.10609584752675</v>
      </c>
      <c r="D30" s="27">
        <f>IF(7906.16937="","-",7906.16937/3628984.82886*100)</f>
        <v>0.21786173662466435</v>
      </c>
      <c r="E30" s="27">
        <f>IF(7756.4341="","-",7756.4341/4359977.4969*100)</f>
        <v>0.17790078287135486</v>
      </c>
      <c r="F30" s="27">
        <f>IF(OR(3634169.64824="",7359.68038="",7906.16937=""),"-",(7906.16937-7359.68038)/3634169.64824*100)</f>
        <v>0.015037520063617839</v>
      </c>
      <c r="G30" s="27">
        <f>IF(OR(3628984.82886="",7756.4341="",7906.16937=""),"-",(7756.4341-7906.16937)/3628984.82886*100)</f>
        <v>-0.004126092476584882</v>
      </c>
    </row>
    <row r="31" spans="1:7" s="16" customFormat="1" ht="15.75">
      <c r="A31" s="45" t="s">
        <v>136</v>
      </c>
      <c r="B31" s="27">
        <f>IF(6032.70698="","-",6032.70698)</f>
        <v>6032.70698</v>
      </c>
      <c r="C31" s="27">
        <f>IF(OR(5386.87292="",6032.70698=""),"-",6032.70698/5386.87292*100)</f>
        <v>111.98903463273086</v>
      </c>
      <c r="D31" s="27">
        <f>IF(5386.87292="","-",5386.87292/3628984.82886*100)</f>
        <v>0.14844021603948723</v>
      </c>
      <c r="E31" s="27">
        <f>IF(6032.70698="","-",6032.70698/4359977.4969*100)</f>
        <v>0.13836555313162355</v>
      </c>
      <c r="F31" s="27">
        <f>IF(OR(3634169.64824="",5950.20014="",5386.87292=""),"-",(5386.87292-5950.20014)/3634169.64824*100)</f>
        <v>-0.015500850937787537</v>
      </c>
      <c r="G31" s="27">
        <f>IF(OR(3628984.82886="",6032.70698="",5386.87292=""),"-",(6032.70698-5386.87292)/3628984.82886*100)</f>
        <v>0.017796548909874636</v>
      </c>
    </row>
    <row r="32" spans="1:7" s="16" customFormat="1" ht="15.75">
      <c r="A32" s="45" t="s">
        <v>129</v>
      </c>
      <c r="B32" s="27">
        <f>IF(4687.8444="","-",4687.8444)</f>
        <v>4687.8444</v>
      </c>
      <c r="C32" s="27">
        <f>IF(OR(3930.43834="",4687.8444=""),"-",4687.8444/3930.43834*100)</f>
        <v>119.27026948347954</v>
      </c>
      <c r="D32" s="27">
        <f>IF(3930.43834="","-",3930.43834/3628984.82886*100)</f>
        <v>0.10830682753872792</v>
      </c>
      <c r="E32" s="27">
        <f>IF(4687.8444="","-",4687.8444/4359977.4969*100)</f>
        <v>0.10751992191090705</v>
      </c>
      <c r="F32" s="27">
        <f>IF(OR(3634169.64824="",5422.31101="",3930.43834=""),"-",(3930.43834-5422.31101)/3634169.64824*100)</f>
        <v>-0.041051266572613154</v>
      </c>
      <c r="G32" s="27">
        <f>IF(OR(3628984.82886="",4687.8444="",3930.43834=""),"-",(4687.8444-3930.43834)/3628984.82886*100)</f>
        <v>0.0208710175357203</v>
      </c>
    </row>
    <row r="33" spans="1:7" s="16" customFormat="1" ht="15.75">
      <c r="A33" s="45" t="s">
        <v>137</v>
      </c>
      <c r="B33" s="27">
        <f>IF(2136.57467="","-",2136.57467)</f>
        <v>2136.57467</v>
      </c>
      <c r="C33" s="27">
        <f>IF(OR(2230.68703="",2136.57467=""),"-",2136.57467/2230.68703*100)</f>
        <v>95.78101460517301</v>
      </c>
      <c r="D33" s="27">
        <f>IF(2230.68703="","-",2230.68703/3628984.82886*100)</f>
        <v>0.06146862373907312</v>
      </c>
      <c r="E33" s="27">
        <f>IF(2136.57467="","-",2136.57467/4359977.4969*100)</f>
        <v>0.049004259116454896</v>
      </c>
      <c r="F33" s="27">
        <f>IF(OR(3634169.64824="",2040.476="",2230.68703=""),"-",(2230.68703-2040.476)/3634169.64824*100)</f>
        <v>0.0052339612184070065</v>
      </c>
      <c r="G33" s="27">
        <f>IF(OR(3628984.82886="",2136.57467="",2230.68703=""),"-",(2136.57467-2230.68703)/3628984.82886*100)</f>
        <v>-0.0025933522579526546</v>
      </c>
    </row>
    <row r="34" spans="1:7" s="16" customFormat="1" ht="15.75">
      <c r="A34" s="45" t="s">
        <v>201</v>
      </c>
      <c r="B34" s="27">
        <f>IF(1934.43986="","-",1934.43986)</f>
        <v>1934.43986</v>
      </c>
      <c r="C34" s="27">
        <f>IF(OR(1792.35761="",1934.43986=""),"-",1934.43986/1792.35761*100)</f>
        <v>107.92711505825001</v>
      </c>
      <c r="D34" s="27">
        <f>IF(1792.35761="","-",1792.35761/3628984.82886*100)</f>
        <v>0.04939005519521686</v>
      </c>
      <c r="E34" s="27">
        <f>IF(1934.43986="","-",1934.43986/4359977.4969*100)</f>
        <v>0.04436811569269364</v>
      </c>
      <c r="F34" s="27">
        <f>IF(OR(3634169.64824="",1978.86402="",1792.35761=""),"-",(1792.35761-1978.86402)/3634169.64824*100)</f>
        <v>-0.005132022664113205</v>
      </c>
      <c r="G34" s="27">
        <f>IF(OR(3628984.82886="",1934.43986="",1792.35761=""),"-",(1934.43986-1792.35761)/3628984.82886*100)</f>
        <v>0.0039152065026580255</v>
      </c>
    </row>
    <row r="35" spans="1:7" s="16" customFormat="1" ht="15.75">
      <c r="A35" s="45" t="s">
        <v>130</v>
      </c>
      <c r="B35" s="27">
        <f>IF(923.67398="","-",923.67398)</f>
        <v>923.67398</v>
      </c>
      <c r="C35" s="27" t="s">
        <v>215</v>
      </c>
      <c r="D35" s="27">
        <f>IF(570.70657="","-",570.70657/3628984.82886*100)</f>
        <v>0.015726342129109432</v>
      </c>
      <c r="E35" s="27">
        <f>IF(923.67398="","-",923.67398/4359977.4969*100)</f>
        <v>0.021185292370356136</v>
      </c>
      <c r="F35" s="27">
        <f>IF(OR(3634169.64824="",613.0504="",570.70657=""),"-",(570.70657-613.0504)/3634169.64824*100)</f>
        <v>-0.0011651583194666408</v>
      </c>
      <c r="G35" s="27">
        <f>IF(OR(3628984.82886="",923.67398="",570.70657=""),"-",(923.67398-570.70657)/3628984.82886*100)</f>
        <v>0.009726340192799325</v>
      </c>
    </row>
    <row r="36" spans="1:7" s="16" customFormat="1" ht="15.75">
      <c r="A36" s="45" t="s">
        <v>138</v>
      </c>
      <c r="B36" s="27">
        <f>IF(241.36622="","-",241.36622)</f>
        <v>241.36622</v>
      </c>
      <c r="C36" s="27">
        <f>IF(OR(291.98601="",241.36622=""),"-",241.36622/291.98601*100)</f>
        <v>82.66362487709598</v>
      </c>
      <c r="D36" s="27">
        <f>IF(291.98601="","-",291.98601/3628984.82886*100)</f>
        <v>0.008045941875478267</v>
      </c>
      <c r="E36" s="27">
        <f>IF(241.36622="","-",241.36622/4359977.4969*100)</f>
        <v>0.0055359510495550605</v>
      </c>
      <c r="F36" s="27">
        <f>IF(OR(3634169.64824="",167.93252="",291.98601=""),"-",(291.98601-167.93252)/3634169.64824*100)</f>
        <v>0.0034135305174891363</v>
      </c>
      <c r="G36" s="27">
        <f>IF(OR(3628984.82886="",241.36622="",291.98601=""),"-",(241.36622-291.98601)/3628984.82886*100)</f>
        <v>-0.0013948746657037306</v>
      </c>
    </row>
    <row r="37" spans="1:7" s="16" customFormat="1" ht="15.75">
      <c r="A37" s="15" t="s">
        <v>14</v>
      </c>
      <c r="B37" s="26">
        <f>IF(1081596.33808="","-",1081596.33808)</f>
        <v>1081596.33808</v>
      </c>
      <c r="C37" s="26">
        <f>IF(920208.44578="","-",1081596.33808/920208.44578*100)</f>
        <v>117.53818855283404</v>
      </c>
      <c r="D37" s="26">
        <f>IF(920208.44578="","-",920208.44578/3628984.82886*100)</f>
        <v>25.357186353106687</v>
      </c>
      <c r="E37" s="26">
        <f>IF(1081596.33808="","-",1081596.33808/4359977.4969*100)</f>
        <v>24.807383497943025</v>
      </c>
      <c r="F37" s="26">
        <f>IF(3634169.64824="","-",(920208.44578-916746.09765)/3634169.64824*100)</f>
        <v>0.09527205565862146</v>
      </c>
      <c r="G37" s="26">
        <f>IF(3628984.82886="","-",(1081596.33808-920208.44578)/3628984.82886*100)</f>
        <v>4.447191154301351</v>
      </c>
    </row>
    <row r="38" spans="1:7" s="16" customFormat="1" ht="15.75">
      <c r="A38" s="45" t="s">
        <v>210</v>
      </c>
      <c r="B38" s="27">
        <f>IF(504335.50412="","-",504335.50412)</f>
        <v>504335.50412</v>
      </c>
      <c r="C38" s="27">
        <f>IF(OR(472394.82431="",504335.50412=""),"-",504335.50412/472394.82431*100)</f>
        <v>106.76143729065066</v>
      </c>
      <c r="D38" s="27">
        <f>IF(472394.82431="","-",472394.82431/3628984.82886*100)</f>
        <v>13.017271953115245</v>
      </c>
      <c r="E38" s="27">
        <f>IF(504335.50412="","-",504335.50412/4359977.4969*100)</f>
        <v>11.567387778459615</v>
      </c>
      <c r="F38" s="27">
        <f>IF(OR(3634169.64824="",476736.22878="",472394.82431=""),"-",(472394.82431-476736.22878)/3634169.64824*100)</f>
        <v>-0.11946069914767234</v>
      </c>
      <c r="G38" s="27">
        <f>IF(OR(3628984.82886="",504335.50412="",472394.82431=""),"-",(504335.50412-472394.82431)/3628984.82886*100)</f>
        <v>0.8801546800633435</v>
      </c>
    </row>
    <row r="39" spans="1:7" s="16" customFormat="1" ht="15.75">
      <c r="A39" s="45" t="s">
        <v>16</v>
      </c>
      <c r="B39" s="27">
        <f>IF(464029.4793="","-",464029.4793)</f>
        <v>464029.4793</v>
      </c>
      <c r="C39" s="27">
        <f>IF(OR(348606.84772="",464029.4793=""),"-",464029.4793/348606.84772*100)</f>
        <v>133.10968569174725</v>
      </c>
      <c r="D39" s="27">
        <f>IF(348606.84772="","-",348606.84772/3628984.82886*100)</f>
        <v>9.606180906231854</v>
      </c>
      <c r="E39" s="27">
        <f>IF(464029.4793="","-",464029.4793/4359977.4969*100)</f>
        <v>10.642932896555795</v>
      </c>
      <c r="F39" s="27">
        <f>IF(OR(3634169.64824="",338638.3707="",348606.84772=""),"-",(348606.84772-338638.3707)/3634169.64824*100)</f>
        <v>0.27429861522363563</v>
      </c>
      <c r="G39" s="27">
        <f>IF(OR(3628984.82886="",464029.4793="",348606.84772=""),"-",(464029.4793-348606.84772)/3628984.82886*100)</f>
        <v>3.1805763050340046</v>
      </c>
    </row>
    <row r="40" spans="1:7" s="16" customFormat="1" ht="15.75">
      <c r="A40" s="45" t="s">
        <v>15</v>
      </c>
      <c r="B40" s="27">
        <f>IF(105228.247="","-",105228.247)</f>
        <v>105228.247</v>
      </c>
      <c r="C40" s="27">
        <f>IF(OR(92676.79427="",105228.247=""),"-",105228.247/92676.79427*100)</f>
        <v>113.54325301049282</v>
      </c>
      <c r="D40" s="27">
        <f>IF(92676.79427="","-",92676.79427/3628984.82886*100)</f>
        <v>2.5537939297231302</v>
      </c>
      <c r="E40" s="27">
        <f>IF(105228.247="","-",105228.247/4359977.4969*100)</f>
        <v>2.4135043603967827</v>
      </c>
      <c r="F40" s="27">
        <f>IF(OR(3634169.64824="",76959.43368="",92676.79427=""),"-",(92676.79427-76959.43368)/3634169.64824*100)</f>
        <v>0.4324883566624853</v>
      </c>
      <c r="G40" s="27">
        <f>IF(OR(3628984.82886="",105228.247="",92676.79427=""),"-",(105228.247-92676.79427)/3628984.82886*100)</f>
        <v>0.3458667732690105</v>
      </c>
    </row>
    <row r="41" spans="1:7" s="16" customFormat="1" ht="15.75">
      <c r="A41" s="45" t="s">
        <v>19</v>
      </c>
      <c r="B41" s="27">
        <f>IF(5536.61564="","-",5536.61564)</f>
        <v>5536.61564</v>
      </c>
      <c r="C41" s="27" t="s">
        <v>184</v>
      </c>
      <c r="D41" s="27">
        <f>IF(2679.20183="","-",2679.20183/3628984.82886*100)</f>
        <v>0.07382785975552392</v>
      </c>
      <c r="E41" s="27">
        <f>IF(5536.61564="","-",5536.61564/4359977.4969*100)</f>
        <v>0.1269872526621205</v>
      </c>
      <c r="F41" s="27">
        <f>IF(OR(3634169.64824="",10532.69075="",2679.20183=""),"-",(2679.20183-10532.69075)/3634169.64824*100)</f>
        <v>-0.21610132933126508</v>
      </c>
      <c r="G41" s="27">
        <f>IF(OR(3628984.82886="",5536.61564="",2679.20183=""),"-",(5536.61564-2679.20183)/3628984.82886*100)</f>
        <v>0.07873865405212016</v>
      </c>
    </row>
    <row r="42" spans="1:7" s="16" customFormat="1" ht="15.75">
      <c r="A42" s="45" t="s">
        <v>17</v>
      </c>
      <c r="B42" s="27">
        <f>IF(1633.68638="","-",1633.68638)</f>
        <v>1633.68638</v>
      </c>
      <c r="C42" s="27">
        <f>IF(OR(2827.97647="",1633.68638=""),"-",1633.68638/2827.97647*100)</f>
        <v>57.76874020454633</v>
      </c>
      <c r="D42" s="27">
        <f>IF(2827.97647="","-",2827.97647/3628984.82886*100)</f>
        <v>0.07792748119281538</v>
      </c>
      <c r="E42" s="27">
        <f>IF(1633.68638="","-",1633.68638/4359977.4969*100)</f>
        <v>0.03747006449371751</v>
      </c>
      <c r="F42" s="27">
        <f>IF(OR(3634169.64824="",10323.2436="",2827.97647=""),"-",(2827.97647-10323.2436)/3634169.64824*100)</f>
        <v>-0.20624428288948754</v>
      </c>
      <c r="G42" s="27">
        <f>IF(OR(3628984.82886="",1633.68638="",2827.97647=""),"-",(1633.68638-2827.97647)/3628984.82886*100)</f>
        <v>-0.03290975703459117</v>
      </c>
    </row>
    <row r="43" spans="1:7" s="16" customFormat="1" ht="15.75">
      <c r="A43" s="45" t="s">
        <v>22</v>
      </c>
      <c r="B43" s="27">
        <f>IF(554.85149="","-",554.85149)</f>
        <v>554.85149</v>
      </c>
      <c r="C43" s="27" t="s">
        <v>216</v>
      </c>
      <c r="D43" s="27">
        <f>IF(288.61013="","-",288.61013/3628984.82886*100)</f>
        <v>0.007952916410804155</v>
      </c>
      <c r="E43" s="27">
        <f>IF(554.85149="","-",554.85149/4359977.4969*100)</f>
        <v>0.012726017287807256</v>
      </c>
      <c r="F43" s="27">
        <f>IF(OR(3634169.64824="",549.22397="",288.61013=""),"-",(288.61013-549.22397)/3634169.64824*100)</f>
        <v>-0.007171207324518084</v>
      </c>
      <c r="G43" s="27">
        <f>IF(OR(3628984.82886="",554.85149="",288.61013=""),"-",(554.85149-288.61013)/3628984.82886*100)</f>
        <v>0.00733652447049872</v>
      </c>
    </row>
    <row r="44" spans="1:7" s="16" customFormat="1" ht="15.75">
      <c r="A44" s="45" t="s">
        <v>18</v>
      </c>
      <c r="B44" s="27">
        <f>IF(175.40622="","-",175.40622)</f>
        <v>175.40622</v>
      </c>
      <c r="C44" s="27">
        <f>IF(OR(591.16665="",175.40622=""),"-",175.40622/591.16665*100)</f>
        <v>29.671196776746456</v>
      </c>
      <c r="D44" s="27">
        <f>IF(591.16665="","-",591.16665/3628984.82886*100)</f>
        <v>0.016290138368688294</v>
      </c>
      <c r="E44" s="27">
        <f>IF(175.40622="","-",175.40622/4359977.4969*100)</f>
        <v>0.004023099204633879</v>
      </c>
      <c r="F44" s="27">
        <f>IF(OR(3634169.64824="",25.07773="",591.16665=""),"-",(591.16665-25.07773)/3634169.64824*100)</f>
        <v>0.015576843537674486</v>
      </c>
      <c r="G44" s="27">
        <f>IF(OR(3628984.82886="",175.40622="",591.16665=""),"-",(175.40622-591.16665)/3628984.82886*100)</f>
        <v>-0.011456659358110516</v>
      </c>
    </row>
    <row r="45" spans="1:7" s="16" customFormat="1" ht="15.75">
      <c r="A45" s="45" t="s">
        <v>20</v>
      </c>
      <c r="B45" s="27">
        <f>IF(95.42623="","-",95.42623)</f>
        <v>95.42623</v>
      </c>
      <c r="C45" s="27">
        <f>IF(OR(119.69425="",95.42623=""),"-",95.42623/119.69425*100)</f>
        <v>79.7249909665669</v>
      </c>
      <c r="D45" s="27">
        <f>IF(119.69425="","-",119.69425/3628984.82886*100)</f>
        <v>0.0032982846620937915</v>
      </c>
      <c r="E45" s="27">
        <f>IF(95.42623="","-",95.42623/4359977.4969*100)</f>
        <v>0.0021886862963822473</v>
      </c>
      <c r="F45" s="27">
        <f>IF(OR(3634169.64824="",205.51774="",119.69425=""),"-",(119.69425-205.51774)/3634169.64824*100)</f>
        <v>-0.0023615708210419856</v>
      </c>
      <c r="G45" s="27">
        <f>IF(OR(3628984.82886="",95.42623="",119.69425=""),"-",(95.42623-119.69425)/3628984.82886*100)</f>
        <v>-0.0006687275131878544</v>
      </c>
    </row>
    <row r="46" spans="1:7" s="16" customFormat="1" ht="15.75">
      <c r="A46" s="45" t="s">
        <v>21</v>
      </c>
      <c r="B46" s="27">
        <f>IF(4.47522="","-",4.47522)</f>
        <v>4.47522</v>
      </c>
      <c r="C46" s="27">
        <f>IF(OR(21.8985="",4.47522=""),"-",4.47522/21.8985*100)</f>
        <v>20.436194259880818</v>
      </c>
      <c r="D46" s="27">
        <f>IF(21.8985="","-",21.8985/3628984.82886*100)</f>
        <v>0.0006034332198318706</v>
      </c>
      <c r="E46" s="27">
        <f>IF(4.47522="","-",4.47522/4359977.4969*100)</f>
        <v>0.00010264319031880187</v>
      </c>
      <c r="F46" s="27">
        <f>IF(OR(3634169.64824="",2682.67357="",21.8985=""),"-",(21.8985-2682.67357)/3634169.64824*100)</f>
        <v>-0.07321548875101615</v>
      </c>
      <c r="G46" s="27">
        <f>IF(OR(3628984.82886="",4.47522="",21.8985=""),"-",(4.47522-21.8985)/3628984.82886*100)</f>
        <v>-0.0004801144347983759</v>
      </c>
    </row>
    <row r="47" spans="1:7" s="16" customFormat="1" ht="15.75">
      <c r="A47" s="45" t="s">
        <v>23</v>
      </c>
      <c r="B47" s="27">
        <f>IF(2.64648="","-",2.64648)</f>
        <v>2.64648</v>
      </c>
      <c r="C47" s="27" t="s">
        <v>213</v>
      </c>
      <c r="D47" s="27">
        <f>IF(1.43165="","-",1.43165/3628984.82886*100)</f>
        <v>3.945042670376043E-05</v>
      </c>
      <c r="E47" s="27">
        <f>IF(2.64648="","-",2.64648/4359977.4969*100)</f>
        <v>6.069939585426029E-05</v>
      </c>
      <c r="F47" s="27">
        <f>IF(OR(3634169.64824="",93.63713="",1.43165=""),"-",(1.43165-93.63713)/3634169.64824*100)</f>
        <v>-0.0025371815001716935</v>
      </c>
      <c r="G47" s="27">
        <f>IF(OR(3628984.82886="",2.64648="",1.43165=""),"-",(2.64648-1.43165)/3628984.82886*100)</f>
        <v>3.34757530629199E-05</v>
      </c>
    </row>
    <row r="48" spans="1:7" s="16" customFormat="1" ht="15.75">
      <c r="A48" s="15" t="s">
        <v>24</v>
      </c>
      <c r="B48" s="26">
        <f>IF(1108617.94503="","-",1108617.94503)</f>
        <v>1108617.94503</v>
      </c>
      <c r="C48" s="26">
        <f>IF(913579.07308="","-",1108617.94503/913579.07308*100)</f>
        <v>121.34887692780163</v>
      </c>
      <c r="D48" s="26">
        <f>IF(913579.07308="","-",913579.07308/3628984.82886*100)</f>
        <v>25.174507917879325</v>
      </c>
      <c r="E48" s="26">
        <f>IF(1108617.94503="","-",1108617.94503/4359977.4969*100)</f>
        <v>25.42714832400492</v>
      </c>
      <c r="F48" s="26">
        <f>IF(3634169.64824="","-",(913579.07308-920004.438)/3634169.64824*100)</f>
        <v>-0.17680420954238385</v>
      </c>
      <c r="G48" s="26">
        <f>IF(3628984.82886="","-",(1108617.94503-913579.07308)/3628984.82886*100)</f>
        <v>5.374474712567732</v>
      </c>
    </row>
    <row r="49" spans="1:7" s="16" customFormat="1" ht="15.75">
      <c r="A49" s="45" t="s">
        <v>142</v>
      </c>
      <c r="B49" s="27">
        <f>IF(451761.79399="","-",451761.79399)</f>
        <v>451761.79399</v>
      </c>
      <c r="C49" s="27">
        <f>IF(OR(351431.48638="",451761.79399=""),"-",451761.79399/351431.48638*100)</f>
        <v>128.54903772097234</v>
      </c>
      <c r="D49" s="27">
        <f>IF(351431.48638="","-",351431.48638/3628984.82886*100)</f>
        <v>9.684016411013706</v>
      </c>
      <c r="E49" s="27">
        <f>IF(451761.79399="","-",451761.79399/4359977.4969*100)</f>
        <v>10.361562515201248</v>
      </c>
      <c r="F49" s="27">
        <f>IF(OR(3634169.64824="",329588.67685="",351431.48638=""),"-",(351431.48638-329588.67685)/3634169.64824*100)</f>
        <v>0.6010398975341817</v>
      </c>
      <c r="G49" s="27">
        <f>IF(OR(3628984.82886="",451761.79399="",351431.48638=""),"-",(451761.79399-351431.48638)/3628984.82886*100)</f>
        <v>2.764693498085454</v>
      </c>
    </row>
    <row r="50" spans="1:7" s="16" customFormat="1" ht="15.75">
      <c r="A50" s="45" t="s">
        <v>139</v>
      </c>
      <c r="B50" s="27">
        <f>IF(273436.12508="","-",273436.12508)</f>
        <v>273436.12508</v>
      </c>
      <c r="C50" s="27">
        <f>IF(OR(245308.69434="",273436.12508=""),"-",273436.12508/245308.69434*100)</f>
        <v>111.46613690789744</v>
      </c>
      <c r="D50" s="27">
        <f>IF(245308.69434="","-",245308.69434/3628984.82886*100)</f>
        <v>6.7597057003145595</v>
      </c>
      <c r="E50" s="27">
        <f>IF(273436.12508="","-",273436.12508/4359977.4969*100)</f>
        <v>6.271503127583035</v>
      </c>
      <c r="F50" s="27">
        <f>IF(OR(3634169.64824="",260491.71168="",245308.69434=""),"-",(245308.69434-260491.71168)/3634169.64824*100)</f>
        <v>-0.4177850460930749</v>
      </c>
      <c r="G50" s="27">
        <f>IF(OR(3628984.82886="",273436.12508="",245308.69434=""),"-",(273436.12508-245308.69434)/3628984.82886*100)</f>
        <v>0.7750771101690144</v>
      </c>
    </row>
    <row r="51" spans="1:7" s="16" customFormat="1" ht="15.75">
      <c r="A51" s="45" t="s">
        <v>25</v>
      </c>
      <c r="B51" s="27">
        <f>IF(64535.32543="","-",64535.32543)</f>
        <v>64535.32543</v>
      </c>
      <c r="C51" s="27">
        <f>IF(OR(48397.55875="",64535.32543=""),"-",64535.32543/48397.55875*100)</f>
        <v>133.34417498899157</v>
      </c>
      <c r="D51" s="27">
        <f>IF(48397.55875="","-",48397.55875/3628984.82886*100)</f>
        <v>1.3336390487254663</v>
      </c>
      <c r="E51" s="27">
        <f>IF(64535.32543="","-",64535.32543/4359977.4969*100)</f>
        <v>1.4801756540231101</v>
      </c>
      <c r="F51" s="27">
        <f>IF(OR(3634169.64824="",44680.59303="",48397.55875=""),"-",(48397.55875-44680.59303)/3634169.64824*100)</f>
        <v>0.1022782665580868</v>
      </c>
      <c r="G51" s="27">
        <f>IF(OR(3628984.82886="",64535.32543="",48397.55875=""),"-",(64535.32543-48397.55875)/3628984.82886*100)</f>
        <v>0.44469093812854205</v>
      </c>
    </row>
    <row r="52" spans="1:7" s="16" customFormat="1" ht="15.75">
      <c r="A52" s="45" t="s">
        <v>157</v>
      </c>
      <c r="B52" s="27">
        <f>IF(34133.15508="","-",34133.15508)</f>
        <v>34133.15508</v>
      </c>
      <c r="C52" s="27" t="s">
        <v>214</v>
      </c>
      <c r="D52" s="27">
        <f>IF(19550.53883="","-",19550.53883/3628984.82886*100)</f>
        <v>0.5387329997778348</v>
      </c>
      <c r="E52" s="27">
        <f>IF(34133.15508="","-",34133.15508/4359977.4969*100)</f>
        <v>0.7828745699781503</v>
      </c>
      <c r="F52" s="27">
        <f>IF(OR(3634169.64824="",10772.05554="",19550.53883=""),"-",(19550.53883-10772.05554)/3634169.64824*100)</f>
        <v>0.24155403131087602</v>
      </c>
      <c r="G52" s="27">
        <f>IF(OR(3628984.82886="",34133.15508="",19550.53883=""),"-",(34133.15508-19550.53883)/3628984.82886*100)</f>
        <v>0.4018373439874903</v>
      </c>
    </row>
    <row r="53" spans="1:7" s="16" customFormat="1" ht="15.75">
      <c r="A53" s="45" t="s">
        <v>161</v>
      </c>
      <c r="B53" s="27">
        <f>IF(33453.17182="","-",33453.17182)</f>
        <v>33453.17182</v>
      </c>
      <c r="C53" s="27">
        <f>IF(OR(25939.3993="",33453.17182=""),"-",33453.17182/25939.3993*100)</f>
        <v>128.96664041098285</v>
      </c>
      <c r="D53" s="27">
        <f>IF(25939.3993="","-",25939.3993/3628984.82886*100)</f>
        <v>0.7147839002718713</v>
      </c>
      <c r="E53" s="27">
        <f>IF(33453.17182="","-",33453.17182/4359977.4969*100)</f>
        <v>0.7672785431527029</v>
      </c>
      <c r="F53" s="27">
        <f>IF(OR(3634169.64824="",39843.26511="",25939.3993=""),"-",(25939.3993-39843.26511)/3634169.64824*100)</f>
        <v>-0.38258714247788445</v>
      </c>
      <c r="G53" s="27">
        <f>IF(OR(3628984.82886="",33453.17182="",25939.3993=""),"-",(33453.17182-25939.3993)/3628984.82886*100)</f>
        <v>0.20704888210735123</v>
      </c>
    </row>
    <row r="54" spans="1:7" s="16" customFormat="1" ht="15.75">
      <c r="A54" s="45" t="s">
        <v>206</v>
      </c>
      <c r="B54" s="27">
        <f>IF(26038.67948="","-",26038.67948)</f>
        <v>26038.67948</v>
      </c>
      <c r="C54" s="27">
        <f>IF(OR(26077.86737="",26038.67948=""),"-",26038.67948/26077.86737*100)</f>
        <v>99.84972739739798</v>
      </c>
      <c r="D54" s="27">
        <f>IF(26077.86737="","-",26077.86737/3628984.82886*100)</f>
        <v>0.7185995147351453</v>
      </c>
      <c r="E54" s="27">
        <f>IF(26038.67948="","-",26038.67948/4359977.4969*100)</f>
        <v>0.5972205016772182</v>
      </c>
      <c r="F54" s="27">
        <f>IF(OR(3634169.64824="",27577.6194="",26077.86737=""),"-",(26077.86737-27577.6194)/3634169.64824*100)</f>
        <v>-0.041268079786157416</v>
      </c>
      <c r="G54" s="27">
        <f>IF(OR(3628984.82886="",26038.67948="",26077.86737=""),"-",(26038.67948-26077.86737)/3628984.82886*100)</f>
        <v>-0.0010798581930779646</v>
      </c>
    </row>
    <row r="55" spans="1:7" s="16" customFormat="1" ht="15.75">
      <c r="A55" s="45" t="s">
        <v>154</v>
      </c>
      <c r="B55" s="27">
        <f>IF(24798.01063="","-",24798.01063)</f>
        <v>24798.01063</v>
      </c>
      <c r="C55" s="27">
        <f>IF(OR(20886.99472="",24798.01063=""),"-",24798.01063/20886.99472*100)</f>
        <v>118.72464642438518</v>
      </c>
      <c r="D55" s="27">
        <f>IF(20886.99472="","-",20886.99472/3628984.82886*100)</f>
        <v>0.5755602656118403</v>
      </c>
      <c r="E55" s="27">
        <f>IF(24798.01063="","-",24798.01063/4359977.4969*100)</f>
        <v>0.5687646472403058</v>
      </c>
      <c r="F55" s="27">
        <f>IF(OR(3634169.64824="",24463.30122="",20886.99472=""),"-",(20886.99472-24463.30122)/3634169.64824*100)</f>
        <v>-0.09840780277640532</v>
      </c>
      <c r="G55" s="27">
        <f>IF(OR(3628984.82886="",24798.01063="",20886.99472=""),"-",(24798.01063-20886.99472)/3628984.82886*100)</f>
        <v>0.1077716246950693</v>
      </c>
    </row>
    <row r="56" spans="1:7" s="16" customFormat="1" ht="15.75">
      <c r="A56" s="45" t="s">
        <v>114</v>
      </c>
      <c r="B56" s="27">
        <f>IF(24372.75499="","-",24372.75499)</f>
        <v>24372.75499</v>
      </c>
      <c r="C56" s="27">
        <f>IF(OR(20209.5654="",24372.75499=""),"-",24372.75499/20209.5654*100)</f>
        <v>120.6000945967893</v>
      </c>
      <c r="D56" s="27">
        <f>IF(20209.5654="","-",20209.5654/3628984.82886*100)</f>
        <v>0.5568930803810658</v>
      </c>
      <c r="E56" s="27">
        <f>IF(24372.75499="","-",24372.75499/4359977.4969*100)</f>
        <v>0.5590110271745519</v>
      </c>
      <c r="F56" s="27">
        <f>IF(OR(3634169.64824="",21676.01695="",20209.5654=""),"-",(20209.5654-21676.01695)/3634169.64824*100)</f>
        <v>-0.0403517637298576</v>
      </c>
      <c r="G56" s="27">
        <f>IF(OR(3628984.82886="",24372.75499="",20209.5654=""),"-",(24372.75499-20209.5654)/3628984.82886*100)</f>
        <v>0.11472050136147346</v>
      </c>
    </row>
    <row r="57" spans="1:7" s="16" customFormat="1" ht="15.75">
      <c r="A57" s="45" t="s">
        <v>155</v>
      </c>
      <c r="B57" s="27">
        <f>IF(17209.32158="","-",17209.32158)</f>
        <v>17209.32158</v>
      </c>
      <c r="C57" s="27">
        <f>IF(OR(13172.17365="",17209.32158=""),"-",17209.32158/13172.17365*100)</f>
        <v>130.64906398345272</v>
      </c>
      <c r="D57" s="27">
        <f>IF(13172.17365="","-",13172.17365/3628984.82886*100)</f>
        <v>0.36297130661022564</v>
      </c>
      <c r="E57" s="27">
        <f>IF(17209.32158="","-",17209.32158/4359977.4969*100)</f>
        <v>0.39471124775841276</v>
      </c>
      <c r="F57" s="27">
        <f>IF(OR(3634169.64824="",10445.49367="",13172.17365=""),"-",(13172.17365-10445.49367)/3634169.64824*100)</f>
        <v>0.07502896793275764</v>
      </c>
      <c r="G57" s="27">
        <f>IF(OR(3628984.82886="",17209.32158="",13172.17365=""),"-",(17209.32158-13172.17365)/3628984.82886*100)</f>
        <v>0.11124730800454237</v>
      </c>
    </row>
    <row r="58" spans="1:7" s="16" customFormat="1" ht="15.75">
      <c r="A58" s="45" t="s">
        <v>151</v>
      </c>
      <c r="B58" s="27">
        <f>IF(16565.63333="","-",16565.63333)</f>
        <v>16565.63333</v>
      </c>
      <c r="C58" s="27">
        <f>IF(OR(16418.02327="",16565.63333=""),"-",16565.63333/16418.02327*100)</f>
        <v>100.89907327802197</v>
      </c>
      <c r="D58" s="27">
        <f>IF(16418.02327="","-",16418.02327/3628984.82886*100)</f>
        <v>0.4524136650953572</v>
      </c>
      <c r="E58" s="27">
        <f>IF(16565.63333="","-",16565.63333/4359977.4969*100)</f>
        <v>0.37994767958730014</v>
      </c>
      <c r="F58" s="27">
        <f>IF(OR(3634169.64824="",14468.04604="",16418.02327=""),"-",(16418.02327-14468.04604)/3634169.64824*100)</f>
        <v>0.05365674744833008</v>
      </c>
      <c r="G58" s="27">
        <f>IF(OR(3628984.82886="",16565.63333="",16418.02327=""),"-",(16565.63333-16418.02327)/3628984.82886*100)</f>
        <v>0.004067530368992172</v>
      </c>
    </row>
    <row r="59" spans="1:7" s="16" customFormat="1" ht="15.75">
      <c r="A59" s="45" t="s">
        <v>166</v>
      </c>
      <c r="B59" s="27">
        <f>IF(11144.63403="","-",11144.63403)</f>
        <v>11144.63403</v>
      </c>
      <c r="C59" s="27">
        <f>IF(OR(9135.97903="",11144.63403=""),"-",11144.63403/9135.97903*100)</f>
        <v>121.98620414302768</v>
      </c>
      <c r="D59" s="27">
        <f>IF(9135.97903="","-",9135.97903/3628984.82886*100)</f>
        <v>0.25175026793567373</v>
      </c>
      <c r="E59" s="27">
        <f>IF(11144.63403="","-",11144.63403/4359977.4969*100)</f>
        <v>0.2556121915290613</v>
      </c>
      <c r="F59" s="27">
        <f>IF(OR(3634169.64824="",6752.3661="",9135.97903=""),"-",(9135.97903-6752.3661)/3634169.64824*100)</f>
        <v>0.06558892844076131</v>
      </c>
      <c r="G59" s="27">
        <f>IF(OR(3628984.82886="",11144.63403="",9135.97903=""),"-",(11144.63403-9135.97903)/3628984.82886*100)</f>
        <v>0.05535032783895635</v>
      </c>
    </row>
    <row r="60" spans="1:7" s="16" customFormat="1" ht="15.75">
      <c r="A60" s="45" t="s">
        <v>147</v>
      </c>
      <c r="B60" s="27">
        <f>IF(8302.8707="","-",8302.8707)</f>
        <v>8302.8707</v>
      </c>
      <c r="C60" s="27" t="s">
        <v>213</v>
      </c>
      <c r="D60" s="27">
        <f>IF(4714.26469="","-",4714.26469/3628984.82886*100)</f>
        <v>0.12990588035830744</v>
      </c>
      <c r="E60" s="27">
        <f>IF(8302.8707="","-",8302.8707/4359977.4969*100)</f>
        <v>0.19043379709880265</v>
      </c>
      <c r="F60" s="27">
        <f>IF(OR(3634169.64824="",5446.15152="",4714.26469=""),"-",(4714.26469-5446.15152)/3634169.64824*100)</f>
        <v>-0.0201390386481943</v>
      </c>
      <c r="G60" s="27">
        <f>IF(OR(3628984.82886="",8302.8707="",4714.26469=""),"-",(8302.8707-4714.26469)/3628984.82886*100)</f>
        <v>0.09888732467165798</v>
      </c>
    </row>
    <row r="61" spans="1:7" s="16" customFormat="1" ht="15.75">
      <c r="A61" s="45" t="s">
        <v>144</v>
      </c>
      <c r="B61" s="27">
        <f>IF(8260.68959="","-",8260.68959)</f>
        <v>8260.68959</v>
      </c>
      <c r="C61" s="27">
        <f>IF(OR(5575.27371="",8260.68959=""),"-",8260.68959/5575.27371*100)</f>
        <v>148.16652992629486</v>
      </c>
      <c r="D61" s="27">
        <f>IF(5575.27371="","-",5575.27371/3628984.82886*100)</f>
        <v>0.15363177232546885</v>
      </c>
      <c r="E61" s="27">
        <f>IF(8260.68959="","-",8260.68959/4359977.4969*100)</f>
        <v>0.189466335454104</v>
      </c>
      <c r="F61" s="27">
        <f>IF(OR(3634169.64824="",6655.22114="",5575.27371=""),"-",(5575.27371-6655.22114)/3634169.64824*100)</f>
        <v>-0.029716483668367252</v>
      </c>
      <c r="G61" s="27">
        <f>IF(OR(3628984.82886="",8260.68959="",5575.27371=""),"-",(8260.68959-5575.27371)/3628984.82886*100)</f>
        <v>0.07399909359344413</v>
      </c>
    </row>
    <row r="62" spans="1:7" s="16" customFormat="1" ht="15.75">
      <c r="A62" s="45" t="s">
        <v>145</v>
      </c>
      <c r="B62" s="27">
        <f>IF(8134.91052="","-",8134.91052)</f>
        <v>8134.91052</v>
      </c>
      <c r="C62" s="27">
        <f>IF(OR(10415.14143="",8134.91052=""),"-",8134.91052/10415.14143*100)</f>
        <v>78.10657756953762</v>
      </c>
      <c r="D62" s="27">
        <f>IF(10415.14143="","-",10415.14143/3628984.82886*100)</f>
        <v>0.2869987591894063</v>
      </c>
      <c r="E62" s="27">
        <f>IF(8134.91052="","-",8134.91052/4359977.4969*100)</f>
        <v>0.1865814795095623</v>
      </c>
      <c r="F62" s="27">
        <f>IF(OR(3634169.64824="",27725.10273="",10415.14143=""),"-",(10415.14143-27725.10273)/3634169.64824*100)</f>
        <v>-0.4763113166272543</v>
      </c>
      <c r="G62" s="27">
        <f>IF(OR(3628984.82886="",8134.91052="",10415.14143=""),"-",(8134.91052-10415.14143)/3628984.82886*100)</f>
        <v>-0.06283385071952217</v>
      </c>
    </row>
    <row r="63" spans="1:7" s="16" customFormat="1" ht="15.75">
      <c r="A63" s="45" t="s">
        <v>156</v>
      </c>
      <c r="B63" s="27">
        <f>IF(8133.11008="","-",8133.11008)</f>
        <v>8133.11008</v>
      </c>
      <c r="C63" s="27">
        <f>IF(OR(5349.93957="",8133.11008=""),"-",8133.11008/5349.93957*100)</f>
        <v>152.02246630236237</v>
      </c>
      <c r="D63" s="27">
        <f>IF(5349.93957="","-",5349.93957/3628984.82886*100)</f>
        <v>0.14742248376057873</v>
      </c>
      <c r="E63" s="27">
        <f>IF(8133.11008="","-",8133.11008/4359977.4969*100)</f>
        <v>0.18654018480101667</v>
      </c>
      <c r="F63" s="27">
        <f>IF(OR(3634169.64824="",4896.98537="",5349.93957=""),"-",(5349.93957-4896.98537)/3634169.64824*100)</f>
        <v>0.01246376046917241</v>
      </c>
      <c r="G63" s="27">
        <f>IF(OR(3628984.82886="",8133.11008="",5349.93957=""),"-",(8133.11008-5349.93957)/3628984.82886*100)</f>
        <v>0.07669281193645273</v>
      </c>
    </row>
    <row r="64" spans="1:7" s="16" customFormat="1" ht="15.75">
      <c r="A64" s="45" t="s">
        <v>167</v>
      </c>
      <c r="B64" s="27">
        <f>IF(7520.08676="","-",7520.08676)</f>
        <v>7520.08676</v>
      </c>
      <c r="C64" s="27">
        <f>IF(OR(5723.41537="",7520.08676=""),"-",7520.08676/5723.41537*100)</f>
        <v>131.3915952949611</v>
      </c>
      <c r="D64" s="27">
        <f>IF(5723.41537="","-",5723.41537/3628984.82886*100)</f>
        <v>0.15771395141924413</v>
      </c>
      <c r="E64" s="27">
        <f>IF(7520.08676="","-",7520.08676/4359977.4969*100)</f>
        <v>0.17247994434253108</v>
      </c>
      <c r="F64" s="27">
        <f>IF(OR(3634169.64824="",3444.8474="",5723.41537=""),"-",(5723.41537-3444.8474)/3634169.64824*100)</f>
        <v>0.06269844807887524</v>
      </c>
      <c r="G64" s="27">
        <f>IF(OR(3628984.82886="",7520.08676="",5723.41537=""),"-",(7520.08676-5723.41537)/3628984.82886*100)</f>
        <v>0.04950892535322067</v>
      </c>
    </row>
    <row r="65" spans="1:7" s="16" customFormat="1" ht="15.75">
      <c r="A65" s="45" t="s">
        <v>169</v>
      </c>
      <c r="B65" s="27">
        <f>IF(7121.48086="","-",7121.48086)</f>
        <v>7121.48086</v>
      </c>
      <c r="C65" s="27">
        <f>IF(OR(4847.22747="",7121.48086=""),"-",7121.48086/4847.22747*100)</f>
        <v>146.9186437829789</v>
      </c>
      <c r="D65" s="27">
        <f>IF(4847.22747="","-",4847.22747/3628984.82886*100)</f>
        <v>0.13356979151446868</v>
      </c>
      <c r="E65" s="27">
        <f>IF(7121.48086="","-",7121.48086/4359977.4969*100)</f>
        <v>0.16333756000033176</v>
      </c>
      <c r="F65" s="27">
        <f>IF(OR(3634169.64824="",4662.19846="",4847.22747=""),"-",(4847.22747-4662.19846)/3634169.64824*100)</f>
        <v>0.0050913696362416185</v>
      </c>
      <c r="G65" s="27">
        <f>IF(OR(3628984.82886="",7121.48086="",4847.22747=""),"-",(7121.48086-4847.22747)/3628984.82886*100)</f>
        <v>0.06266913468234112</v>
      </c>
    </row>
    <row r="66" spans="1:7" s="16" customFormat="1" ht="15.75">
      <c r="A66" s="45" t="s">
        <v>163</v>
      </c>
      <c r="B66" s="27">
        <f>IF(6687.21904="","-",6687.21904)</f>
        <v>6687.21904</v>
      </c>
      <c r="C66" s="27">
        <f>IF(OR(5607.9503="",6687.21904=""),"-",6687.21904/5607.9503*100)</f>
        <v>119.24533354013495</v>
      </c>
      <c r="D66" s="27">
        <f>IF(5607.9503="","-",5607.9503/3628984.82886*100)</f>
        <v>0.15453220568468642</v>
      </c>
      <c r="E66" s="27">
        <f>IF(6687.21904="","-",6687.21904/4359977.4969*100)</f>
        <v>0.15337737510697472</v>
      </c>
      <c r="F66" s="27">
        <f>IF(OR(3634169.64824="",5417.87315="",5607.9503=""),"-",(5607.9503-5417.87315)/3634169.64824*100)</f>
        <v>0.005230277295724292</v>
      </c>
      <c r="G66" s="27">
        <f>IF(OR(3628984.82886="",6687.21904="",5607.9503=""),"-",(6687.21904-5607.9503)/3628984.82886*100)</f>
        <v>0.029740238410945308</v>
      </c>
    </row>
    <row r="67" spans="1:7" s="16" customFormat="1" ht="15.75">
      <c r="A67" s="45" t="s">
        <v>149</v>
      </c>
      <c r="B67" s="27">
        <f>IF(6549.11645="","-",6549.11645)</f>
        <v>6549.11645</v>
      </c>
      <c r="C67" s="27">
        <f>IF(OR(5620.44245="",6549.11645=""),"-",6549.11645/5620.44245*100)</f>
        <v>116.52314756821328</v>
      </c>
      <c r="D67" s="27">
        <f>IF(5620.44245="","-",5620.44245/3628984.82886*100)</f>
        <v>0.15487643831692707</v>
      </c>
      <c r="E67" s="27">
        <f>IF(6549.11645="","-",6549.11645/4359977.4969*100)</f>
        <v>0.1502098681623129</v>
      </c>
      <c r="F67" s="27">
        <f>IF(OR(3634169.64824="",1618.75047="",5620.44245=""),"-",(5620.44245-1618.75047)/3634169.64824*100)</f>
        <v>0.11011296574825526</v>
      </c>
      <c r="G67" s="27">
        <f>IF(OR(3628984.82886="",6549.11645="",5620.44245=""),"-",(6549.11645-5620.44245)/3628984.82886*100)</f>
        <v>0.025590462451498652</v>
      </c>
    </row>
    <row r="68" spans="1:7" s="16" customFormat="1" ht="15.75">
      <c r="A68" s="45" t="s">
        <v>153</v>
      </c>
      <c r="B68" s="27">
        <f>IF(5890.65141="","-",5890.65141)</f>
        <v>5890.65141</v>
      </c>
      <c r="C68" s="27" t="s">
        <v>215</v>
      </c>
      <c r="D68" s="27">
        <f>IF(3617.99164="","-",3617.99164/3628984.82886*100)</f>
        <v>0.09969707261456222</v>
      </c>
      <c r="E68" s="27">
        <f>IF(5890.65141="","-",5890.65141/4359977.4969*100)</f>
        <v>0.13510738104011616</v>
      </c>
      <c r="F68" s="27">
        <f>IF(OR(3634169.64824="",4532.41361="",3617.99164=""),"-",(3617.99164-4532.41361)/3634169.64824*100)</f>
        <v>-0.02516178545607652</v>
      </c>
      <c r="G68" s="27">
        <f>IF(OR(3628984.82886="",5890.65141="",3617.99164=""),"-",(5890.65141-3617.99164)/3628984.82886*100)</f>
        <v>0.06262522102397236</v>
      </c>
    </row>
    <row r="69" spans="1:7" s="16" customFormat="1" ht="15.75">
      <c r="A69" s="45" t="s">
        <v>168</v>
      </c>
      <c r="B69" s="27">
        <f>IF(5777.4053="","-",5777.4053)</f>
        <v>5777.4053</v>
      </c>
      <c r="C69" s="27">
        <f>IF(OR(5670.30674="",5777.4053=""),"-",5777.4053/5670.30674*100)</f>
        <v>101.88876131240829</v>
      </c>
      <c r="D69" s="27">
        <f>IF(5670.30674="","-",5670.30674/3628984.82886*100)</f>
        <v>0.1562504944883238</v>
      </c>
      <c r="E69" s="27">
        <f>IF(5777.4053="","-",5777.4053/4359977.4969*100)</f>
        <v>0.13250997979021245</v>
      </c>
      <c r="F69" s="27">
        <f>IF(OR(3634169.64824="",5069.97692="",5670.30674=""),"-",(5670.30674-5069.97692)/3634169.64824*100)</f>
        <v>0.016519036756876083</v>
      </c>
      <c r="G69" s="27">
        <f>IF(OR(3628984.82886="",5777.4053="",5670.30674=""),"-",(5777.4053-5670.30674)/3628984.82886*100)</f>
        <v>0.0029511988903421246</v>
      </c>
    </row>
    <row r="70" spans="1:7" s="16" customFormat="1" ht="15.75">
      <c r="A70" s="45" t="s">
        <v>150</v>
      </c>
      <c r="B70" s="27">
        <f>IF(5018.5401="","-",5018.5401)</f>
        <v>5018.5401</v>
      </c>
      <c r="C70" s="27">
        <f>IF(OR(4338.74533="",5018.5401=""),"-",5018.5401/4338.74533*100)</f>
        <v>115.66800349630108</v>
      </c>
      <c r="D70" s="27">
        <f>IF(4338.74533="","-",4338.74533/3628984.82886*100)</f>
        <v>0.11955810053256581</v>
      </c>
      <c r="E70" s="27">
        <f>IF(5018.5401="","-",5018.5401/4359977.4969*100)</f>
        <v>0.11510472481952595</v>
      </c>
      <c r="F70" s="27">
        <f>IF(OR(3634169.64824="",4261.39677="",4338.74533=""),"-",(4338.74533-4261.39677)/3634169.64824*100)</f>
        <v>0.0021283695448135933</v>
      </c>
      <c r="G70" s="27">
        <f>IF(OR(3628984.82886="",5018.5401="",4338.74533=""),"-",(5018.5401-4338.74533)/3628984.82886*100)</f>
        <v>0.01873236737155359</v>
      </c>
    </row>
    <row r="71" spans="1:7" s="16" customFormat="1" ht="15.75">
      <c r="A71" s="45" t="s">
        <v>170</v>
      </c>
      <c r="B71" s="27">
        <f>IF(4904.25677="","-",4904.25677)</f>
        <v>4904.25677</v>
      </c>
      <c r="C71" s="27">
        <f>IF(OR(3613.12049="",4904.25677=""),"-",4904.25677/3613.12049*100)</f>
        <v>135.7346588239575</v>
      </c>
      <c r="D71" s="27">
        <f>IF(3613.12049="","-",3613.12049/3628984.82886*100)</f>
        <v>0.09956284361582785</v>
      </c>
      <c r="E71" s="27">
        <f>IF(4904.25677="","-",4904.25677/4359977.4969*100)</f>
        <v>0.11248353399729678</v>
      </c>
      <c r="F71" s="27">
        <f>IF(OR(3634169.64824="",5016.09092="",3613.12049=""),"-",(3613.12049-5016.09092)/3634169.64824*100)</f>
        <v>-0.03860497901300363</v>
      </c>
      <c r="G71" s="27">
        <f>IF(OR(3628984.82886="",4904.25677="",3613.12049=""),"-",(4904.25677-3613.12049)/3628984.82886*100)</f>
        <v>0.0355784424815464</v>
      </c>
    </row>
    <row r="72" spans="1:7" s="16" customFormat="1" ht="15.75">
      <c r="A72" s="45" t="s">
        <v>172</v>
      </c>
      <c r="B72" s="27">
        <f>IF(3869.52708="","-",3869.52708)</f>
        <v>3869.52708</v>
      </c>
      <c r="C72" s="27">
        <f>IF(OR(2940.47077="",3869.52708=""),"-",3869.52708/2940.47077*100)</f>
        <v>131.5954955063199</v>
      </c>
      <c r="D72" s="27">
        <f>IF(2940.47077="","-",2940.47077/3628984.82886*100)</f>
        <v>0.08102736463970592</v>
      </c>
      <c r="E72" s="27">
        <f>IF(3869.52708="","-",3869.52708/4359977.4969*100)</f>
        <v>0.08875107916844258</v>
      </c>
      <c r="F72" s="27">
        <f>IF(OR(3634169.64824="",1241.41888="",2940.47077=""),"-",(2940.47077-1241.41888)/3634169.64824*100)</f>
        <v>0.04675213472279252</v>
      </c>
      <c r="G72" s="27">
        <f>IF(OR(3628984.82886="",3869.52708="",2940.47077=""),"-",(3869.52708-2940.47077)/3628984.82886*100)</f>
        <v>0.025600997353627718</v>
      </c>
    </row>
    <row r="73" spans="1:7" s="16" customFormat="1" ht="15.75">
      <c r="A73" s="45" t="s">
        <v>171</v>
      </c>
      <c r="B73" s="27">
        <f>IF(3804.59177="","-",3804.59177)</f>
        <v>3804.59177</v>
      </c>
      <c r="C73" s="27">
        <f>IF(OR(2950.13523="",3804.59177=""),"-",3804.59177/2950.13523*100)</f>
        <v>128.9633007772325</v>
      </c>
      <c r="D73" s="27">
        <f>IF(2950.13523="","-",2950.13523/3628984.82886*100)</f>
        <v>0.08129367768469696</v>
      </c>
      <c r="E73" s="27">
        <f>IF(3804.59177="","-",3804.59177/4359977.4969*100)</f>
        <v>0.08726172950904251</v>
      </c>
      <c r="F73" s="27">
        <f>IF(OR(3634169.64824="",3335.9143="",2950.13523=""),"-",(2950.13523-3335.9143)/3634169.64824*100)</f>
        <v>-0.01061532914917249</v>
      </c>
      <c r="G73" s="27">
        <f>IF(OR(3628984.82886="",3804.59177="",2950.13523=""),"-",(3804.59177-2950.13523)/3628984.82886*100)</f>
        <v>0.02354533238069273</v>
      </c>
    </row>
    <row r="74" spans="1:7" s="16" customFormat="1" ht="15.75">
      <c r="A74" s="45" t="s">
        <v>174</v>
      </c>
      <c r="B74" s="27">
        <f>IF(3758.83661="","-",3758.83661)</f>
        <v>3758.83661</v>
      </c>
      <c r="C74" s="27" t="s">
        <v>238</v>
      </c>
      <c r="D74" s="27">
        <f>IF(1634.77017="","-",1634.77017/3628984.82886*100)</f>
        <v>0.04504758898409456</v>
      </c>
      <c r="E74" s="27">
        <f>IF(3758.83661="","-",3758.83661/4359977.4969*100)</f>
        <v>0.08621229381740114</v>
      </c>
      <c r="F74" s="27">
        <f>IF(OR(3634169.64824="",1168.1049="",1634.77017=""),"-",(1634.77017-1168.1049)/3634169.64824*100)</f>
        <v>0.012841042526069258</v>
      </c>
      <c r="G74" s="27">
        <f>IF(OR(3628984.82886="",3758.83661="",1634.77017=""),"-",(3758.83661-1634.77017)/3628984.82886*100)</f>
        <v>0.05853059574975541</v>
      </c>
    </row>
    <row r="75" spans="1:7" s="16" customFormat="1" ht="15.75">
      <c r="A75" s="45" t="s">
        <v>159</v>
      </c>
      <c r="B75" s="27">
        <f>IF(2481.53814="","-",2481.53814)</f>
        <v>2481.53814</v>
      </c>
      <c r="C75" s="27">
        <f>IF(OR(1949.9006="",2481.53814=""),"-",2481.53814/1949.9006*100)</f>
        <v>127.26485339816811</v>
      </c>
      <c r="D75" s="27">
        <f>IF(1949.9006="","-",1949.9006/3628984.82886*100)</f>
        <v>0.05373129654588655</v>
      </c>
      <c r="E75" s="27">
        <f>IF(2481.53814="","-",2481.53814/4359977.4969*100)</f>
        <v>0.056916306145258916</v>
      </c>
      <c r="F75" s="27">
        <f>IF(OR(3634169.64824="",2938.92856="",1949.9006=""),"-",(1949.9006-2938.92856)/3634169.64824*100)</f>
        <v>-0.027214688793600443</v>
      </c>
      <c r="G75" s="27">
        <f>IF(OR(3628984.82886="",2481.53814="",1949.9006=""),"-",(2481.53814-1949.9006)/3628984.82886*100)</f>
        <v>0.014649759232170928</v>
      </c>
    </row>
    <row r="76" spans="1:7" s="16" customFormat="1" ht="15.75">
      <c r="A76" s="45" t="s">
        <v>121</v>
      </c>
      <c r="B76" s="27">
        <f>IF(2420.37628="","-",2420.37628)</f>
        <v>2420.37628</v>
      </c>
      <c r="C76" s="27">
        <f>IF(OR(2707.12676="",2420.37628=""),"-",2420.37628/2707.12676*100)</f>
        <v>89.40757099974144</v>
      </c>
      <c r="D76" s="27">
        <f>IF(2707.12676="","-",2707.12676/3628984.82886*100)</f>
        <v>0.07459735677237345</v>
      </c>
      <c r="E76" s="27">
        <f>IF(2420.37628="","-",2420.37628/4359977.4969*100)</f>
        <v>0.05551350395090155</v>
      </c>
      <c r="F76" s="27">
        <f>IF(OR(3634169.64824="",4035.35516="",2707.12676=""),"-",(2707.12676-4035.35516)/3634169.64824*100)</f>
        <v>-0.03654833231693657</v>
      </c>
      <c r="G76" s="27">
        <f>IF(OR(3628984.82886="",2420.37628="",2707.12676=""),"-",(2420.37628-2707.12676)/3628984.82886*100)</f>
        <v>-0.007901672052183234</v>
      </c>
    </row>
    <row r="77" spans="1:7" s="16" customFormat="1" ht="15.75">
      <c r="A77" s="45" t="s">
        <v>175</v>
      </c>
      <c r="B77" s="27">
        <f>IF(2064.58403="","-",2064.58403)</f>
        <v>2064.58403</v>
      </c>
      <c r="C77" s="27">
        <f>IF(OR(1425.85691="",2064.58403=""),"-",2064.58403/1425.85691*100)</f>
        <v>144.79601813620974</v>
      </c>
      <c r="D77" s="27">
        <f>IF(1425.85691="","-",1425.85691/3628984.82886*100)</f>
        <v>0.03929079280411087</v>
      </c>
      <c r="E77" s="27">
        <f>IF(2064.58403="","-",2064.58403/4359977.4969*100)</f>
        <v>0.04735308912644494</v>
      </c>
      <c r="F77" s="27">
        <f>IF(OR(3634169.64824="",1160.29447="",1425.85691=""),"-",(1425.85691-1160.29447)/3634169.64824*100)</f>
        <v>0.007307375981432504</v>
      </c>
      <c r="G77" s="27">
        <f>IF(OR(3628984.82886="",2064.58403="",1425.85691=""),"-",(2064.58403-1425.85691)/3628984.82886*100)</f>
        <v>0.017600710670390103</v>
      </c>
    </row>
    <row r="78" spans="1:7" s="16" customFormat="1" ht="15.75">
      <c r="A78" s="45" t="s">
        <v>180</v>
      </c>
      <c r="B78" s="27">
        <f>IF(1830.03866="","-",1830.03866)</f>
        <v>1830.03866</v>
      </c>
      <c r="C78" s="27" t="s">
        <v>238</v>
      </c>
      <c r="D78" s="27">
        <f>IF(796.66298="","-",796.66298/3628984.82886*100)</f>
        <v>0.021952777913658614</v>
      </c>
      <c r="E78" s="27">
        <f>IF(1830.03866="","-",1830.03866/4359977.4969*100)</f>
        <v>0.04197358039809107</v>
      </c>
      <c r="F78" s="27">
        <f>IF(OR(3634169.64824="",1821.02964="",796.66298=""),"-",(796.66298-1821.02964)/3634169.64824*100)</f>
        <v>-0.02818708973853471</v>
      </c>
      <c r="G78" s="27">
        <f>IF(OR(3628984.82886="",1830.03866="",796.66298=""),"-",(1830.03866-796.66298)/3628984.82886*100)</f>
        <v>0.028475613118631365</v>
      </c>
    </row>
    <row r="79" spans="1:7" s="16" customFormat="1" ht="15.75">
      <c r="A79" s="45" t="s">
        <v>141</v>
      </c>
      <c r="B79" s="27">
        <f>IF(1789.37109="","-",1789.37109)</f>
        <v>1789.37109</v>
      </c>
      <c r="C79" s="27">
        <f>IF(OR(1407.27622="",1789.37109=""),"-",1789.37109/1407.27622*100)</f>
        <v>127.15137686331401</v>
      </c>
      <c r="D79" s="27">
        <f>IF(1407.27622="","-",1407.27622/3628984.82886*100)</f>
        <v>0.03877878487692874</v>
      </c>
      <c r="E79" s="27">
        <f>IF(1789.37109="","-",1789.37109/4359977.4969*100)</f>
        <v>0.041040833152745995</v>
      </c>
      <c r="F79" s="27">
        <f>IF(OR(3634169.64824="",1744.15546="",1407.27622=""),"-",(1407.27622-1744.15546)/3634169.64824*100)</f>
        <v>-0.009269771986653071</v>
      </c>
      <c r="G79" s="27">
        <f>IF(OR(3628984.82886="",1789.37109="",1407.27622=""),"-",(1789.37109-1407.27622)/3628984.82886*100)</f>
        <v>0.010528974024948746</v>
      </c>
    </row>
    <row r="80" spans="1:7" s="16" customFormat="1" ht="15.75">
      <c r="A80" s="45" t="s">
        <v>205</v>
      </c>
      <c r="B80" s="27">
        <f>IF(1688.3847="","-",1688.3847)</f>
        <v>1688.3847</v>
      </c>
      <c r="C80" s="27" t="s">
        <v>238</v>
      </c>
      <c r="D80" s="27">
        <f>IF(742.28146="","-",742.28146/3628984.82886*100)</f>
        <v>0.020454245333210126</v>
      </c>
      <c r="E80" s="27">
        <f>IF(1688.3847="","-",1688.3847/4359977.4969*100)</f>
        <v>0.038724619592657605</v>
      </c>
      <c r="F80" s="27">
        <f>IF(OR(3634169.64824="",1673.65801="",742.28146=""),"-",(742.28146-1673.65801)/3634169.64824*100)</f>
        <v>-0.025628317886894975</v>
      </c>
      <c r="G80" s="27">
        <f>IF(OR(3628984.82886="",1688.3847="",742.28146=""),"-",(1688.3847-742.28146)/3628984.82886*100)</f>
        <v>0.026070741119554545</v>
      </c>
    </row>
    <row r="81" spans="1:7" s="16" customFormat="1" ht="15.75">
      <c r="A81" s="45" t="s">
        <v>160</v>
      </c>
      <c r="B81" s="27">
        <f>IF(1647.19664="","-",1647.19664)</f>
        <v>1647.19664</v>
      </c>
      <c r="C81" s="27" t="s">
        <v>213</v>
      </c>
      <c r="D81" s="27">
        <f>IF(932.53739="","-",932.53739/3628984.82886*100)</f>
        <v>0.025696921700632872</v>
      </c>
      <c r="E81" s="27">
        <f>IF(1647.19664="","-",1647.19664/4359977.4969*100)</f>
        <v>0.037779934441661174</v>
      </c>
      <c r="F81" s="27">
        <f>IF(OR(3634169.64824="",787.22259="",932.53739=""),"-",(932.53739-787.22259)/3634169.64824*100)</f>
        <v>0.0039985695238628945</v>
      </c>
      <c r="G81" s="27">
        <f>IF(OR(3628984.82886="",1647.19664="",932.53739=""),"-",(1647.19664-932.53739)/3628984.82886*100)</f>
        <v>0.01969309004315957</v>
      </c>
    </row>
    <row r="82" spans="1:7" s="16" customFormat="1" ht="15.75">
      <c r="A82" s="45" t="s">
        <v>207</v>
      </c>
      <c r="B82" s="27">
        <f>IF(1534.56481="","-",1534.56481)</f>
        <v>1534.56481</v>
      </c>
      <c r="C82" s="27">
        <f>IF(OR(1604.19045="",1534.56481=""),"-",1534.56481/1604.19045*100)</f>
        <v>95.65976471185202</v>
      </c>
      <c r="D82" s="27">
        <f>IF(1604.19045="","-",1604.19045/3628984.82886*100)</f>
        <v>0.04420493679781892</v>
      </c>
      <c r="E82" s="27">
        <f>IF(1534.56481="","-",1534.56481/4359977.4969*100)</f>
        <v>0.03519662225530053</v>
      </c>
      <c r="F82" s="27">
        <f>IF(OR(3634169.64824="",1524.72581="",1604.19045=""),"-",(1604.19045-1524.72581)/3634169.64824*100)</f>
        <v>0.0021865968760837635</v>
      </c>
      <c r="G82" s="27">
        <f>IF(OR(3628984.82886="",1534.56481="",1604.19045=""),"-",(1534.56481-1604.19045)/3628984.82886*100)</f>
        <v>-0.001918598266002451</v>
      </c>
    </row>
    <row r="83" spans="1:7" s="16" customFormat="1" ht="15.75">
      <c r="A83" s="45" t="s">
        <v>158</v>
      </c>
      <c r="B83" s="27">
        <f>IF(1472.97559="","-",1472.97559)</f>
        <v>1472.97559</v>
      </c>
      <c r="C83" s="27">
        <f>IF(OR(1319.56275="",1472.97559=""),"-",1472.97559/1319.56275*100)</f>
        <v>111.62603597290087</v>
      </c>
      <c r="D83" s="27">
        <f>IF(1319.56275="","-",1319.56275/3628984.82886*100)</f>
        <v>0.03636175989235326</v>
      </c>
      <c r="E83" s="27">
        <f>IF(1472.97559="","-",1472.97559/4359977.4969*100)</f>
        <v>0.03378401817549069</v>
      </c>
      <c r="F83" s="27">
        <f>IF(OR(3634169.64824="",858.19371="",1319.56275=""),"-",(1319.56275-858.19371)/3634169.64824*100)</f>
        <v>0.012695308272783506</v>
      </c>
      <c r="G83" s="27">
        <f>IF(OR(3628984.82886="",1472.97559="",1319.56275=""),"-",(1472.97559-1319.56275)/3628984.82886*100)</f>
        <v>0.004227431285464831</v>
      </c>
    </row>
    <row r="84" spans="1:7" s="16" customFormat="1" ht="15.75">
      <c r="A84" s="45" t="s">
        <v>173</v>
      </c>
      <c r="B84" s="27">
        <f>IF(1440.23751="","-",1440.23751)</f>
        <v>1440.23751</v>
      </c>
      <c r="C84" s="27">
        <f>IF(OR(1721.68552="",1440.23751=""),"-",1440.23751/1721.68552*100)</f>
        <v>83.65276313644084</v>
      </c>
      <c r="D84" s="27">
        <f>IF(1721.68552="","-",1721.68552/3628984.82886*100)</f>
        <v>0.047442621041236095</v>
      </c>
      <c r="E84" s="27">
        <f>IF(1440.23751="","-",1440.23751/4359977.4969*100)</f>
        <v>0.03303314090552136</v>
      </c>
      <c r="F84" s="27">
        <f>IF(OR(3634169.64824="",2243.80877="",1721.68552=""),"-",(1721.68552-2243.80877)/3634169.64824*100)</f>
        <v>-0.014367057692335863</v>
      </c>
      <c r="G84" s="27">
        <f>IF(OR(3628984.82886="",1440.23751="",1721.68552=""),"-",(1440.23751-1721.68552)/3628984.82886*100)</f>
        <v>-0.007755557635891617</v>
      </c>
    </row>
    <row r="85" spans="1:7" s="16" customFormat="1" ht="15.75">
      <c r="A85" s="45" t="s">
        <v>152</v>
      </c>
      <c r="B85" s="27">
        <f>IF(1269.70409="","-",1269.70409)</f>
        <v>1269.70409</v>
      </c>
      <c r="C85" s="27">
        <f>IF(OR(1690.17117="",1269.70409=""),"-",1269.70409/1690.17117*100)</f>
        <v>75.1228107860815</v>
      </c>
      <c r="D85" s="27">
        <f>IF(1690.17117="","-",1690.17117/3628984.82886*100)</f>
        <v>0.046574214269475084</v>
      </c>
      <c r="E85" s="27">
        <f>IF(1269.70409="","-",1269.70409/4359977.4969*100)</f>
        <v>0.02912180374561052</v>
      </c>
      <c r="F85" s="27">
        <f>IF(OR(3634169.64824="",518.51826="",1690.17117=""),"-",(1690.17117-518.51826)/3634169.64824*100)</f>
        <v>0.03223990686751298</v>
      </c>
      <c r="G85" s="27">
        <f>IF(OR(3628984.82886="",1269.70409="",1690.17117=""),"-",(1269.70409-1690.17117)/3628984.82886*100)</f>
        <v>-0.011586355408713146</v>
      </c>
    </row>
    <row r="86" spans="1:7" s="16" customFormat="1" ht="15.75">
      <c r="A86" s="45" t="s">
        <v>176</v>
      </c>
      <c r="B86" s="27">
        <f>IF(1012.21885="","-",1012.21885)</f>
        <v>1012.21885</v>
      </c>
      <c r="C86" s="27">
        <f>IF(OR(1185.9559="",1012.21885=""),"-",1012.21885/1185.9559*100)</f>
        <v>85.35046286291083</v>
      </c>
      <c r="D86" s="27">
        <f>IF(1185.9559="","-",1185.9559/3628984.82886*100)</f>
        <v>0.03268010079757079</v>
      </c>
      <c r="E86" s="27">
        <f>IF(1012.21885="","-",1012.21885/4359977.4969*100)</f>
        <v>0.023216148494337428</v>
      </c>
      <c r="F86" s="27">
        <f>IF(OR(3634169.64824="",1423.33701="",1185.9559=""),"-",(1185.9559-1423.33701)/3634169.64824*100)</f>
        <v>-0.006531921538527016</v>
      </c>
      <c r="G86" s="27">
        <f>IF(OR(3628984.82886="",1012.21885="",1185.9559=""),"-",(1012.21885-1185.9559)/3628984.82886*100)</f>
        <v>-0.004787483502778304</v>
      </c>
    </row>
    <row r="87" spans="1:7" s="16" customFormat="1" ht="15.75">
      <c r="A87" s="45" t="s">
        <v>181</v>
      </c>
      <c r="B87" s="27">
        <f>IF(925.10747="","-",925.10747)</f>
        <v>925.10747</v>
      </c>
      <c r="C87" s="27">
        <f>IF(OR(744.29572="",925.10747=""),"-",925.10747/744.29572*100)</f>
        <v>124.29299875592461</v>
      </c>
      <c r="D87" s="27">
        <f>IF(744.29572="","-",744.29572/3628984.82886*100)</f>
        <v>0.02050975011195655</v>
      </c>
      <c r="E87" s="27">
        <f>IF(925.10747="","-",925.10747/4359977.4969*100)</f>
        <v>0.02121817075105923</v>
      </c>
      <c r="F87" s="27">
        <f>IF(OR(3634169.64824="",403.96806="",744.29572=""),"-",(744.29572-403.96806)/3634169.64824*100)</f>
        <v>0.009364660787501157</v>
      </c>
      <c r="G87" s="27">
        <f>IF(OR(3628984.82886="",925.10747="",744.29572=""),"-",(925.10747-744.29572)/3628984.82886*100)</f>
        <v>0.00498243333954085</v>
      </c>
    </row>
    <row r="88" spans="1:7" s="16" customFormat="1" ht="15.75">
      <c r="A88" s="45" t="s">
        <v>202</v>
      </c>
      <c r="B88" s="27">
        <f>IF(891.23016="","-",891.23016)</f>
        <v>891.23016</v>
      </c>
      <c r="C88" s="27" t="s">
        <v>215</v>
      </c>
      <c r="D88" s="27">
        <f>IF(553.40197="","-",553.40197/3628984.82886*100)</f>
        <v>0.015249498030385658</v>
      </c>
      <c r="E88" s="27">
        <f>IF(891.23016="","-",891.23016/4359977.4969*100)</f>
        <v>0.02044116421778957</v>
      </c>
      <c r="F88" s="27">
        <f>IF(OR(3634169.64824="",58.67302="",553.40197=""),"-",(553.40197-58.67302)/3634169.64824*100)</f>
        <v>0.013613259640743336</v>
      </c>
      <c r="G88" s="27">
        <f>IF(OR(3628984.82886="",891.23016="",553.40197=""),"-",(891.23016-553.40197)/3628984.82886*100)</f>
        <v>0.009309165122801697</v>
      </c>
    </row>
    <row r="89" spans="1:7" ht="15.75">
      <c r="A89" s="45" t="s">
        <v>182</v>
      </c>
      <c r="B89" s="27">
        <f>IF(865.6331="","-",865.6331)</f>
        <v>865.6331</v>
      </c>
      <c r="C89" s="27">
        <f>IF(OR(668.73078="",865.6331=""),"-",865.6331/668.73078*100)</f>
        <v>129.4441838014395</v>
      </c>
      <c r="D89" s="27">
        <f>IF(668.73078="","-",668.73078/3628984.82886*100)</f>
        <v>0.018427488995870874</v>
      </c>
      <c r="E89" s="27">
        <f>IF(865.6331="","-",865.6331/4359977.4969*100)</f>
        <v>0.01985407265554642</v>
      </c>
      <c r="F89" s="27">
        <f>IF(OR(3634169.64824="",718.22546="",668.73078=""),"-",(668.73078-718.22546)/3634169.64824*100)</f>
        <v>-0.0013619254132500366</v>
      </c>
      <c r="G89" s="27">
        <f>IF(OR(3628984.82886="",865.6331="",668.73078=""),"-",(865.6331-668.73078)/3628984.82886*100)</f>
        <v>0.0054258237299342595</v>
      </c>
    </row>
    <row r="90" spans="1:7" ht="15.75">
      <c r="A90" s="45" t="s">
        <v>120</v>
      </c>
      <c r="B90" s="27">
        <f>IF(799.79017="","-",799.79017)</f>
        <v>799.79017</v>
      </c>
      <c r="C90" s="27">
        <f>IF(OR(3121.13969="",799.79017=""),"-",799.79017/3121.13969*100)</f>
        <v>25.624939907768113</v>
      </c>
      <c r="D90" s="27">
        <f>IF(3121.13969="","-",3121.13969/3628984.82886*100)</f>
        <v>0.08600586216780816</v>
      </c>
      <c r="E90" s="27">
        <f>IF(799.79017="","-",799.79017/4359977.4969*100)</f>
        <v>0.018343905916226887</v>
      </c>
      <c r="F90" s="27">
        <f>IF(OR(3634169.64824="",3146.19419="",3121.13969=""),"-",(3121.13969-3146.19419)/3634169.64824*100)</f>
        <v>-0.000689414706111309</v>
      </c>
      <c r="G90" s="27">
        <f>IF(OR(3628984.82886="",799.79017="",3121.13969=""),"-",(799.79017-3121.13969)/3628984.82886*100)</f>
        <v>-0.06396691167014944</v>
      </c>
    </row>
    <row r="91" spans="1:7" ht="15.75">
      <c r="A91" s="45" t="s">
        <v>177</v>
      </c>
      <c r="B91" s="27">
        <f>IF(797.94168="","-",797.94168)</f>
        <v>797.94168</v>
      </c>
      <c r="C91" s="27">
        <f>IF(OR(1095.06238="",797.94168=""),"-",797.94168/1095.06238*100)</f>
        <v>72.86723519805328</v>
      </c>
      <c r="D91" s="27">
        <f>IF(1095.06238="","-",1095.06238/3628984.82886*100)</f>
        <v>0.03017544662329162</v>
      </c>
      <c r="E91" s="27">
        <f>IF(797.94168="","-",797.94168/4359977.4969*100)</f>
        <v>0.018301509137773002</v>
      </c>
      <c r="F91" s="27">
        <f>IF(OR(3634169.64824="",1804.86414="",1095.06238=""),"-",(1095.06238-1804.86414)/3634169.64824*100)</f>
        <v>-0.019531332565714186</v>
      </c>
      <c r="G91" s="27">
        <f>IF(OR(3628984.82886="",797.94168="",1095.06238=""),"-",(797.94168-1095.06238)/3628984.82886*100)</f>
        <v>-0.008187432960234688</v>
      </c>
    </row>
    <row r="92" spans="1:7" ht="15.75">
      <c r="A92" s="45" t="s">
        <v>119</v>
      </c>
      <c r="B92" s="27">
        <f>IF(755.88706="","-",755.88706)</f>
        <v>755.88706</v>
      </c>
      <c r="C92" s="27" t="s">
        <v>215</v>
      </c>
      <c r="D92" s="27">
        <f>IF(461.31612="","-",461.31612/3628984.82886*100)</f>
        <v>0.012711988111146683</v>
      </c>
      <c r="E92" s="27">
        <f>IF(755.88706="","-",755.88706/4359977.4969*100)</f>
        <v>0.01733694865483699</v>
      </c>
      <c r="F92" s="27">
        <f>IF(OR(3634169.64824="",217.10068="",461.31612=""),"-",(461.31612-217.10068)/3634169.64824*100)</f>
        <v>0.006719979077428916</v>
      </c>
      <c r="G92" s="27">
        <f>IF(OR(3628984.82886="",755.88706="",461.31612=""),"-",(755.88706-461.31612)/3628984.82886*100)</f>
        <v>0.00811717198863396</v>
      </c>
    </row>
    <row r="93" spans="1:7" ht="15.75">
      <c r="A93" s="45" t="s">
        <v>165</v>
      </c>
      <c r="B93" s="27">
        <f>IF(655.0653="","-",655.0653)</f>
        <v>655.0653</v>
      </c>
      <c r="C93" s="27">
        <f>IF(OR(782.87494="",655.0653=""),"-",655.0653/782.87494*100)</f>
        <v>83.6743222359372</v>
      </c>
      <c r="D93" s="27">
        <f>IF(782.87494="","-",782.87494/3628984.82886*100)</f>
        <v>0.02157283584582883</v>
      </c>
      <c r="E93" s="27">
        <f>IF(655.0653="","-",655.0653/4359977.4969*100)</f>
        <v>0.015024511031668394</v>
      </c>
      <c r="F93" s="27">
        <f>IF(OR(3634169.64824="",561.25806="",782.87494=""),"-",(782.87494-561.25806)/3634169.64824*100)</f>
        <v>0.00609814349496115</v>
      </c>
      <c r="G93" s="27">
        <f>IF(OR(3628984.82886="",655.0653="",782.87494=""),"-",(655.0653-782.87494)/3628984.82886*100)</f>
        <v>-0.003521911664760248</v>
      </c>
    </row>
    <row r="94" spans="1:7" ht="15.75">
      <c r="A94" s="45" t="s">
        <v>143</v>
      </c>
      <c r="B94" s="27">
        <f>IF(570.71835="","-",570.71835)</f>
        <v>570.71835</v>
      </c>
      <c r="C94" s="27">
        <f>IF(OR(886.16613="",570.71835=""),"-",570.71835/886.16613*100)</f>
        <v>64.40308771448984</v>
      </c>
      <c r="D94" s="27">
        <f>IF(886.16613="","-",886.16613/3628984.82886*100)</f>
        <v>0.024419119169433894</v>
      </c>
      <c r="E94" s="27">
        <f>IF(570.71835="","-",570.71835/4359977.4969*100)</f>
        <v>0.013089937973436518</v>
      </c>
      <c r="F94" s="27">
        <f>IF(OR(3634169.64824="",449.31988="",886.16613=""),"-",(886.16613-449.31988)/3634169.64824*100)</f>
        <v>0.01202052441914926</v>
      </c>
      <c r="G94" s="27">
        <f>IF(OR(3628984.82886="",570.71835="",886.16613=""),"-",(570.71835-886.16613)/3628984.82886*100)</f>
        <v>-0.008692452431637581</v>
      </c>
    </row>
    <row r="95" spans="1:7" ht="15.75">
      <c r="A95" s="45" t="s">
        <v>191</v>
      </c>
      <c r="B95" s="27">
        <f>IF(562.2986="","-",562.2986)</f>
        <v>562.2986</v>
      </c>
      <c r="C95" s="27" t="s">
        <v>215</v>
      </c>
      <c r="D95" s="27">
        <f>IF(360.57606="","-",360.57606/3628984.82886*100)</f>
        <v>0.009936003510746846</v>
      </c>
      <c r="E95" s="27">
        <f>IF(562.2986="","-",562.2986/4359977.4969*100)</f>
        <v>0.012896823444611847</v>
      </c>
      <c r="F95" s="27">
        <f>IF(OR(3634169.64824="",269.84057="",360.57606=""),"-",(360.57606-269.84057)/3634169.64824*100)</f>
        <v>0.0024967323703213046</v>
      </c>
      <c r="G95" s="27">
        <f>IF(OR(3628984.82886="",562.2986="",360.57606=""),"-",(562.2986-360.57606)/3628984.82886*100)</f>
        <v>0.00555864930588229</v>
      </c>
    </row>
    <row r="96" spans="1:7" ht="15.75">
      <c r="A96" s="45" t="s">
        <v>179</v>
      </c>
      <c r="B96" s="27">
        <f>IF(561.79504="","-",561.79504)</f>
        <v>561.79504</v>
      </c>
      <c r="C96" s="27">
        <f>IF(OR(808.14619="",561.79504=""),"-",561.79504/808.14619*100)</f>
        <v>69.51651161035603</v>
      </c>
      <c r="D96" s="27">
        <f>IF(808.14619="","-",808.14619/3628984.82886*100)</f>
        <v>0.02226920828031869</v>
      </c>
      <c r="E96" s="27">
        <f>IF(561.79504="","-",561.79504/4359977.4969*100)</f>
        <v>0.012885273843716934</v>
      </c>
      <c r="F96" s="27">
        <f>IF(OR(3634169.64824="",914.45687="",808.14619=""),"-",(808.14619-914.45687)/3634169.64824*100)</f>
        <v>-0.002925308675435264</v>
      </c>
      <c r="G96" s="27">
        <f>IF(OR(3628984.82886="",561.79504="",808.14619=""),"-",(561.79504-808.14619)/3628984.82886*100)</f>
        <v>-0.00678843152059658</v>
      </c>
    </row>
    <row r="97" spans="1:7" ht="15.75">
      <c r="A97" s="45" t="s">
        <v>183</v>
      </c>
      <c r="B97" s="27">
        <f>IF(544.40302="","-",544.40302)</f>
        <v>544.40302</v>
      </c>
      <c r="C97" s="27">
        <f>IF(OR(495.40548="",544.40302=""),"-",544.40302/495.40548*100)</f>
        <v>109.89039120035571</v>
      </c>
      <c r="D97" s="27">
        <f>IF(495.40548="","-",495.40548/3628984.82886*100)</f>
        <v>0.013651351641379704</v>
      </c>
      <c r="E97" s="27">
        <f>IF(544.40302="","-",544.40302/4359977.4969*100)</f>
        <v>0.012486372243597074</v>
      </c>
      <c r="F97" s="27">
        <f>IF(OR(3634169.64824="",1690.73989="",495.40548=""),"-",(495.40548-1690.73989)/3634169.64824*100)</f>
        <v>-0.03289154127900692</v>
      </c>
      <c r="G97" s="27">
        <f>IF(OR(3628984.82886="",544.40302="",495.40548=""),"-",(544.40302-495.40548)/3628984.82886*100)</f>
        <v>0.0013501720814686328</v>
      </c>
    </row>
    <row r="98" spans="1:7" ht="15.75">
      <c r="A98" s="45" t="s">
        <v>178</v>
      </c>
      <c r="B98" s="27">
        <f>IF(542.65694="","-",542.65694)</f>
        <v>542.65694</v>
      </c>
      <c r="C98" s="27">
        <f>IF(OR(1046.38714="",542.65694=""),"-",542.65694/1046.38714*100)</f>
        <v>51.860054396310716</v>
      </c>
      <c r="D98" s="27">
        <f>IF(1046.38714="","-",1046.38714/3628984.82886*100)</f>
        <v>0.02883415581345126</v>
      </c>
      <c r="E98" s="27">
        <f>IF(542.65694="","-",542.65694/4359977.4969*100)</f>
        <v>0.012446324330477303</v>
      </c>
      <c r="F98" s="27">
        <f>IF(OR(3634169.64824="",1919.63098="",1046.38714=""),"-",(1046.38714-1919.63098)/3634169.64824*100)</f>
        <v>-0.024028703239621876</v>
      </c>
      <c r="G98" s="27">
        <f>IF(OR(3628984.82886="",542.65694="",1046.38714=""),"-",(542.65694-1046.38714)/3628984.82886*100)</f>
        <v>-0.01388074692387845</v>
      </c>
    </row>
    <row r="99" spans="1:7" ht="15.75">
      <c r="A99" s="45" t="s">
        <v>211</v>
      </c>
      <c r="B99" s="27">
        <f>IF(501.0019="","-",501.0019)</f>
        <v>501.0019</v>
      </c>
      <c r="C99" s="27" t="s">
        <v>213</v>
      </c>
      <c r="D99" s="27">
        <f>IF(281.05712="","-",281.05712/3628984.82886*100)</f>
        <v>0.0077447863040058665</v>
      </c>
      <c r="E99" s="27">
        <f>IF(501.0019="","-",501.0019/4359977.4969*100)</f>
        <v>0.011490928573741925</v>
      </c>
      <c r="F99" s="27">
        <f>IF(OR(3634169.64824="",130.23218="",281.05712=""),"-",(281.05712-130.23218)/3634169.64824*100)</f>
        <v>0.004150189853493585</v>
      </c>
      <c r="G99" s="27">
        <f>IF(OR(3628984.82886="",501.0019="",281.05712=""),"-",(501.0019-281.05712)/3628984.82886*100)</f>
        <v>0.006060779815083793</v>
      </c>
    </row>
    <row r="100" spans="1:7" ht="15.75">
      <c r="A100" s="45" t="s">
        <v>164</v>
      </c>
      <c r="B100" s="27">
        <f>IF(491.02211="","-",491.02211)</f>
        <v>491.02211</v>
      </c>
      <c r="C100" s="27">
        <f>IF(OR(1221.58368="",491.02211=""),"-",491.02211/1221.58368*100)</f>
        <v>40.19553617481203</v>
      </c>
      <c r="D100" s="27">
        <f>IF(1221.58368="","-",1221.58368/3628984.82886*100)</f>
        <v>0.03366185689962625</v>
      </c>
      <c r="E100" s="27">
        <f>IF(491.02211="","-",491.02211/4359977.4969*100)</f>
        <v>0.011262033126297625</v>
      </c>
      <c r="F100" s="27">
        <f>IF(OR(3634169.64824="",1456.76112="",1221.58368=""),"-",(1221.58368-1456.76112)/3634169.64824*100)</f>
        <v>-0.006471284028083129</v>
      </c>
      <c r="G100" s="27">
        <f>IF(OR(3628984.82886="",491.02211="",1221.58368=""),"-",(491.02211-1221.58368)/3628984.82886*100)</f>
        <v>-0.020131293032423524</v>
      </c>
    </row>
    <row r="101" spans="1:7" ht="15.75">
      <c r="A101" s="45" t="s">
        <v>192</v>
      </c>
      <c r="B101" s="27">
        <f>IF(300.29264="","-",300.29264)</f>
        <v>300.29264</v>
      </c>
      <c r="C101" s="27" t="s">
        <v>267</v>
      </c>
      <c r="D101" s="27">
        <f>IF(88.73567="","-",88.73567/3628984.82886*100)</f>
        <v>0.002445192641598207</v>
      </c>
      <c r="E101" s="27">
        <f>IF(300.29264="","-",300.29264/4359977.4969*100)</f>
        <v>0.006887481419652096</v>
      </c>
      <c r="F101" s="27">
        <f>IF(OR(3634169.64824="",103.30617="",88.73567=""),"-",(88.73567-103.30617)/3634169.64824*100)</f>
        <v>-0.00040093065019835753</v>
      </c>
      <c r="G101" s="27">
        <f>IF(OR(3628984.82886="",300.29264="",88.73567=""),"-",(300.29264-88.73567)/3628984.82886*100)</f>
        <v>0.0058296460298638934</v>
      </c>
    </row>
    <row r="102" spans="1:7" ht="15.75">
      <c r="A102" s="45" t="s">
        <v>190</v>
      </c>
      <c r="B102" s="27">
        <f>IF(229.76061="","-",229.76061)</f>
        <v>229.76061</v>
      </c>
      <c r="C102" s="27" t="s">
        <v>213</v>
      </c>
      <c r="D102" s="27">
        <f>IF(131.03681="","-",131.03681/3628984.82886*100)</f>
        <v>0.0036108392892114562</v>
      </c>
      <c r="E102" s="27">
        <f>IF(229.76061="","-",229.76061/4359977.4969*100)</f>
        <v>0.005269765960107886</v>
      </c>
      <c r="F102" s="27">
        <f>IF(OR(3634169.64824="",105.82921="",131.03681=""),"-",(131.03681-105.82921)/3634169.64824*100)</f>
        <v>0.0006936274978854617</v>
      </c>
      <c r="G102" s="27">
        <f>IF(OR(3628984.82886="",229.76061="",131.03681=""),"-",(229.76061-131.03681)/3628984.82886*100)</f>
        <v>0.0027204247098220266</v>
      </c>
    </row>
    <row r="103" spans="1:7" ht="15.75">
      <c r="A103" s="45" t="s">
        <v>148</v>
      </c>
      <c r="B103" s="27">
        <f>IF(196.57942="","-",196.57942)</f>
        <v>196.57942</v>
      </c>
      <c r="C103" s="27" t="s">
        <v>235</v>
      </c>
      <c r="D103" s="27">
        <f>IF(67.46066="","-",67.46066/3628984.82886*100)</f>
        <v>0.0018589402596425823</v>
      </c>
      <c r="E103" s="27">
        <f>IF(196.57942="","-",196.57942/4359977.4969*100)</f>
        <v>0.004508725564289506</v>
      </c>
      <c r="F103" s="27">
        <f>IF(OR(3634169.64824="",21.42095="",67.46066=""),"-",(67.46066-21.42095)/3634169.64824*100)</f>
        <v>0.0012668563786585106</v>
      </c>
      <c r="G103" s="27">
        <f>IF(OR(3628984.82886="",196.57942="",67.46066=""),"-",(196.57942-67.46066)/3628984.82886*100)</f>
        <v>0.0035579856651139835</v>
      </c>
    </row>
    <row r="104" spans="1:7" ht="15.75">
      <c r="A104" s="45" t="s">
        <v>229</v>
      </c>
      <c r="B104" s="27">
        <f>IF(163.74649="","-",163.74649)</f>
        <v>163.74649</v>
      </c>
      <c r="C104" s="27">
        <f>IF(OR(182.37373="",163.74649=""),"-",163.74649/182.37373*100)</f>
        <v>89.78622633862892</v>
      </c>
      <c r="D104" s="27">
        <f>IF(182.37373="","-",182.37373/3628984.82886*100)</f>
        <v>0.005025475128737048</v>
      </c>
      <c r="E104" s="27">
        <f>IF(163.74649="","-",163.74649/4359977.4969*100)</f>
        <v>0.0037556728243764072</v>
      </c>
      <c r="F104" s="27">
        <f>IF(OR(3634169.64824="",120.1099="",182.37373=""),"-",(182.37373-120.1099)/3634169.64824*100)</f>
        <v>0.0017132890323420613</v>
      </c>
      <c r="G104" s="27">
        <f>IF(OR(3628984.82886="",163.74649="",182.37373=""),"-",(163.74649-182.37373)/3628984.82886*100)</f>
        <v>-0.0005132906550576987</v>
      </c>
    </row>
    <row r="105" spans="1:7" ht="15.75">
      <c r="A105" s="45" t="s">
        <v>203</v>
      </c>
      <c r="B105" s="27">
        <f>IF(160.47137="","-",160.47137)</f>
        <v>160.47137</v>
      </c>
      <c r="C105" s="27" t="s">
        <v>269</v>
      </c>
      <c r="D105" s="27">
        <f>IF(14.02859="","-",14.02859/3628984.82886*100)</f>
        <v>0.0003865706433500552</v>
      </c>
      <c r="E105" s="27">
        <f>IF(160.47137="","-",160.47137/4359977.4969*100)</f>
        <v>0.0036805550054810426</v>
      </c>
      <c r="F105" s="27">
        <f>IF(OR(3634169.64824="",35.4139="",14.02859=""),"-",(14.02859-35.4139)/3634169.64824*100)</f>
        <v>-0.0005884510650282036</v>
      </c>
      <c r="G105" s="27">
        <f>IF(OR(3628984.82886="",160.47137="",14.02859=""),"-",(160.47137-14.02859)/3628984.82886*100)</f>
        <v>0.004035364899720542</v>
      </c>
    </row>
    <row r="106" spans="1:7" ht="15.75">
      <c r="A106" s="45" t="s">
        <v>239</v>
      </c>
      <c r="B106" s="27">
        <f>IF(102.35422="","-",102.35422)</f>
        <v>102.35422</v>
      </c>
      <c r="C106" s="27" t="s">
        <v>213</v>
      </c>
      <c r="D106" s="27">
        <f>IF(58.16874="","-",58.16874/3628984.82886*100)</f>
        <v>0.0016028928954842994</v>
      </c>
      <c r="E106" s="27">
        <f>IF(102.35422="","-",102.35422/4359977.4969*100)</f>
        <v>0.0023475859697160172</v>
      </c>
      <c r="F106" s="27">
        <f>IF(OR(3634169.64824="",36.63689="",58.16874=""),"-",(58.16874-36.63689)/3634169.64824*100)</f>
        <v>0.0005924833478929006</v>
      </c>
      <c r="G106" s="27">
        <f>IF(OR(3628984.82886="",102.35422="",58.16874=""),"-",(102.35422-58.16874)/3628984.82886*100)</f>
        <v>0.0012175713617926674</v>
      </c>
    </row>
    <row r="107" spans="1:7" ht="15.75">
      <c r="A107" s="45" t="s">
        <v>224</v>
      </c>
      <c r="B107" s="27">
        <f>IF(92.76142="","-",92.76142)</f>
        <v>92.76142</v>
      </c>
      <c r="C107" s="27">
        <f>IF(OR(60.95654="",92.76142=""),"-",92.76142/60.95654*100)</f>
        <v>152.17632103134463</v>
      </c>
      <c r="D107" s="27">
        <f>IF(60.95654="","-",60.95654/3628984.82886*100)</f>
        <v>0.0016797132772568997</v>
      </c>
      <c r="E107" s="27">
        <f>IF(92.76142="","-",92.76142/4359977.4969*100)</f>
        <v>0.002127566485514078</v>
      </c>
      <c r="F107" s="27">
        <f>IF(OR(3634169.64824="",21.92782="",60.95654=""),"-",(60.95654-21.92782)/3634169.64824*100)</f>
        <v>0.0010739377568381074</v>
      </c>
      <c r="G107" s="27">
        <f>IF(OR(3628984.82886="",92.76142="",60.95654=""),"-",(92.76142-60.95654)/3628984.82886*100)</f>
        <v>0.00087641259194768</v>
      </c>
    </row>
    <row r="108" spans="1:7" ht="15.75">
      <c r="A108" s="45" t="s">
        <v>240</v>
      </c>
      <c r="B108" s="27">
        <f>IF(88.21212="","-",88.21212)</f>
        <v>88.21212</v>
      </c>
      <c r="C108" s="27">
        <f>IF(OR(88.93235="",88.21212=""),"-",88.21212/88.93235*100)</f>
        <v>99.19013722228188</v>
      </c>
      <c r="D108" s="27">
        <f>IF(88.93235="","-",88.93235/3628984.82886*100)</f>
        <v>0.002450612339096964</v>
      </c>
      <c r="E108" s="27">
        <f>IF(88.21212="","-",88.21212/4359977.4969*100)</f>
        <v>0.0020232242038570143</v>
      </c>
      <c r="F108" s="27">
        <f>IF(OR(3634169.64824="",97.93805="",88.93235=""),"-",(88.93235-97.93805)/3634169.64824*100)</f>
        <v>-0.00024780626309950593</v>
      </c>
      <c r="G108" s="27">
        <f>IF(OR(3628984.82886="",88.21212="",88.93235=""),"-",(88.21212-88.93235)/3628984.82886*100)</f>
        <v>-1.9846597160513678E-05</v>
      </c>
    </row>
    <row r="109" spans="1:7" ht="15.75">
      <c r="A109" s="45" t="s">
        <v>251</v>
      </c>
      <c r="B109" s="27">
        <f>IF(79.5328="","-",79.5328)</f>
        <v>79.5328</v>
      </c>
      <c r="C109" s="27">
        <f>IF(OR(67.46247="",79.5328=""),"-",79.5328/67.46247*100)</f>
        <v>117.89191827693234</v>
      </c>
      <c r="D109" s="27">
        <f>IF(67.46247="","-",67.46247/3628984.82886*100)</f>
        <v>0.0018589901358499886</v>
      </c>
      <c r="E109" s="27">
        <f>IF(79.5328="","-",79.5328/4359977.4969*100)</f>
        <v>0.0018241562039379524</v>
      </c>
      <c r="F109" s="27">
        <f>IF(OR(3634169.64824="",22.99212="",67.46247=""),"-",(67.46247-22.99212)/3634169.64824*100)</f>
        <v>0.001223672924062217</v>
      </c>
      <c r="G109" s="27">
        <f>IF(OR(3628984.82886="",79.5328="",67.46247=""),"-",(79.5328-67.46247)/3628984.82886*100)</f>
        <v>0.0003326089958825135</v>
      </c>
    </row>
    <row r="110" spans="1:7" ht="15.75">
      <c r="A110" s="45" t="s">
        <v>236</v>
      </c>
      <c r="B110" s="27">
        <f>IF(72.15776="","-",72.15776)</f>
        <v>72.15776</v>
      </c>
      <c r="C110" s="27">
        <f>IF(OR(70.45293="",72.15776=""),"-",72.15776/70.45293*100)</f>
        <v>102.41981419367512</v>
      </c>
      <c r="D110" s="27">
        <f>IF(70.45293="","-",70.45293/3628984.82886*100)</f>
        <v>0.0019413949994971983</v>
      </c>
      <c r="E110" s="27">
        <f>IF(72.15776="","-",72.15776/4359977.4969*100)</f>
        <v>0.0016550030373162496</v>
      </c>
      <c r="F110" s="27">
        <f>IF(OR(3634169.64824="",63.04376="",70.45293=""),"-",(70.45293-63.04376)/3634169.64824*100)</f>
        <v>0.00020387518242545995</v>
      </c>
      <c r="G110" s="27">
        <f>IF(OR(3628984.82886="",72.15776="",70.45293=""),"-",(72.15776-70.45293)/3628984.82886*100)</f>
        <v>4.6978151753132355E-05</v>
      </c>
    </row>
    <row r="111" spans="1:7" ht="15.75">
      <c r="A111" s="45" t="s">
        <v>225</v>
      </c>
      <c r="B111" s="27">
        <f>IF(71.08758="","-",71.08758)</f>
        <v>71.08758</v>
      </c>
      <c r="C111" s="27">
        <f>IF(OR(242.51193="",71.08758=""),"-",71.08758/242.51193*100)</f>
        <v>29.313023899484037</v>
      </c>
      <c r="D111" s="27">
        <f>IF(242.51193="","-",242.51193/3628984.82886*100)</f>
        <v>0.006682638297944665</v>
      </c>
      <c r="E111" s="27">
        <f>IF(71.08758="","-",71.08758/4359977.4969*100)</f>
        <v>0.001630457497786266</v>
      </c>
      <c r="F111" s="27">
        <f>IF(OR(3634169.64824="",273.07728="",242.51193=""),"-",(242.51193-273.07728)/3634169.64824*100)</f>
        <v>-0.0008410545725294505</v>
      </c>
      <c r="G111" s="27">
        <f>IF(OR(3628984.82886="",71.08758="",242.51193=""),"-",(71.08758-242.51193)/3628984.82886*100)</f>
        <v>-0.004723754936552072</v>
      </c>
    </row>
    <row r="112" spans="1:7" ht="15.75">
      <c r="A112" s="45" t="s">
        <v>244</v>
      </c>
      <c r="B112" s="27">
        <f>IF(64.49442="","-",64.49442)</f>
        <v>64.49442</v>
      </c>
      <c r="C112" s="27">
        <f>IF(OR(68.76909="",64.49442=""),"-",64.49442/68.76909*100)</f>
        <v>93.78402418877435</v>
      </c>
      <c r="D112" s="27">
        <f>IF(68.76909="","-",68.76909/3628984.82886*100)</f>
        <v>0.00189499524641449</v>
      </c>
      <c r="E112" s="27">
        <f>IF(64.49442="","-",64.49442/4359977.4969*100)</f>
        <v>0.0014792374512450207</v>
      </c>
      <c r="F112" s="27">
        <f>IF(OR(3634169.64824="",71.57601="",68.76909=""),"-",(68.76909-71.57601)/3634169.64824*100)</f>
        <v>-7.72369006317402E-05</v>
      </c>
      <c r="G112" s="27">
        <f>IF(OR(3628984.82886="",64.49442="",68.76909=""),"-",(64.49442-68.76909)/3628984.82886*100)</f>
        <v>-0.00011779244614100066</v>
      </c>
    </row>
    <row r="113" spans="1:7" ht="15.75">
      <c r="A113" s="45" t="s">
        <v>245</v>
      </c>
      <c r="B113" s="27">
        <f>IF(60.02941="","-",60.02941)</f>
        <v>60.02941</v>
      </c>
      <c r="C113" s="27">
        <f>IF(OR(56.60278="",60.02941=""),"-",60.02941/56.60278*100)</f>
        <v>106.0538192647075</v>
      </c>
      <c r="D113" s="27">
        <f>IF(56.60278="","-",56.60278/3628984.82886*100)</f>
        <v>0.0015597414337436364</v>
      </c>
      <c r="E113" s="27">
        <f>IF(60.02941="","-",60.02941/4359977.4969*100)</f>
        <v>0.0013768284364467863</v>
      </c>
      <c r="F113" s="27">
        <f>IF(OR(3634169.64824="",31.04983="",56.60278=""),"-",(56.60278-31.04983)/3634169.64824*100)</f>
        <v>0.0007031303564041128</v>
      </c>
      <c r="G113" s="27">
        <f>IF(OR(3628984.82886="",60.02941="",56.60278=""),"-",(60.02941-56.60278)/3628984.82886*100)</f>
        <v>9.442392739559699E-05</v>
      </c>
    </row>
    <row r="114" spans="1:7" ht="15.75">
      <c r="A114" s="45" t="s">
        <v>268</v>
      </c>
      <c r="B114" s="27">
        <f>IF(55.58966="","-",55.58966)</f>
        <v>55.58966</v>
      </c>
      <c r="C114" s="27" t="s">
        <v>270</v>
      </c>
      <c r="D114" s="27">
        <f>IF(6.92736="","-",6.92736/3628984.82886*100)</f>
        <v>0.00019088974814414266</v>
      </c>
      <c r="E114" s="27">
        <f>IF(55.58966="","-",55.58966/4359977.4969*100)</f>
        <v>0.00127499878243695</v>
      </c>
      <c r="F114" s="27">
        <f>IF(OR(3634169.64824="",168.04383="",6.92736=""),"-",(6.92736-168.04383)/3634169.64824*100)</f>
        <v>-0.004433377789009587</v>
      </c>
      <c r="G114" s="27">
        <f>IF(OR(3628984.82886="",55.58966="",6.92736=""),"-",(55.58966-6.92736)/3628984.82886*100)</f>
        <v>0.001340934236291273</v>
      </c>
    </row>
    <row r="115" spans="1:7" ht="15.75">
      <c r="A115" s="45" t="s">
        <v>226</v>
      </c>
      <c r="B115" s="27">
        <f>IF(54.8964="","-",54.8964)</f>
        <v>54.8964</v>
      </c>
      <c r="C115" s="27" t="s">
        <v>252</v>
      </c>
      <c r="D115" s="27">
        <f>IF(0.03228="","-",0.03228/3628984.82886*100)</f>
        <v>8.895049586123611E-07</v>
      </c>
      <c r="E115" s="27">
        <f>IF(54.8964="","-",54.8964/4359977.4969*100)</f>
        <v>0.0012590982416545052</v>
      </c>
      <c r="F115" s="27" t="str">
        <f>IF(OR(3634169.64824="",""="",0.03228=""),"-",(0.03228-"")/3634169.64824*100)</f>
        <v>-</v>
      </c>
      <c r="G115" s="27">
        <f>IF(OR(3628984.82886="",54.8964="",0.03228=""),"-",(54.8964-0.03228)/3628984.82886*100)</f>
        <v>0.0015118310653625651</v>
      </c>
    </row>
    <row r="116" spans="1:7" ht="15.75">
      <c r="A116" s="45" t="s">
        <v>250</v>
      </c>
      <c r="B116" s="27">
        <f>IF(50.9012="","-",50.9012)</f>
        <v>50.9012</v>
      </c>
      <c r="C116" s="27">
        <f>IF(OR(52.10376="",50.9012=""),"-",50.9012/52.10376*100)</f>
        <v>97.69198998306456</v>
      </c>
      <c r="D116" s="27">
        <f>IF(52.10376="","-",52.10376/3628984.82886*100)</f>
        <v>0.0014357668179166168</v>
      </c>
      <c r="E116" s="27">
        <f>IF(50.9012="","-",50.9012/4359977.4969*100)</f>
        <v>0.0011674647411871143</v>
      </c>
      <c r="F116" s="27">
        <f>IF(OR(3634169.64824="",27.30548="",52.10376=""),"-",(52.10376-27.30548)/3634169.64824*100)</f>
        <v>0.0006823644023335458</v>
      </c>
      <c r="G116" s="27">
        <f>IF(OR(3628984.82886="",50.9012="",52.10376=""),"-",(50.9012-52.10376)/3628984.82886*100)</f>
        <v>-3.313764197735066E-05</v>
      </c>
    </row>
    <row r="117" spans="1:7" ht="15.75">
      <c r="A117" s="49" t="s">
        <v>27</v>
      </c>
      <c r="B117" s="49"/>
      <c r="C117" s="49"/>
      <c r="D117" s="49"/>
      <c r="E117" s="49"/>
      <c r="F117" s="49"/>
      <c r="G117" s="49"/>
    </row>
  </sheetData>
  <sheetProtection/>
  <mergeCells count="10">
    <mergeCell ref="A117:G117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3.375" style="0" customWidth="1"/>
    <col min="2" max="3" width="12.625" style="0" customWidth="1"/>
    <col min="4" max="4" width="19.375" style="0" customWidth="1"/>
  </cols>
  <sheetData>
    <row r="1" spans="1:4" ht="15.75">
      <c r="A1" s="63" t="s">
        <v>34</v>
      </c>
      <c r="B1" s="63"/>
      <c r="C1" s="63"/>
      <c r="D1" s="63"/>
    </row>
    <row r="2" ht="15.75">
      <c r="A2" s="4"/>
    </row>
    <row r="3" spans="1:5" ht="26.25" customHeight="1">
      <c r="A3" s="73"/>
      <c r="B3" s="77" t="s">
        <v>257</v>
      </c>
      <c r="C3" s="68"/>
      <c r="D3" s="69" t="s">
        <v>258</v>
      </c>
      <c r="E3" s="1"/>
    </row>
    <row r="4" spans="1:5" ht="26.25" customHeight="1">
      <c r="A4" s="74"/>
      <c r="B4" s="20">
        <v>2016</v>
      </c>
      <c r="C4" s="19">
        <v>2017</v>
      </c>
      <c r="D4" s="78"/>
      <c r="E4" s="1"/>
    </row>
    <row r="5" spans="1:4" ht="17.25" customHeight="1">
      <c r="A5" s="7" t="s">
        <v>199</v>
      </c>
      <c r="B5" s="34">
        <f>IF(-1777856.05748="","-",-1777856.05748)</f>
        <v>-1777856.05748</v>
      </c>
      <c r="C5" s="34">
        <f>IF(-2167907.8475="","-",-2167907.8475)</f>
        <v>-2167907.8475</v>
      </c>
      <c r="D5" s="34">
        <f>IF(-1777856.05748="","-",-2167849.12352/-1777856.05748*100)</f>
        <v>121.93614406516076</v>
      </c>
    </row>
    <row r="6" spans="1:4" ht="15.75">
      <c r="A6" s="8" t="s">
        <v>32</v>
      </c>
      <c r="B6" s="39"/>
      <c r="C6" s="38"/>
      <c r="D6" s="46"/>
    </row>
    <row r="7" spans="1:4" ht="15.75">
      <c r="A7" s="41" t="s">
        <v>4</v>
      </c>
      <c r="B7" s="26">
        <f>IF(-595498.99576="","-",-595498.99576)</f>
        <v>-595498.99576</v>
      </c>
      <c r="C7" s="26">
        <f>IF(-730043.88622="","-",-730043.88622)</f>
        <v>-730043.88622</v>
      </c>
      <c r="D7" s="26">
        <f>IF(-595498.99576="","-",-730043.88622/-595498.99576*100)</f>
        <v>122.5936385145853</v>
      </c>
    </row>
    <row r="8" spans="1:4" ht="15.75">
      <c r="A8" s="45" t="s">
        <v>7</v>
      </c>
      <c r="B8" s="27">
        <f>IF(-172709.33905="","-",-172709.33905)</f>
        <v>-172709.33905</v>
      </c>
      <c r="C8" s="27">
        <f>IF(-204835.97919="","-",-204835.97919)</f>
        <v>-204835.97919</v>
      </c>
      <c r="D8" s="27">
        <f>IF(OR(-172709.33905="",-204835.97919="",-172709.33905=0),"-",-204835.97919/-172709.33905*100)</f>
        <v>118.60156510164121</v>
      </c>
    </row>
    <row r="9" spans="1:4" ht="15.75">
      <c r="A9" s="45" t="s">
        <v>6</v>
      </c>
      <c r="B9" s="27">
        <f>IF(-77832.66369="","-",-77832.66369)</f>
        <v>-77832.66369</v>
      </c>
      <c r="C9" s="27">
        <f>IF(-89641.70329="","-",-89641.70329)</f>
        <v>-89641.70329</v>
      </c>
      <c r="D9" s="27">
        <f>IF(OR(-77832.66369="",-89641.70329="",-77832.66369=0),"-",-89641.70329/-77832.66369*100)</f>
        <v>115.17234415493509</v>
      </c>
    </row>
    <row r="10" spans="1:4" ht="15.75">
      <c r="A10" s="45" t="s">
        <v>5</v>
      </c>
      <c r="B10" s="27">
        <f>IF(-38677.31602="","-",-38677.31602)</f>
        <v>-38677.31602</v>
      </c>
      <c r="C10" s="27">
        <f>IF(-85869.76969="","-",-85869.76969)</f>
        <v>-85869.76969</v>
      </c>
      <c r="D10" s="27" t="s">
        <v>193</v>
      </c>
    </row>
    <row r="11" spans="1:4" ht="15.75">
      <c r="A11" s="45" t="s">
        <v>125</v>
      </c>
      <c r="B11" s="27">
        <f>IF(-65079.94844="","-",-65079.94844)</f>
        <v>-65079.94844</v>
      </c>
      <c r="C11" s="27">
        <f>IF(-82309.97722="","-",-82309.97722)</f>
        <v>-82309.97722</v>
      </c>
      <c r="D11" s="27">
        <f>IF(OR(-65079.94844="",-82309.97722="",-65079.94844=0),"-",-82309.97722/-65079.94844*100)</f>
        <v>126.47517275752777</v>
      </c>
    </row>
    <row r="12" spans="1:4" ht="15.75">
      <c r="A12" s="45" t="s">
        <v>200</v>
      </c>
      <c r="B12" s="27">
        <f>IF(-44315.8221="","-",-44315.8221)</f>
        <v>-44315.8221</v>
      </c>
      <c r="C12" s="27">
        <f>IF(-60351.0106099999="","-",-60351.0106099999)</f>
        <v>-60351.0106099999</v>
      </c>
      <c r="D12" s="27">
        <f>IF(OR(-44315.8221="",-60351.0106099999="",-44315.8221=0),"-",-60351.0106099999/-44315.8221*100)</f>
        <v>136.18389042589806</v>
      </c>
    </row>
    <row r="13" spans="1:4" ht="15.75">
      <c r="A13" s="45" t="s">
        <v>8</v>
      </c>
      <c r="B13" s="27">
        <f>IF(-51348.63366="","-",-51348.63366)</f>
        <v>-51348.63366</v>
      </c>
      <c r="C13" s="27">
        <f>IF(-54905.1312="","-",-54905.1312)</f>
        <v>-54905.1312</v>
      </c>
      <c r="D13" s="27">
        <f>IF(OR(-51348.63366="",-54905.1312="",-51348.63366=0),"-",-54905.1312/-51348.63366*100)</f>
        <v>106.9261775562501</v>
      </c>
    </row>
    <row r="14" spans="1:4" ht="15.75">
      <c r="A14" s="45" t="s">
        <v>11</v>
      </c>
      <c r="B14" s="27">
        <f>IF(-44478.03764="","-",-44478.03764)</f>
        <v>-44478.03764</v>
      </c>
      <c r="C14" s="27">
        <f>IF(-35601.28623="","-",-35601.28623)</f>
        <v>-35601.28623</v>
      </c>
      <c r="D14" s="27">
        <f>IF(OR(-44478.03764="",-35601.28623="",-44478.03764=0),"-",-35601.28623/-44478.03764*100)</f>
        <v>80.04239422195874</v>
      </c>
    </row>
    <row r="15" spans="1:4" ht="15.75">
      <c r="A15" s="45" t="s">
        <v>10</v>
      </c>
      <c r="B15" s="27">
        <f>IF(-22166.79623="","-",-22166.79623)</f>
        <v>-22166.79623</v>
      </c>
      <c r="C15" s="27">
        <f>IF(-33288.33973="","-",-33288.33973)</f>
        <v>-33288.33973</v>
      </c>
      <c r="D15" s="27">
        <f>IF(OR(-22166.79623="",-33288.33973="",-22166.79623=0),"-",-33288.33973/-22166.79623*100)</f>
        <v>150.17208343778782</v>
      </c>
    </row>
    <row r="16" spans="1:4" ht="15.75">
      <c r="A16" s="45" t="s">
        <v>123</v>
      </c>
      <c r="B16" s="27">
        <f>IF(-31635.36127="","-",-31635.36127)</f>
        <v>-31635.36127</v>
      </c>
      <c r="C16" s="27">
        <f>IF(-32858.59864="","-",-32858.59864)</f>
        <v>-32858.59864</v>
      </c>
      <c r="D16" s="27">
        <f>IF(OR(-31635.36127="",-32858.59864="",-31635.36127=0),"-",-32858.59864/-31635.36127*100)</f>
        <v>103.86667741695746</v>
      </c>
    </row>
    <row r="17" spans="1:4" ht="15.75">
      <c r="A17" s="45" t="s">
        <v>124</v>
      </c>
      <c r="B17" s="27">
        <f>IF(-19271.64379="","-",-19271.64379)</f>
        <v>-19271.64379</v>
      </c>
      <c r="C17" s="27">
        <f>IF(-23932.94419="","-",-23932.94419)</f>
        <v>-23932.94419</v>
      </c>
      <c r="D17" s="27">
        <f>IF(OR(-19271.64379="",-23932.94419="",-19271.64379=0),"-",-23932.94419/-19271.64379*100)</f>
        <v>124.18735241681217</v>
      </c>
    </row>
    <row r="18" spans="1:4" ht="15.75">
      <c r="A18" s="45" t="s">
        <v>13</v>
      </c>
      <c r="B18" s="27">
        <f>IF(-14664.93401="","-",-14664.93401)</f>
        <v>-14664.93401</v>
      </c>
      <c r="C18" s="27">
        <f>IF(-19961.71764="","-",-19961.71764)</f>
        <v>-19961.71764</v>
      </c>
      <c r="D18" s="27">
        <f>IF(OR(-14664.93401="",-19961.71764="",-14664.93401=0),"-",-19961.71764/-14664.93401*100)</f>
        <v>136.11870074824836</v>
      </c>
    </row>
    <row r="19" spans="1:4" ht="15.75">
      <c r="A19" s="45" t="s">
        <v>133</v>
      </c>
      <c r="B19" s="27">
        <f>IF(-15368.39434="","-",-15368.39434)</f>
        <v>-15368.39434</v>
      </c>
      <c r="C19" s="27">
        <f>IF(-16515.81344="","-",-16515.81344)</f>
        <v>-16515.81344</v>
      </c>
      <c r="D19" s="27">
        <f>IF(OR(-15368.39434="",-16515.81344="",-15368.39434=0),"-",-16515.81344/-15368.39434*100)</f>
        <v>107.46609616213168</v>
      </c>
    </row>
    <row r="20" spans="1:4" ht="15.75">
      <c r="A20" s="45" t="s">
        <v>135</v>
      </c>
      <c r="B20" s="27">
        <f>IF(-13756.38162="","-",-13756.38162)</f>
        <v>-13756.38162</v>
      </c>
      <c r="C20" s="27">
        <f>IF(-15063.05797="","-",-15063.05797)</f>
        <v>-15063.05797</v>
      </c>
      <c r="D20" s="27">
        <f>IF(OR(-13756.38162="",-15063.05797="",-13756.38162=0),"-",-15063.05797/-13756.38162*100)</f>
        <v>109.49869221496633</v>
      </c>
    </row>
    <row r="21" spans="1:4" ht="15.75">
      <c r="A21" s="45" t="s">
        <v>132</v>
      </c>
      <c r="B21" s="27">
        <f>IF(-10244.72158="","-",-10244.72158)</f>
        <v>-10244.72158</v>
      </c>
      <c r="C21" s="27">
        <f>IF(-12225.39163="","-",-12225.39163)</f>
        <v>-12225.39163</v>
      </c>
      <c r="D21" s="27">
        <f>IF(OR(-10244.72158="",-12225.39163="",-10244.72158=0),"-",-12225.39163/-10244.72158*100)</f>
        <v>119.33356640815612</v>
      </c>
    </row>
    <row r="22" spans="1:6" ht="15.75">
      <c r="A22" s="45" t="s">
        <v>131</v>
      </c>
      <c r="B22" s="27">
        <f>IF(-9780.92559="","-",-9780.92559)</f>
        <v>-9780.92559</v>
      </c>
      <c r="C22" s="27">
        <f>IF(-11807.85672="","-",-11807.85672)</f>
        <v>-11807.85672</v>
      </c>
      <c r="D22" s="27">
        <f>IF(OR(-9780.92559="",-11807.85672="",-9780.92559=0),"-",-11807.85672/-9780.92559*100)</f>
        <v>120.72330590135896</v>
      </c>
      <c r="F22" t="s">
        <v>227</v>
      </c>
    </row>
    <row r="23" spans="1:4" ht="15.75">
      <c r="A23" s="45" t="s">
        <v>127</v>
      </c>
      <c r="B23" s="27">
        <f>IF(-9838.46127="","-",-9838.46127)</f>
        <v>-9838.46127</v>
      </c>
      <c r="C23" s="27">
        <f>IF(-11780.5124="","-",-11780.5124)</f>
        <v>-11780.5124</v>
      </c>
      <c r="D23" s="27">
        <f>IF(OR(-9838.46127="",-11780.5124="",-9838.46127=0),"-",-11780.5124/-9838.46127*100)</f>
        <v>119.73937871689158</v>
      </c>
    </row>
    <row r="24" spans="1:4" ht="15.75">
      <c r="A24" s="45" t="s">
        <v>134</v>
      </c>
      <c r="B24" s="27">
        <f>IF(-10947.51131="","-",-10947.51131)</f>
        <v>-10947.51131</v>
      </c>
      <c r="C24" s="27">
        <f>IF(-11617.81579="","-",-11617.81579)</f>
        <v>-11617.81579</v>
      </c>
      <c r="D24" s="27">
        <f>IF(OR(-10947.51131="",-11617.81579="",-10947.51131=0),"-",-11617.81579/-10947.51131*100)</f>
        <v>106.12289369719774</v>
      </c>
    </row>
    <row r="25" spans="1:4" ht="15.75">
      <c r="A25" s="45" t="s">
        <v>136</v>
      </c>
      <c r="B25" s="27">
        <f>IF(-5166.30916="","-",-5166.30916)</f>
        <v>-5166.30916</v>
      </c>
      <c r="C25" s="27">
        <f>IF(-5417.99557="","-",-5417.99557)</f>
        <v>-5417.99557</v>
      </c>
      <c r="D25" s="27">
        <f>IF(OR(-5166.30916="",-5417.99557="",-5166.30916=0),"-",-5417.99557/-5166.30916*100)</f>
        <v>104.87168696656164</v>
      </c>
    </row>
    <row r="26" spans="1:4" ht="15.75">
      <c r="A26" s="45" t="s">
        <v>128</v>
      </c>
      <c r="B26" s="27">
        <f>IF(-3189.84215="","-",-3189.84215)</f>
        <v>-3189.84215</v>
      </c>
      <c r="C26" s="27">
        <f>IF(-2355.21088="","-",-2355.21088)</f>
        <v>-2355.21088</v>
      </c>
      <c r="D26" s="27">
        <f>IF(OR(-3189.84215="",-2355.21088="",-3189.84215=0),"-",-2355.21088/-3189.84215*100)</f>
        <v>73.8347156143761</v>
      </c>
    </row>
    <row r="27" spans="1:4" ht="15.75">
      <c r="A27" s="45" t="s">
        <v>126</v>
      </c>
      <c r="B27" s="27">
        <f>IF(-6101.79842="","-",-6101.79842)</f>
        <v>-6101.79842</v>
      </c>
      <c r="C27" s="27">
        <f>IF(-2181.10132="","-",-2181.10132)</f>
        <v>-2181.10132</v>
      </c>
      <c r="D27" s="27">
        <f>IF(OR(-6101.79842="",-2181.10132="",-6101.79842=0),"-",-2181.10132/-6101.79842*100)</f>
        <v>35.74522083277868</v>
      </c>
    </row>
    <row r="28" spans="1:4" ht="15.75">
      <c r="A28" s="45" t="s">
        <v>137</v>
      </c>
      <c r="B28" s="27">
        <f>IF(-2131.83953="","-",-2131.83953)</f>
        <v>-2131.83953</v>
      </c>
      <c r="C28" s="27">
        <f>IF(-2100.42262="","-",-2100.42262)</f>
        <v>-2100.42262</v>
      </c>
      <c r="D28" s="27">
        <f>IF(OR(-2131.83953="",-2100.42262="",-2131.83953=0),"-",-2100.42262/-2131.83953*100)</f>
        <v>98.5263004293761</v>
      </c>
    </row>
    <row r="29" spans="1:4" ht="15.75">
      <c r="A29" s="45" t="s">
        <v>129</v>
      </c>
      <c r="B29" s="27">
        <f>IF(-722.08256="","-",-722.08256)</f>
        <v>-722.08256</v>
      </c>
      <c r="C29" s="27">
        <f>IF(-1441.78="","-",-1441.78)</f>
        <v>-1441.78</v>
      </c>
      <c r="D29" s="27" t="s">
        <v>26</v>
      </c>
    </row>
    <row r="30" spans="1:4" ht="15.75">
      <c r="A30" s="45" t="s">
        <v>201</v>
      </c>
      <c r="B30" s="27">
        <f>IF(-1609.90599="","-",-1609.90599)</f>
        <v>-1609.90599</v>
      </c>
      <c r="C30" s="27">
        <f>IF(-1146.25655="","-",-1146.25655)</f>
        <v>-1146.25655</v>
      </c>
      <c r="D30" s="27">
        <f>IF(OR(-1609.90599="",-1146.25655="",-1609.90599=0),"-",-1146.25655/-1609.90599*100)</f>
        <v>71.20021647972128</v>
      </c>
    </row>
    <row r="31" spans="1:4" ht="15.75">
      <c r="A31" s="45" t="s">
        <v>138</v>
      </c>
      <c r="B31" s="27">
        <f>IF(-216.7946="","-",-216.7946)</f>
        <v>-216.7946</v>
      </c>
      <c r="C31" s="27">
        <f>IF(-223.50429="","-",-223.50429)</f>
        <v>-223.50429</v>
      </c>
      <c r="D31" s="27">
        <f>IF(OR(-216.7946="",-223.50429="",-216.7946=0),"-",-223.50429/-216.7946*100)</f>
        <v>103.09495254955611</v>
      </c>
    </row>
    <row r="32" spans="1:4" ht="15.75">
      <c r="A32" s="45" t="s">
        <v>9</v>
      </c>
      <c r="B32" s="27">
        <f>IF(15007.75681="","-",15007.75681)</f>
        <v>15007.75681</v>
      </c>
      <c r="C32" s="27">
        <f>IF(4118.88228="","-",4118.88228)</f>
        <v>4118.88228</v>
      </c>
      <c r="D32" s="27">
        <f>IF(OR(15007.75681="",4118.88228="",15007.75681=0),"-",4118.88228/15007.75681*100)</f>
        <v>27.44502281150703</v>
      </c>
    </row>
    <row r="33" spans="1:4" ht="15.75">
      <c r="A33" s="45" t="s">
        <v>12</v>
      </c>
      <c r="B33" s="27">
        <f>IF(8018.35527="","-",8018.35527)</f>
        <v>8018.35527</v>
      </c>
      <c r="C33" s="27">
        <f>IF(5100.06946="","-",5100.06946)</f>
        <v>5100.06946</v>
      </c>
      <c r="D33" s="27">
        <f>IF(OR(8018.35527="",5100.06946="",8018.35527=0),"-",5100.06946/8018.35527*100)</f>
        <v>63.60493253624567</v>
      </c>
    </row>
    <row r="34" spans="1:4" ht="15.75">
      <c r="A34" s="45" t="s">
        <v>130</v>
      </c>
      <c r="B34" s="27">
        <f>IF(2236.25617="","-",2236.25617)</f>
        <v>2236.25617</v>
      </c>
      <c r="C34" s="27">
        <f>IF(6879.15353="","-",6879.15353)</f>
        <v>6879.15353</v>
      </c>
      <c r="D34" s="27" t="s">
        <v>208</v>
      </c>
    </row>
    <row r="35" spans="1:4" ht="15.75">
      <c r="A35" s="45" t="s">
        <v>209</v>
      </c>
      <c r="B35" s="27">
        <f>IF(50494.10001="","-",50494.10001)</f>
        <v>50494.10001</v>
      </c>
      <c r="C35" s="27">
        <f>IF(71291.18532="","-",71291.18532)</f>
        <v>71291.18532</v>
      </c>
      <c r="D35" s="27">
        <f>IF(OR(50494.10001="",71291.18532="",50494.10001=0),"-",71291.18532/50494.10001*100)</f>
        <v>141.18715910548218</v>
      </c>
    </row>
    <row r="36" spans="1:4" ht="15.75">
      <c r="A36" s="41" t="s">
        <v>14</v>
      </c>
      <c r="B36" s="26">
        <f>IF(-539716.48389="","-",-539716.48389)</f>
        <v>-539716.48389</v>
      </c>
      <c r="C36" s="26">
        <f>IF(-653865.17337="","-",-653865.17337)</f>
        <v>-653865.17337</v>
      </c>
      <c r="D36" s="26">
        <f>IF(-539716.48389="","-",-653865.17337/-539716.48389*100)</f>
        <v>121.14975044995377</v>
      </c>
    </row>
    <row r="37" spans="1:4" ht="15.75">
      <c r="A37" s="45" t="s">
        <v>16</v>
      </c>
      <c r="B37" s="27">
        <f>IF(-302745.60494="","-",-302745.60494)</f>
        <v>-302745.60494</v>
      </c>
      <c r="C37" s="27">
        <f>IF(-403894.09821="","-",-403894.09821)</f>
        <v>-403894.09821</v>
      </c>
      <c r="D37" s="27">
        <f>IF(OR(-302745.60494="",-403894.09821="",-302745.60494=0),"-",-403894.09821/-302745.60494*100)</f>
        <v>133.4103919659036</v>
      </c>
    </row>
    <row r="38" spans="1:4" ht="15.75">
      <c r="A38" s="45" t="s">
        <v>210</v>
      </c>
      <c r="B38" s="27">
        <f>IF(-256312.58107="","-",-256312.58107)</f>
        <v>-256312.58107</v>
      </c>
      <c r="C38" s="27">
        <f>IF(-265960.27941="","-",-265960.27941)</f>
        <v>-265960.27941</v>
      </c>
      <c r="D38" s="27">
        <f>IF(OR(-256312.58107="",-265960.27941="",-256312.58107=0),"-",-265960.27941/-256312.58107*100)</f>
        <v>103.76403620131514</v>
      </c>
    </row>
    <row r="39" spans="1:4" ht="15.75">
      <c r="A39" s="45" t="s">
        <v>15</v>
      </c>
      <c r="B39" s="27">
        <f>IF(924.45408="","-",924.45408)</f>
        <v>924.45408</v>
      </c>
      <c r="C39" s="27">
        <f>IF(-4982.47441="","-",-4982.47441)</f>
        <v>-4982.47441</v>
      </c>
      <c r="D39" s="27" t="s">
        <v>33</v>
      </c>
    </row>
    <row r="40" spans="1:4" ht="15.75">
      <c r="A40" s="45" t="s">
        <v>19</v>
      </c>
      <c r="B40" s="27">
        <f>IF(2072.053="","-",2072.053)</f>
        <v>2072.053</v>
      </c>
      <c r="C40" s="27">
        <f>IF(-156.68537="","-",-156.68537)</f>
        <v>-156.68537</v>
      </c>
      <c r="D40" s="27" t="s">
        <v>33</v>
      </c>
    </row>
    <row r="41" spans="1:4" ht="15.75">
      <c r="A41" s="45" t="s">
        <v>23</v>
      </c>
      <c r="B41" s="27">
        <f>IF(478.1812="","-",478.1812)</f>
        <v>478.1812</v>
      </c>
      <c r="C41" s="27">
        <f>IF(369.90953="","-",369.90953)</f>
        <v>369.90953</v>
      </c>
      <c r="D41" s="27">
        <f>IF(OR(478.1812="",369.90953="",478.1812=0),"-",369.90953/478.1812*100)</f>
        <v>77.35760627979519</v>
      </c>
    </row>
    <row r="42" spans="1:4" ht="15.75">
      <c r="A42" s="45" t="s">
        <v>22</v>
      </c>
      <c r="B42" s="27">
        <f>IF(585.32975="","-",585.32975)</f>
        <v>585.32975</v>
      </c>
      <c r="C42" s="27">
        <f>IF(495.4503="","-",495.4503)</f>
        <v>495.4503</v>
      </c>
      <c r="D42" s="27">
        <f>IF(OR(585.32975="",495.4503="",585.32975=0),"-",495.4503/585.32975*100)</f>
        <v>84.64464688493965</v>
      </c>
    </row>
    <row r="43" spans="1:4" ht="15.75">
      <c r="A43" s="45" t="s">
        <v>21</v>
      </c>
      <c r="B43" s="27">
        <f>IF(893.52344="","-",893.52344)</f>
        <v>893.52344</v>
      </c>
      <c r="C43" s="27">
        <f>IF(607.17192="","-",607.17192)</f>
        <v>607.17192</v>
      </c>
      <c r="D43" s="27">
        <f>IF(OR(893.52344="",607.17192="",893.52344=0),"-",607.17192/893.52344*100)</f>
        <v>67.95254526283048</v>
      </c>
    </row>
    <row r="44" spans="1:4" ht="15.75">
      <c r="A44" s="45" t="s">
        <v>20</v>
      </c>
      <c r="B44" s="27">
        <f>IF(1495.47559="","-",1495.47559)</f>
        <v>1495.47559</v>
      </c>
      <c r="C44" s="27">
        <f>IF(917.69584="","-",917.69584)</f>
        <v>917.69584</v>
      </c>
      <c r="D44" s="27">
        <f>IF(OR(1495.47559="",917.69584="",1495.47559=0),"-",917.69584/1495.47559*100)</f>
        <v>61.3648157239397</v>
      </c>
    </row>
    <row r="45" spans="1:4" ht="15.75">
      <c r="A45" s="45" t="s">
        <v>18</v>
      </c>
      <c r="B45" s="27">
        <f>IF(3339.91171="","-",3339.91171)</f>
        <v>3339.91171</v>
      </c>
      <c r="C45" s="27">
        <f>IF(5278.71819="","-",5278.71819)</f>
        <v>5278.71819</v>
      </c>
      <c r="D45" s="27" t="s">
        <v>215</v>
      </c>
    </row>
    <row r="46" spans="1:4" ht="15.75">
      <c r="A46" s="45" t="s">
        <v>17</v>
      </c>
      <c r="B46" s="27">
        <f>IF(9552.77335="","-",9552.77335)</f>
        <v>9552.77335</v>
      </c>
      <c r="C46" s="27">
        <f>IF(13459.41825="","-",13459.41825)</f>
        <v>13459.41825</v>
      </c>
      <c r="D46" s="27">
        <f>IF(OR(9552.77335="",13459.41825="",9552.77335=0),"-",13459.41825/9552.77335*100)</f>
        <v>140.89540028707998</v>
      </c>
    </row>
    <row r="47" spans="1:4" ht="15.75">
      <c r="A47" s="9" t="s">
        <v>24</v>
      </c>
      <c r="B47" s="26">
        <f>IF(-642640.57783="","-",-642640.57783)</f>
        <v>-642640.57783</v>
      </c>
      <c r="C47" s="26">
        <f>IF(-783998.78791="","-",-783998.78791)</f>
        <v>-783998.78791</v>
      </c>
      <c r="D47" s="26">
        <f>IF(-642640.57783="","-",-783998.78791/-642640.57783*100)</f>
        <v>121.99646504696658</v>
      </c>
    </row>
    <row r="48" spans="1:4" ht="15.75">
      <c r="A48" s="45" t="s">
        <v>142</v>
      </c>
      <c r="B48" s="27">
        <f>IF(-338201.4596="","-",-338201.4596)</f>
        <v>-338201.4596</v>
      </c>
      <c r="C48" s="27">
        <f>IF(-434780.52088="","-",-434780.52088)</f>
        <v>-434780.52088</v>
      </c>
      <c r="D48" s="27">
        <f>IF(OR(-338201.4596="",-434780.52088="",-338201.4596=0),"-",-434780.52088/-338201.4596*100)</f>
        <v>128.55666601623383</v>
      </c>
    </row>
    <row r="49" spans="1:4" ht="15.75">
      <c r="A49" s="45" t="s">
        <v>139</v>
      </c>
      <c r="B49" s="27">
        <f>IF(-191755.20121="","-",-191755.20121)</f>
        <v>-191755.20121</v>
      </c>
      <c r="C49" s="27">
        <f>IF(-185578.47526="","-",-185578.47526)</f>
        <v>-185578.47526</v>
      </c>
      <c r="D49" s="27">
        <f>IF(OR(-191755.20121="",-185578.47526="",-191755.20121=0),"-",-185578.47526/-191755.20121*100)</f>
        <v>96.77884828623992</v>
      </c>
    </row>
    <row r="50" spans="1:4" ht="15.75">
      <c r="A50" s="45" t="s">
        <v>25</v>
      </c>
      <c r="B50" s="27">
        <f>IF(-33541.832="","-",-33541.832)</f>
        <v>-33541.832</v>
      </c>
      <c r="C50" s="27">
        <f>IF(-47210.1951="","-",-47210.1951)</f>
        <v>-47210.1951</v>
      </c>
      <c r="D50" s="27">
        <f>IF(OR(-33541.832="",-47210.1951="",-33541.832=0),"-",-47210.1951/-33541.832*100)</f>
        <v>140.7501984387734</v>
      </c>
    </row>
    <row r="51" spans="1:4" ht="15.75">
      <c r="A51" s="45" t="s">
        <v>161</v>
      </c>
      <c r="B51" s="27">
        <f>IF(-25211.54376="","-",-25211.54376)</f>
        <v>-25211.54376</v>
      </c>
      <c r="C51" s="27">
        <f>IF(-32447.96826="","-",-32447.96826)</f>
        <v>-32447.96826</v>
      </c>
      <c r="D51" s="27">
        <f>IF(OR(-25211.54376="",-32447.96826="",-25211.54376=0),"-",-32447.96826/-25211.54376*100)</f>
        <v>128.70282188542984</v>
      </c>
    </row>
    <row r="52" spans="1:4" ht="15.75">
      <c r="A52" s="45" t="s">
        <v>157</v>
      </c>
      <c r="B52" s="27">
        <f>IF(-18393.51742="","-",-18393.51742)</f>
        <v>-18393.51742</v>
      </c>
      <c r="C52" s="27">
        <f>IF(-31329.06672="","-",-31329.06672)</f>
        <v>-31329.06672</v>
      </c>
      <c r="D52" s="27" t="s">
        <v>214</v>
      </c>
    </row>
    <row r="53" spans="1:4" ht="15.75">
      <c r="A53" s="45" t="s">
        <v>114</v>
      </c>
      <c r="B53" s="27">
        <f>IF(-19904.69528="","-",-19904.69528)</f>
        <v>-19904.69528</v>
      </c>
      <c r="C53" s="27">
        <f>IF(-24080.29559="","-",-24080.29559)</f>
        <v>-24080.29559</v>
      </c>
      <c r="D53" s="27">
        <f>IF(OR(-19904.69528="",-24080.29559="",-19904.69528=0),"-",-24080.29559/-19904.69528*100)</f>
        <v>120.9779665112261</v>
      </c>
    </row>
    <row r="54" spans="1:4" ht="15.75">
      <c r="A54" s="45" t="s">
        <v>154</v>
      </c>
      <c r="B54" s="27">
        <f>IF(-18951.98231="","-",-18951.98231)</f>
        <v>-18951.98231</v>
      </c>
      <c r="C54" s="27">
        <f>IF(-23803.87028="","-",-23803.87028)</f>
        <v>-23803.87028</v>
      </c>
      <c r="D54" s="27">
        <f>IF(OR(-18951.98231="",-23803.87028="",-18951.98231=0),"-",-23803.87028/-18951.98231*100)</f>
        <v>125.60095239979148</v>
      </c>
    </row>
    <row r="55" spans="1:4" ht="15.75">
      <c r="A55" s="45" t="s">
        <v>155</v>
      </c>
      <c r="B55" s="27">
        <f>IF(-11624.34139="","-",-11624.34139)</f>
        <v>-11624.34139</v>
      </c>
      <c r="C55" s="27">
        <f>IF(-15926.51964="","-",-15926.51964)</f>
        <v>-15926.51964</v>
      </c>
      <c r="D55" s="27">
        <f>IF(OR(-11624.34139="",-15926.51964="",-11624.34139=0),"-",-15926.51964/-11624.34139*100)</f>
        <v>137.01008173848894</v>
      </c>
    </row>
    <row r="56" spans="1:4" ht="15.75">
      <c r="A56" s="45" t="s">
        <v>166</v>
      </c>
      <c r="B56" s="27">
        <f>IF(-9132.27163="","-",-9132.27163)</f>
        <v>-9132.27163</v>
      </c>
      <c r="C56" s="27">
        <f>IF(-11144.63403="","-",-11144.63403)</f>
        <v>-11144.63403</v>
      </c>
      <c r="D56" s="27">
        <f>IF(OR(-9132.27163="",-11144.63403="",-9132.27163=0),"-",-11144.63403/-9132.27163*100)</f>
        <v>122.03572650411844</v>
      </c>
    </row>
    <row r="57" spans="1:4" ht="15.75">
      <c r="A57" s="45" t="s">
        <v>156</v>
      </c>
      <c r="B57" s="27">
        <f>IF(-3920.05234="","-",-3920.05234)</f>
        <v>-3920.05234</v>
      </c>
      <c r="C57" s="27">
        <f>IF(-7849.44743="","-",-7849.44743)</f>
        <v>-7849.44743</v>
      </c>
      <c r="D57" s="27" t="s">
        <v>26</v>
      </c>
    </row>
    <row r="58" spans="1:4" ht="15.75">
      <c r="A58" s="45" t="s">
        <v>167</v>
      </c>
      <c r="B58" s="27">
        <f>IF(-5682.91761="","-",-5682.91761)</f>
        <v>-5682.91761</v>
      </c>
      <c r="C58" s="27">
        <f>IF(-7400.38848="","-",-7400.38848)</f>
        <v>-7400.38848</v>
      </c>
      <c r="D58" s="27">
        <f>IF(OR(-5682.91761="",-7400.38848="",-5682.91761=0),"-",-7400.38848/-5682.91761*100)</f>
        <v>130.2216394441094</v>
      </c>
    </row>
    <row r="59" spans="1:4" ht="15.75">
      <c r="A59" s="45" t="s">
        <v>147</v>
      </c>
      <c r="B59" s="27">
        <f>IF(-504.23166="","-",-504.23166)</f>
        <v>-504.23166</v>
      </c>
      <c r="C59" s="27">
        <f>IF(-7073.10101="","-",-7073.10101)</f>
        <v>-7073.10101</v>
      </c>
      <c r="D59" s="27" t="s">
        <v>271</v>
      </c>
    </row>
    <row r="60" spans="1:4" ht="15.75">
      <c r="A60" s="45" t="s">
        <v>151</v>
      </c>
      <c r="B60" s="27">
        <f>IF(-13532.49416="","-",-13532.49416)</f>
        <v>-13532.49416</v>
      </c>
      <c r="C60" s="27">
        <f>IF(-6944.90792="","-",-6944.90792)</f>
        <v>-6944.90792</v>
      </c>
      <c r="D60" s="27">
        <f>IF(OR(-13532.49416="",-6944.90792="",-13532.49416=0),"-",-6944.90792/-13532.49416*100)</f>
        <v>51.3202358551766</v>
      </c>
    </row>
    <row r="61" spans="1:7" ht="15.75">
      <c r="A61" s="45" t="s">
        <v>163</v>
      </c>
      <c r="B61" s="27">
        <f>IF(-5095.91706="","-",-5095.91706)</f>
        <v>-5095.91706</v>
      </c>
      <c r="C61" s="27">
        <f>IF(-6478.12268="","-",-6478.12268)</f>
        <v>-6478.12268</v>
      </c>
      <c r="D61" s="27">
        <f>IF(OR(-5095.91706="",-6478.12268="",-5095.91706=0),"-",-6478.12268/-5095.91706*100)</f>
        <v>127.12378564497283</v>
      </c>
      <c r="E61" s="1"/>
      <c r="F61" s="1"/>
      <c r="G61" s="1"/>
    </row>
    <row r="62" spans="1:4" ht="15.75">
      <c r="A62" s="45" t="s">
        <v>169</v>
      </c>
      <c r="B62" s="27">
        <f>IF(-4475.78809="","-",-4475.78809)</f>
        <v>-4475.78809</v>
      </c>
      <c r="C62" s="27">
        <f>IF(-6394.11175999999="","-",-6394.11175999999)</f>
        <v>-6394.11175999999</v>
      </c>
      <c r="D62" s="27">
        <f>IF(OR(-4475.78809="",-6394.11175999999="",-4475.78809=0),"-",-6394.11175999999/-4475.78809*100)</f>
        <v>142.86001998812213</v>
      </c>
    </row>
    <row r="63" spans="1:4" ht="15.75">
      <c r="A63" s="45" t="s">
        <v>168</v>
      </c>
      <c r="B63" s="27">
        <f>IF(-5663.08174="","-",-5663.08174)</f>
        <v>-5663.08174</v>
      </c>
      <c r="C63" s="27">
        <f>IF(-5726.34088="","-",-5726.34088)</f>
        <v>-5726.34088</v>
      </c>
      <c r="D63" s="27">
        <f>IF(OR(-5663.08174="",-5726.34088="",-5663.08174=0),"-",-5726.34088/-5663.08174*100)</f>
        <v>101.1170444451328</v>
      </c>
    </row>
    <row r="64" spans="1:4" ht="15.75">
      <c r="A64" s="45" t="s">
        <v>170</v>
      </c>
      <c r="B64" s="27">
        <f>IF(-3596.25951="","-",-3596.25951)</f>
        <v>-3596.25951</v>
      </c>
      <c r="C64" s="27">
        <f>IF(-4903.53066="","-",-4903.53066)</f>
        <v>-4903.53066</v>
      </c>
      <c r="D64" s="27">
        <f>IF(OR(-3596.25951="",-4903.53066="",-3596.25951=0),"-",-4903.53066/-3596.25951*100)</f>
        <v>136.3508569491416</v>
      </c>
    </row>
    <row r="65" spans="1:4" ht="15.75">
      <c r="A65" s="45" t="s">
        <v>145</v>
      </c>
      <c r="B65" s="27">
        <f>IF(-2899.08345="","-",-2899.08345)</f>
        <v>-2899.08345</v>
      </c>
      <c r="C65" s="27">
        <f>IF(-4654.68856="","-",-4654.68856)</f>
        <v>-4654.68856</v>
      </c>
      <c r="D65" s="27" t="s">
        <v>215</v>
      </c>
    </row>
    <row r="66" spans="1:4" ht="15.75">
      <c r="A66" s="45" t="s">
        <v>171</v>
      </c>
      <c r="B66" s="27">
        <f>IF(-2926.20763="","-",-2926.20763)</f>
        <v>-2926.20763</v>
      </c>
      <c r="C66" s="27">
        <f>IF(-3779.90907="","-",-3779.90907)</f>
        <v>-3779.90907</v>
      </c>
      <c r="D66" s="27">
        <f>IF(OR(-2926.20763="",-3779.90907="",-2926.20763=0),"-",-3779.90907/-2926.20763*100)</f>
        <v>129.17432895901513</v>
      </c>
    </row>
    <row r="67" spans="1:4" ht="15.75">
      <c r="A67" s="45" t="s">
        <v>174</v>
      </c>
      <c r="B67" s="27">
        <f>IF(-1381.21637="","-",-1381.21637)</f>
        <v>-1381.21637</v>
      </c>
      <c r="C67" s="27">
        <f>IF(-3699.58731="","-",-3699.58731)</f>
        <v>-3699.58731</v>
      </c>
      <c r="D67" s="27" t="s">
        <v>248</v>
      </c>
    </row>
    <row r="68" spans="1:7" ht="15.75">
      <c r="A68" s="45" t="s">
        <v>172</v>
      </c>
      <c r="B68" s="27">
        <f>IF(-2870.59919="","-",-2870.59919)</f>
        <v>-2870.59919</v>
      </c>
      <c r="C68" s="27">
        <f>IF(-3063.43542="","-",-3063.43542)</f>
        <v>-3063.43542</v>
      </c>
      <c r="D68" s="27">
        <f>IF(OR(-2870.59919="",-3063.43542="",-2870.59919=0),"-",-3063.43542/-2870.59919*100)</f>
        <v>106.71762991753648</v>
      </c>
      <c r="E68" s="1"/>
      <c r="F68" s="1"/>
      <c r="G68" s="1"/>
    </row>
    <row r="69" spans="1:4" ht="15.75">
      <c r="A69" s="45" t="s">
        <v>149</v>
      </c>
      <c r="B69" s="27">
        <f>IF(-1578.51793="","-",-1578.51793)</f>
        <v>-1578.51793</v>
      </c>
      <c r="C69" s="27">
        <f>IF(-2489.25441="","-",-2489.25441)</f>
        <v>-2489.25441</v>
      </c>
      <c r="D69" s="27" t="s">
        <v>215</v>
      </c>
    </row>
    <row r="70" spans="1:4" ht="15.75">
      <c r="A70" s="45" t="s">
        <v>121</v>
      </c>
      <c r="B70" s="27">
        <f>IF(-2650.73401="","-",-2650.73401)</f>
        <v>-2650.73401</v>
      </c>
      <c r="C70" s="27">
        <f>IF(-2239.84347="","-",-2239.84347)</f>
        <v>-2239.84347</v>
      </c>
      <c r="D70" s="27">
        <f>IF(OR(-2650.73401="",-2239.84347="",-2650.73401=0),"-",-2239.84347/-2650.73401*100)</f>
        <v>84.49899014952464</v>
      </c>
    </row>
    <row r="71" spans="1:4" ht="15.75">
      <c r="A71" s="45" t="s">
        <v>175</v>
      </c>
      <c r="B71" s="27">
        <f>IF(-1397.72575="","-",-1397.72575)</f>
        <v>-1397.72575</v>
      </c>
      <c r="C71" s="27">
        <f>IF(-2054.84468="","-",-2054.84468)</f>
        <v>-2054.84468</v>
      </c>
      <c r="D71" s="27">
        <f>IF(OR(-1397.72575="",-2054.84468="",-1397.72575=0),"-",-2054.84468/-1397.72575*100)</f>
        <v>147.0134380796805</v>
      </c>
    </row>
    <row r="72" spans="1:4" ht="15.75">
      <c r="A72" s="45" t="s">
        <v>180</v>
      </c>
      <c r="B72" s="27">
        <f>IF(-775.35635="","-",-775.35635)</f>
        <v>-775.35635</v>
      </c>
      <c r="C72" s="27">
        <f>IF(-1812.26691="","-",-1812.26691)</f>
        <v>-1812.26691</v>
      </c>
      <c r="D72" s="27" t="s">
        <v>238</v>
      </c>
    </row>
    <row r="73" spans="1:4" ht="15.75">
      <c r="A73" s="45" t="s">
        <v>159</v>
      </c>
      <c r="B73" s="27">
        <f>IF(-1065.0253="","-",-1065.0253)</f>
        <v>-1065.0253</v>
      </c>
      <c r="C73" s="27">
        <f>IF(-1686.53693="","-",-1686.53693)</f>
        <v>-1686.53693</v>
      </c>
      <c r="D73" s="27" t="s">
        <v>215</v>
      </c>
    </row>
    <row r="74" spans="1:4" ht="15.75">
      <c r="A74" s="45" t="s">
        <v>153</v>
      </c>
      <c r="B74" s="27">
        <f>IF(-1461.54476="","-",-1461.54476)</f>
        <v>-1461.54476</v>
      </c>
      <c r="C74" s="27">
        <f>IF(-1463.76364="","-",-1463.76364)</f>
        <v>-1463.76364</v>
      </c>
      <c r="D74" s="27">
        <f>IF(OR(-1461.54476="",-1463.76364="",-1461.54476=0),"-",-1463.76364/-1461.54476*100)</f>
        <v>100.15181745100985</v>
      </c>
    </row>
    <row r="75" spans="1:4" ht="15.75">
      <c r="A75" s="45" t="s">
        <v>158</v>
      </c>
      <c r="B75" s="27">
        <f>IF(-401.49192="","-",-401.49192)</f>
        <v>-401.49192</v>
      </c>
      <c r="C75" s="27">
        <f>IF(-1426.06417="","-",-1426.06417)</f>
        <v>-1426.06417</v>
      </c>
      <c r="D75" s="27" t="s">
        <v>272</v>
      </c>
    </row>
    <row r="76" spans="1:7" ht="15.75">
      <c r="A76" s="45" t="s">
        <v>144</v>
      </c>
      <c r="B76" s="27">
        <f>IF(3996.41114="","-",3996.41114)</f>
        <v>3996.41114</v>
      </c>
      <c r="C76" s="27">
        <f>IF(-1331.85646="","-",-1331.85646)</f>
        <v>-1331.85646</v>
      </c>
      <c r="D76" s="27" t="s">
        <v>33</v>
      </c>
      <c r="E76" s="24"/>
      <c r="F76" s="24"/>
      <c r="G76" s="24"/>
    </row>
    <row r="77" spans="1:4" ht="15.75">
      <c r="A77" s="45" t="s">
        <v>205</v>
      </c>
      <c r="B77" s="27">
        <f>IF(-256.61246="","-",-256.61246)</f>
        <v>-256.61246</v>
      </c>
      <c r="C77" s="27">
        <f>IF(-1167.62705="","-",-1167.62705)</f>
        <v>-1167.62705</v>
      </c>
      <c r="D77" s="27" t="s">
        <v>246</v>
      </c>
    </row>
    <row r="78" spans="1:4" ht="15.75">
      <c r="A78" s="45" t="s">
        <v>173</v>
      </c>
      <c r="B78" s="27">
        <f>IF(-1436.31278="","-",-1436.31278)</f>
        <v>-1436.31278</v>
      </c>
      <c r="C78" s="27">
        <f>IF(-1152.10782="","-",-1152.10782)</f>
        <v>-1152.10782</v>
      </c>
      <c r="D78" s="27">
        <f>IF(OR(-1436.31278="",-1152.10782="",-1436.31278=0),"-",-1152.10782/-1436.31278*100)</f>
        <v>80.2128781448286</v>
      </c>
    </row>
    <row r="79" spans="1:4" ht="15.75">
      <c r="A79" s="45" t="s">
        <v>176</v>
      </c>
      <c r="B79" s="27">
        <f>IF(-1185.9559="","-",-1185.9559)</f>
        <v>-1185.9559</v>
      </c>
      <c r="C79" s="27">
        <f>IF(-1009.66885="","-",-1009.66885)</f>
        <v>-1009.66885</v>
      </c>
      <c r="D79" s="27">
        <f>IF(OR(-1185.9559="",-1009.66885="",-1185.9559=0),"-",-1009.66885/-1185.9559*100)</f>
        <v>85.13544643607743</v>
      </c>
    </row>
    <row r="80" spans="1:4" ht="15.75">
      <c r="A80" s="45" t="s">
        <v>181</v>
      </c>
      <c r="B80" s="27">
        <f>IF(-743.04952="","-",-743.04952)</f>
        <v>-743.04952</v>
      </c>
      <c r="C80" s="27">
        <f>IF(-924.76026="","-",-924.76026)</f>
        <v>-924.76026</v>
      </c>
      <c r="D80" s="27">
        <f>IF(OR(-743.04952="",-924.76026="",-743.04952=0),"-",-924.76026/-743.04952*100)</f>
        <v>124.45472813171321</v>
      </c>
    </row>
    <row r="81" spans="1:4" ht="15.75">
      <c r="A81" s="45" t="s">
        <v>177</v>
      </c>
      <c r="B81" s="27">
        <f>IF(-1095.06238="","-",-1095.06238)</f>
        <v>-1095.06238</v>
      </c>
      <c r="C81" s="27">
        <f>IF(-797.94168="","-",-797.94168)</f>
        <v>-797.94168</v>
      </c>
      <c r="D81" s="27">
        <f>IF(OR(-1095.06238="",-797.94168="",-1095.06238=0),"-",-797.94168/-1095.06238*100)</f>
        <v>72.86723519805328</v>
      </c>
    </row>
    <row r="82" spans="1:4" ht="15.75">
      <c r="A82" s="45" t="s">
        <v>165</v>
      </c>
      <c r="B82" s="27">
        <f>IF(-331.77458="","-",-331.77458)</f>
        <v>-331.77458</v>
      </c>
      <c r="C82" s="27">
        <f>IF(-652.5153="","-",-652.5153)</f>
        <v>-652.5153</v>
      </c>
      <c r="D82" s="27" t="s">
        <v>26</v>
      </c>
    </row>
    <row r="83" spans="1:4" ht="15.75">
      <c r="A83" s="45" t="s">
        <v>191</v>
      </c>
      <c r="B83" s="27">
        <f>IF(-358.9356="","-",-358.9356)</f>
        <v>-358.9356</v>
      </c>
      <c r="C83" s="27">
        <f>IF(-560.4586="","-",-560.4586)</f>
        <v>-560.4586</v>
      </c>
      <c r="D83" s="27" t="s">
        <v>215</v>
      </c>
    </row>
    <row r="84" spans="1:4" ht="15.75">
      <c r="A84" s="45" t="s">
        <v>150</v>
      </c>
      <c r="B84" s="27">
        <f>IF(-726.05619="","-",-726.05619)</f>
        <v>-726.05619</v>
      </c>
      <c r="C84" s="27">
        <f>IF(-555.11806="","-",-555.11806)</f>
        <v>-555.11806</v>
      </c>
      <c r="D84" s="27">
        <f>IF(OR(-726.05619="",-555.11806="",-726.05619=0),"-",-555.11806/-726.05619*100)</f>
        <v>76.45662520968246</v>
      </c>
    </row>
    <row r="85" spans="1:4" ht="15.75">
      <c r="A85" s="45" t="s">
        <v>183</v>
      </c>
      <c r="B85" s="27">
        <f>IF(-449.82198="","-",-449.82198)</f>
        <v>-449.82198</v>
      </c>
      <c r="C85" s="27">
        <f>IF(-544.24102="","-",-544.24102)</f>
        <v>-544.24102</v>
      </c>
      <c r="D85" s="27">
        <f>IF(OR(-449.82198="",-544.24102="",-449.82198=0),"-",-544.24102/-449.82198*100)</f>
        <v>120.99031265657585</v>
      </c>
    </row>
    <row r="86" spans="1:4" ht="15.75">
      <c r="A86" s="45" t="s">
        <v>178</v>
      </c>
      <c r="B86" s="27">
        <f>IF(-1046.38714="","-",-1046.38714)</f>
        <v>-1046.38714</v>
      </c>
      <c r="C86" s="27">
        <f>IF(-542.65694="","-",-542.65694)</f>
        <v>-542.65694</v>
      </c>
      <c r="D86" s="27">
        <f>IF(OR(-1046.38714="",-542.65694="",-1046.38714=0),"-",-542.65694/-1046.38714*100)</f>
        <v>51.860054396310716</v>
      </c>
    </row>
    <row r="87" spans="1:4" ht="15.75">
      <c r="A87" s="45" t="s">
        <v>182</v>
      </c>
      <c r="B87" s="27">
        <f>IF(-405.21342="","-",-405.21342)</f>
        <v>-405.21342</v>
      </c>
      <c r="C87" s="27">
        <f>IF(-496.03653="","-",-496.03653)</f>
        <v>-496.03653</v>
      </c>
      <c r="D87" s="27">
        <f>IF(OR(-405.21342="",-496.03653="",-405.21342=0),"-",-496.03653/-405.21342*100)</f>
        <v>122.41364809684734</v>
      </c>
    </row>
    <row r="88" spans="1:4" ht="15.75">
      <c r="A88" s="45" t="s">
        <v>179</v>
      </c>
      <c r="B88" s="27">
        <f>IF(-808.14619="","-",-808.14619)</f>
        <v>-808.14619</v>
      </c>
      <c r="C88" s="27">
        <f>IF(-466.89389="","-",-466.89389)</f>
        <v>-466.89389</v>
      </c>
      <c r="D88" s="27">
        <f>IF(OR(-808.14619="",-466.89389="",-808.14619=0),"-",-466.89389/-808.14619*100)</f>
        <v>57.77344443088941</v>
      </c>
    </row>
    <row r="89" spans="1:4" ht="15.75">
      <c r="A89" s="45" t="s">
        <v>211</v>
      </c>
      <c r="B89" s="27">
        <f>IF(81.40639="","-",81.40639)</f>
        <v>81.40639</v>
      </c>
      <c r="C89" s="27">
        <f>IF(-314.34249="","-",-314.34249)</f>
        <v>-314.34249</v>
      </c>
      <c r="D89" s="27" t="s">
        <v>33</v>
      </c>
    </row>
    <row r="90" spans="1:4" ht="15.75">
      <c r="A90" s="45" t="s">
        <v>192</v>
      </c>
      <c r="B90" s="27">
        <f>IF(-47.57018="","-",-47.57018)</f>
        <v>-47.57018</v>
      </c>
      <c r="C90" s="27">
        <f>IF(-249.92041="","-",-249.92041)</f>
        <v>-249.92041</v>
      </c>
      <c r="D90" s="27" t="s">
        <v>273</v>
      </c>
    </row>
    <row r="91" spans="1:4" ht="15.75">
      <c r="A91" s="45" t="s">
        <v>190</v>
      </c>
      <c r="B91" s="27">
        <f>IF(-131.03681="","-",-131.03681)</f>
        <v>-131.03681</v>
      </c>
      <c r="C91" s="27">
        <f>IF(-229.76061="","-",-229.76061)</f>
        <v>-229.76061</v>
      </c>
      <c r="D91" s="27" t="s">
        <v>213</v>
      </c>
    </row>
    <row r="92" spans="1:4" ht="15.75">
      <c r="A92" s="45" t="s">
        <v>229</v>
      </c>
      <c r="B92" s="27">
        <f>IF(-182.37373="","-",-182.37373)</f>
        <v>-182.37373</v>
      </c>
      <c r="C92" s="27">
        <f>IF(-163.74649="","-",-163.74649)</f>
        <v>-163.74649</v>
      </c>
      <c r="D92" s="27">
        <f>IF(OR(-182.37373="",-163.74649="",-182.37373=0),"-",-163.74649/-182.37373*100)</f>
        <v>89.78622633862892</v>
      </c>
    </row>
    <row r="93" spans="1:4" ht="15.75">
      <c r="A93" s="45" t="s">
        <v>239</v>
      </c>
      <c r="B93" s="27">
        <f>IF(-58.16874="","-",-58.16874)</f>
        <v>-58.16874</v>
      </c>
      <c r="C93" s="27">
        <f>IF(-102.35422="","-",-102.35422)</f>
        <v>-102.35422</v>
      </c>
      <c r="D93" s="27" t="s">
        <v>213</v>
      </c>
    </row>
    <row r="94" spans="1:4" ht="15.75">
      <c r="A94" s="45" t="s">
        <v>224</v>
      </c>
      <c r="B94" s="27">
        <f>IF(-60.95654="","-",-60.95654)</f>
        <v>-60.95654</v>
      </c>
      <c r="C94" s="27">
        <f>IF(-92.76142="","-",-92.76142)</f>
        <v>-92.76142</v>
      </c>
      <c r="D94" s="27">
        <f>IF(OR(-60.95654="",-92.76142="",-60.95654=0),"-",-92.76142/-60.95654*100)</f>
        <v>152.17632103134463</v>
      </c>
    </row>
    <row r="95" spans="1:4" ht="15.75">
      <c r="A95" s="45" t="s">
        <v>240</v>
      </c>
      <c r="B95" s="27">
        <f>IF(-88.92685="","-",-88.92685)</f>
        <v>-88.92685</v>
      </c>
      <c r="C95" s="27">
        <f>IF(-88.21212="","-",-88.21212)</f>
        <v>-88.21212</v>
      </c>
      <c r="D95" s="27">
        <f>IF(OR(-88.92685="",-88.21212="",-88.92685=0),"-",-88.21212/-88.92685*100)</f>
        <v>99.19627199209238</v>
      </c>
    </row>
    <row r="96" spans="1:7" ht="15.75">
      <c r="A96" s="45" t="s">
        <v>278</v>
      </c>
      <c r="B96" s="27">
        <f>IF(-67.46247="","-",-67.46247)</f>
        <v>-67.46247</v>
      </c>
      <c r="C96" s="27">
        <f>IF(-79.5328="","-",-79.5328)</f>
        <v>-79.5328</v>
      </c>
      <c r="D96" s="27">
        <f>IF(OR(-67.46247="",-79.5328="",-67.46247=0),"-",-79.5328/-67.46247*100)</f>
        <v>117.89191827693234</v>
      </c>
      <c r="E96" s="24"/>
      <c r="F96" s="24"/>
      <c r="G96" s="24"/>
    </row>
    <row r="97" spans="1:7" ht="15.75">
      <c r="A97" s="45" t="s">
        <v>236</v>
      </c>
      <c r="B97" s="27">
        <f>IF(-70.45293="","-",-70.45293)</f>
        <v>-70.45293</v>
      </c>
      <c r="C97" s="27">
        <f>IF(-72.15776="","-",-72.15776)</f>
        <v>-72.15776</v>
      </c>
      <c r="D97" s="27">
        <f>IF(OR(-70.45293="",-72.15776="",-70.45293=0),"-",-72.15776/-70.45293*100)</f>
        <v>102.41981419367512</v>
      </c>
      <c r="E97" s="24"/>
      <c r="F97" s="24"/>
      <c r="G97" s="24"/>
    </row>
    <row r="98" spans="1:4" ht="15.75">
      <c r="A98" s="45" t="s">
        <v>244</v>
      </c>
      <c r="B98" s="27">
        <f>IF(-68.76909="","-",-68.76909)</f>
        <v>-68.76909</v>
      </c>
      <c r="C98" s="27">
        <f>IF(-64.49442="","-",-64.49442)</f>
        <v>-64.49442</v>
      </c>
      <c r="D98" s="27">
        <f>IF(OR(-68.76909="",-64.49442="",-68.76909=0),"-",-64.49442/-68.76909*100)</f>
        <v>93.78402418877435</v>
      </c>
    </row>
    <row r="99" spans="1:4" ht="15.75">
      <c r="A99" s="45" t="s">
        <v>245</v>
      </c>
      <c r="B99" s="27">
        <f>IF(-56.60278="","-",-56.60278)</f>
        <v>-56.60278</v>
      </c>
      <c r="C99" s="27">
        <f>IF(-60.02941="","-",-60.02941)</f>
        <v>-60.02941</v>
      </c>
      <c r="D99" s="27">
        <f>IF(OR(-56.60278="",-60.02941="",-56.60278=0),"-",-60.02941/-56.60278*100)</f>
        <v>106.0538192647075</v>
      </c>
    </row>
    <row r="100" spans="1:7" ht="15.75">
      <c r="A100" s="45" t="s">
        <v>268</v>
      </c>
      <c r="B100" s="27">
        <f>IF(-6.92736="","-",-6.92736)</f>
        <v>-6.92736</v>
      </c>
      <c r="C100" s="27">
        <f>IF(-55.56506="","-",-55.56506)</f>
        <v>-55.56506</v>
      </c>
      <c r="D100" s="27" t="s">
        <v>270</v>
      </c>
      <c r="E100" s="23"/>
      <c r="F100" s="23"/>
      <c r="G100" s="23"/>
    </row>
    <row r="101" spans="1:4" ht="15.75">
      <c r="A101" s="45" t="s">
        <v>250</v>
      </c>
      <c r="B101" s="27">
        <f>IF(-52.10376="","-",-52.10376)</f>
        <v>-52.10376</v>
      </c>
      <c r="C101" s="27">
        <f>IF(-50.9012="","-",-50.9012)</f>
        <v>-50.9012</v>
      </c>
      <c r="D101" s="27">
        <f>IF(OR(-52.10376="",-50.9012="",-52.10376=0),"-",-50.9012/-52.10376*100)</f>
        <v>97.69198998306456</v>
      </c>
    </row>
    <row r="102" spans="1:7" ht="15.75">
      <c r="A102" s="45" t="s">
        <v>120</v>
      </c>
      <c r="B102" s="27">
        <f>IF(-2878.08472="","-",-2878.08472)</f>
        <v>-2878.08472</v>
      </c>
      <c r="C102" s="27">
        <f>IF(-48.15883="","-",-48.15883)</f>
        <v>-48.15883</v>
      </c>
      <c r="D102" s="27">
        <f>IF(OR(-2878.08472="",-48.15883="",-2878.08472=0),"-",-48.15883/-2878.08472*100)</f>
        <v>1.6732943844682935</v>
      </c>
      <c r="E102" s="23"/>
      <c r="F102" s="23"/>
      <c r="G102" s="23"/>
    </row>
    <row r="103" spans="1:7" ht="15.75">
      <c r="A103" s="45" t="s">
        <v>237</v>
      </c>
      <c r="B103" s="27">
        <f>IF(0="","-",0)</f>
        <v>0</v>
      </c>
      <c r="C103" s="27">
        <f>IF(55.12314="","-",55.12314)</f>
        <v>55.12314</v>
      </c>
      <c r="D103" s="27" t="s">
        <v>33</v>
      </c>
      <c r="E103" s="1"/>
      <c r="F103" s="1"/>
      <c r="G103" s="1"/>
    </row>
    <row r="104" spans="1:4" ht="15.75">
      <c r="A104" s="45" t="s">
        <v>223</v>
      </c>
      <c r="B104" s="27">
        <f>IF(14.606="","-",14.606)</f>
        <v>14.606</v>
      </c>
      <c r="C104" s="27">
        <f>IF(64.15896="","-",64.15896)</f>
        <v>64.15896</v>
      </c>
      <c r="D104" s="27" t="s">
        <v>243</v>
      </c>
    </row>
    <row r="105" spans="1:4" ht="15.75">
      <c r="A105" s="45" t="s">
        <v>207</v>
      </c>
      <c r="B105" s="27">
        <f>IF(-330.81123="","-",-330.81123)</f>
        <v>-330.81123</v>
      </c>
      <c r="C105" s="27">
        <f>IF(66.18583="","-",66.18583)</f>
        <v>66.18583</v>
      </c>
      <c r="D105" s="27" t="s">
        <v>33</v>
      </c>
    </row>
    <row r="106" spans="1:4" ht="15.75">
      <c r="A106" s="45" t="s">
        <v>164</v>
      </c>
      <c r="B106" s="27">
        <f>IF(-765.77504="","-",-765.77504)</f>
        <v>-765.77504</v>
      </c>
      <c r="C106" s="27">
        <f>IF(67.199="","-",67.199)</f>
        <v>67.199</v>
      </c>
      <c r="D106" s="27" t="s">
        <v>33</v>
      </c>
    </row>
    <row r="107" spans="1:7" ht="15.75">
      <c r="A107" s="45" t="s">
        <v>247</v>
      </c>
      <c r="B107" s="27">
        <f>IF(27.29327="","-",27.29327)</f>
        <v>27.29327</v>
      </c>
      <c r="C107" s="27">
        <f>IF(161.56188="","-",161.56188)</f>
        <v>161.56188</v>
      </c>
      <c r="D107" s="27" t="s">
        <v>274</v>
      </c>
      <c r="E107" s="24"/>
      <c r="F107" s="24"/>
      <c r="G107" s="24"/>
    </row>
    <row r="108" spans="1:7" ht="15.75">
      <c r="A108" s="45" t="s">
        <v>152</v>
      </c>
      <c r="B108" s="27">
        <f>IF(875.53093="","-",875.53093)</f>
        <v>875.53093</v>
      </c>
      <c r="C108" s="27">
        <f>IF(168.81962="","-",168.81962)</f>
        <v>168.81962</v>
      </c>
      <c r="D108" s="27">
        <f>IF(OR(875.53093="",168.81962="",875.53093=0),"-",168.81962/875.53093*100)</f>
        <v>19.28197099787211</v>
      </c>
      <c r="E108" s="17"/>
      <c r="F108" s="17"/>
      <c r="G108" s="17"/>
    </row>
    <row r="109" spans="1:4" ht="15.75">
      <c r="A109" s="45" t="s">
        <v>204</v>
      </c>
      <c r="B109" s="27">
        <f>IF(50.57699="","-",50.57699)</f>
        <v>50.57699</v>
      </c>
      <c r="C109" s="27">
        <f>IF(174.27736="","-",174.27736)</f>
        <v>174.27736</v>
      </c>
      <c r="D109" s="27" t="s">
        <v>267</v>
      </c>
    </row>
    <row r="110" spans="1:7" ht="15.75">
      <c r="A110" s="45" t="s">
        <v>232</v>
      </c>
      <c r="B110" s="27">
        <f>IF(-0.0213="","-",-0.0213)</f>
        <v>-0.0213</v>
      </c>
      <c r="C110" s="27">
        <f>IF(177.7974="","-",177.7974)</f>
        <v>177.7974</v>
      </c>
      <c r="D110" s="27" t="s">
        <v>33</v>
      </c>
      <c r="E110" s="24"/>
      <c r="F110" s="24"/>
      <c r="G110" s="24"/>
    </row>
    <row r="111" spans="1:4" ht="15.75">
      <c r="A111" s="45" t="s">
        <v>187</v>
      </c>
      <c r="B111" s="27">
        <f>IF(-0.6022="","-",-0.6022)</f>
        <v>-0.6022</v>
      </c>
      <c r="C111" s="27">
        <f>IF(186.33116="","-",186.33116)</f>
        <v>186.33116</v>
      </c>
      <c r="D111" s="27" t="s">
        <v>33</v>
      </c>
    </row>
    <row r="112" spans="1:4" ht="15.75">
      <c r="A112" s="45" t="s">
        <v>234</v>
      </c>
      <c r="B112" s="27">
        <f>IF(213.45917="","-",213.45917)</f>
        <v>213.45917</v>
      </c>
      <c r="C112" s="27">
        <f>IF(239.07536="","-",239.07536)</f>
        <v>239.07536</v>
      </c>
      <c r="D112" s="27">
        <f>IF(OR(213.45917="",239.07536="",213.45917=0),"-",239.07536/213.45917*100)</f>
        <v>112.00051044890694</v>
      </c>
    </row>
    <row r="113" spans="1:4" ht="15.75">
      <c r="A113" s="45" t="s">
        <v>188</v>
      </c>
      <c r="B113" s="27">
        <f>IF(239.6035="","-",239.6035)</f>
        <v>239.6035</v>
      </c>
      <c r="C113" s="27">
        <f>IF(352.81178="","-",352.81178)</f>
        <v>352.81178</v>
      </c>
      <c r="D113" s="27">
        <f>IF(OR(239.6035="",352.81178="",239.6035=0),"-",352.81178/239.6035*100)</f>
        <v>147.24817458843464</v>
      </c>
    </row>
    <row r="114" spans="1:4" ht="15.75">
      <c r="A114" s="45" t="s">
        <v>231</v>
      </c>
      <c r="B114" s="27">
        <f>IF(865.1805="","-",865.1805)</f>
        <v>865.1805</v>
      </c>
      <c r="C114" s="27">
        <f>IF(402.03702="","-",402.03702)</f>
        <v>402.03702</v>
      </c>
      <c r="D114" s="27">
        <f>IF(OR(865.1805="",402.03702="",865.1805=0),"-",402.03702/865.1805*100)</f>
        <v>46.468571587085</v>
      </c>
    </row>
    <row r="115" spans="1:4" ht="15.75">
      <c r="A115" s="45" t="s">
        <v>233</v>
      </c>
      <c r="B115" s="27">
        <f>IF(99.83051="","-",99.83051)</f>
        <v>99.83051</v>
      </c>
      <c r="C115" s="27">
        <f>IF(443.72813="","-",443.72813)</f>
        <v>443.72813</v>
      </c>
      <c r="D115" s="27" t="s">
        <v>243</v>
      </c>
    </row>
    <row r="116" spans="1:4" ht="15.75">
      <c r="A116" s="45" t="s">
        <v>203</v>
      </c>
      <c r="B116" s="27">
        <f>IF(505.105="","-",505.105)</f>
        <v>505.105</v>
      </c>
      <c r="C116" s="27">
        <f>IF(621.80743="","-",621.80743)</f>
        <v>621.80743</v>
      </c>
      <c r="D116" s="27">
        <f>IF(OR(505.105="",621.80743="",505.105=0),"-",621.80743/505.105*100)</f>
        <v>123.10458815493807</v>
      </c>
    </row>
    <row r="117" spans="1:4" ht="15.75">
      <c r="A117" s="45" t="s">
        <v>160</v>
      </c>
      <c r="B117" s="27">
        <f>IF(-147.30062="","-",-147.30062)</f>
        <v>-147.30062</v>
      </c>
      <c r="C117" s="27">
        <f>IF(626.40291="","-",626.40291)</f>
        <v>626.40291</v>
      </c>
      <c r="D117" s="27" t="s">
        <v>33</v>
      </c>
    </row>
    <row r="118" spans="1:4" ht="15.75">
      <c r="A118" s="45" t="s">
        <v>225</v>
      </c>
      <c r="B118" s="27">
        <f>IF(-177.86341="","-",-177.86341)</f>
        <v>-177.86341</v>
      </c>
      <c r="C118" s="27">
        <f>IF(782.8667="","-",782.8667)</f>
        <v>782.8667</v>
      </c>
      <c r="D118" s="27" t="s">
        <v>33</v>
      </c>
    </row>
    <row r="119" spans="1:7" s="1" customFormat="1" ht="15.75">
      <c r="A119" s="45" t="s">
        <v>222</v>
      </c>
      <c r="B119" s="27">
        <f>IF(282.88909="","-",282.88909)</f>
        <v>282.88909</v>
      </c>
      <c r="C119" s="27">
        <f>IF(827.4645="","-",827.4645)</f>
        <v>827.4645</v>
      </c>
      <c r="D119" s="27" t="s">
        <v>235</v>
      </c>
      <c r="E119" s="24"/>
      <c r="F119" s="24"/>
      <c r="G119" s="24"/>
    </row>
    <row r="120" spans="1:7" ht="15.75">
      <c r="A120" s="45" t="s">
        <v>162</v>
      </c>
      <c r="B120" s="27">
        <f>IF(670.25347="","-",670.25347)</f>
        <v>670.25347</v>
      </c>
      <c r="C120" s="27">
        <f>IF(830.40214="","-",830.40214)</f>
        <v>830.40214</v>
      </c>
      <c r="D120" s="27">
        <f>IF(OR(670.25347="",830.40214="",670.25347=0),"-",830.40214/670.25347*100)</f>
        <v>123.8937472416219</v>
      </c>
      <c r="E120" s="1"/>
      <c r="F120" s="1"/>
      <c r="G120" s="1"/>
    </row>
    <row r="121" spans="1:7" ht="15.75">
      <c r="A121" s="45" t="s">
        <v>228</v>
      </c>
      <c r="B121" s="27">
        <f>IF(402.10245="","-",402.10245)</f>
        <v>402.10245</v>
      </c>
      <c r="C121" s="27">
        <f>IF(1034.74032="","-",1034.74032)</f>
        <v>1034.74032</v>
      </c>
      <c r="D121" s="27" t="s">
        <v>198</v>
      </c>
      <c r="E121" s="24"/>
      <c r="F121" s="24"/>
      <c r="G121" s="24"/>
    </row>
    <row r="122" spans="1:7" ht="15.75">
      <c r="A122" s="45" t="s">
        <v>226</v>
      </c>
      <c r="B122" s="27">
        <f>IF(25.81425="","-",25.81425)</f>
        <v>25.81425</v>
      </c>
      <c r="C122" s="27">
        <f>IF(1196.2642="","-",1196.2642)</f>
        <v>1196.2642</v>
      </c>
      <c r="D122" s="27" t="s">
        <v>275</v>
      </c>
      <c r="E122" s="1"/>
      <c r="F122" s="1"/>
      <c r="G122" s="1"/>
    </row>
    <row r="123" spans="1:4" ht="15.75">
      <c r="A123" s="45" t="s">
        <v>242</v>
      </c>
      <c r="B123" s="27">
        <f>IF(159.74442="","-",159.74442)</f>
        <v>159.74442</v>
      </c>
      <c r="C123" s="27">
        <f>IF(1250.87281="","-",1250.87281)</f>
        <v>1250.87281</v>
      </c>
      <c r="D123" s="27" t="s">
        <v>276</v>
      </c>
    </row>
    <row r="124" spans="1:9" ht="15.75">
      <c r="A124" s="45" t="s">
        <v>221</v>
      </c>
      <c r="B124" s="27">
        <f>IF(310.46417="","-",310.46417)</f>
        <v>310.46417</v>
      </c>
      <c r="C124" s="27">
        <f>IF(1868.58385="","-",1868.58385)</f>
        <v>1868.58385</v>
      </c>
      <c r="D124" s="27" t="s">
        <v>277</v>
      </c>
      <c r="E124" s="24"/>
      <c r="F124" s="24"/>
      <c r="G124" s="24"/>
      <c r="H124" s="1"/>
      <c r="I124" s="1"/>
    </row>
    <row r="125" spans="1:4" ht="15.75">
      <c r="A125" s="45" t="s">
        <v>241</v>
      </c>
      <c r="B125" s="27">
        <f>IF(1007.0687="","-",1007.0687)</f>
        <v>1007.0687</v>
      </c>
      <c r="C125" s="27">
        <f>IF(2901.85392="","-",2901.85392)</f>
        <v>2901.85392</v>
      </c>
      <c r="D125" s="27" t="s">
        <v>235</v>
      </c>
    </row>
    <row r="126" spans="1:4" ht="15.75">
      <c r="A126" s="45" t="s">
        <v>148</v>
      </c>
      <c r="B126" s="27">
        <f>IF(4015.80592="","-",4015.80592)</f>
        <v>4015.80592</v>
      </c>
      <c r="C126" s="27">
        <f>IF(3935.38472="","-",3935.38472)</f>
        <v>3935.38472</v>
      </c>
      <c r="D126" s="27">
        <f>IF(OR(4015.80592="",3935.38472="",4015.80592=0),"-",3935.38472/4015.80592*100)</f>
        <v>97.99738329983836</v>
      </c>
    </row>
    <row r="127" spans="1:4" ht="15.75">
      <c r="A127" s="45" t="s">
        <v>146</v>
      </c>
      <c r="B127" s="27">
        <f>IF(5046.5133="","-",5046.5133)</f>
        <v>5046.5133</v>
      </c>
      <c r="C127" s="27">
        <f>IF(4988.01159="","-",4988.01159)</f>
        <v>4988.01159</v>
      </c>
      <c r="D127" s="27">
        <f>IF(OR(5046.5133="",4988.01159="",5046.5133=0),"-",4988.01159/5046.5133*100)</f>
        <v>98.8407499094474</v>
      </c>
    </row>
    <row r="128" spans="1:4" ht="15.75">
      <c r="A128" s="45" t="s">
        <v>143</v>
      </c>
      <c r="B128" s="27">
        <f>IF(9449.61154="","-",9449.61154)</f>
        <v>9449.61154</v>
      </c>
      <c r="C128" s="27">
        <f>IF(7257.08135="","-",7257.08135)</f>
        <v>7257.08135</v>
      </c>
      <c r="D128" s="27">
        <f>IF(OR(9449.61154="",7257.08135="",9449.61154=0),"-",7257.08135/9449.61154*100)</f>
        <v>76.79766855262709</v>
      </c>
    </row>
    <row r="129" spans="1:4" ht="15.75">
      <c r="A129" s="45" t="s">
        <v>206</v>
      </c>
      <c r="B129" s="27">
        <f>IF(14403.5314="","-",14403.5314)</f>
        <v>14403.5314</v>
      </c>
      <c r="C129" s="27">
        <f>IF(10244.37167="","-",10244.37167)</f>
        <v>10244.37167</v>
      </c>
      <c r="D129" s="27">
        <f>IF(OR(14403.5314="",10244.37167="",14403.5314=0),"-",10244.37167/14403.5314*100)</f>
        <v>71.12402775058345</v>
      </c>
    </row>
    <row r="130" spans="1:4" ht="15.75">
      <c r="A130" s="45" t="s">
        <v>202</v>
      </c>
      <c r="B130" s="27">
        <f>IF(-553.40197="","-",-553.40197)</f>
        <v>-553.40197</v>
      </c>
      <c r="C130" s="27">
        <f>IF(10665.47796="","-",10665.47796)</f>
        <v>10665.47796</v>
      </c>
      <c r="D130" s="27" t="s">
        <v>33</v>
      </c>
    </row>
    <row r="131" spans="1:7" s="1" customFormat="1" ht="15.75">
      <c r="A131" s="45" t="s">
        <v>140</v>
      </c>
      <c r="B131" s="27">
        <f>IF(25419.29935="","-",25419.29935)</f>
        <v>25419.29935</v>
      </c>
      <c r="C131" s="27">
        <f>IF(12656.92043="","-",12656.92043)</f>
        <v>12656.92043</v>
      </c>
      <c r="D131" s="27">
        <f>IF(OR(25419.29935="",12656.92043="",25419.29935=0),"-",12656.92043/25419.29935*100)</f>
        <v>49.79256216202513</v>
      </c>
      <c r="E131" s="24"/>
      <c r="F131" s="24"/>
      <c r="G131" s="24"/>
    </row>
    <row r="132" spans="1:7" ht="15.75">
      <c r="A132" s="45" t="s">
        <v>141</v>
      </c>
      <c r="B132" s="27">
        <f>IF(14061.90263="","-",14061.90263)</f>
        <v>14061.90263</v>
      </c>
      <c r="C132" s="27">
        <f>IF(14733.25953="","-",14733.25953)</f>
        <v>14733.25953</v>
      </c>
      <c r="D132" s="27">
        <f>IF(OR(14061.90263="",14733.25953="",14061.90263=0),"-",14733.25953/14061.90263*100)</f>
        <v>104.7742963215213</v>
      </c>
      <c r="E132" s="24"/>
      <c r="F132" s="24"/>
      <c r="G132" s="24"/>
    </row>
    <row r="133" spans="1:7" ht="15.75">
      <c r="A133" s="76" t="s">
        <v>27</v>
      </c>
      <c r="B133" s="76"/>
      <c r="C133" s="76"/>
      <c r="D133" s="76"/>
      <c r="E133" s="24"/>
      <c r="F133" s="24"/>
      <c r="G133" s="24"/>
    </row>
  </sheetData>
  <sheetProtection/>
  <mergeCells count="5">
    <mergeCell ref="A133:D133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K23" sqref="K23"/>
    </sheetView>
  </sheetViews>
  <sheetFormatPr defaultColWidth="9.00390625" defaultRowHeight="15.75"/>
  <cols>
    <col min="1" max="1" width="28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3" t="s">
        <v>115</v>
      </c>
      <c r="B1" s="63"/>
      <c r="C1" s="63"/>
      <c r="D1" s="63"/>
      <c r="E1" s="63"/>
      <c r="F1" s="63"/>
      <c r="G1" s="63"/>
    </row>
    <row r="2" spans="1:7" ht="15.75">
      <c r="A2" s="63" t="s">
        <v>35</v>
      </c>
      <c r="B2" s="63"/>
      <c r="C2" s="63"/>
      <c r="D2" s="63"/>
      <c r="E2" s="63"/>
      <c r="F2" s="63"/>
      <c r="G2" s="63"/>
    </row>
    <row r="3" ht="15.75">
      <c r="A3" s="6"/>
    </row>
    <row r="4" spans="1:7" ht="57" customHeight="1">
      <c r="A4" s="64"/>
      <c r="B4" s="67" t="s">
        <v>254</v>
      </c>
      <c r="C4" s="68"/>
      <c r="D4" s="67" t="s">
        <v>0</v>
      </c>
      <c r="E4" s="68"/>
      <c r="F4" s="69" t="s">
        <v>218</v>
      </c>
      <c r="G4" s="70"/>
    </row>
    <row r="5" spans="1:7" ht="26.25" customHeight="1">
      <c r="A5" s="65"/>
      <c r="B5" s="71" t="s">
        <v>195</v>
      </c>
      <c r="C5" s="73" t="s">
        <v>255</v>
      </c>
      <c r="D5" s="75" t="s">
        <v>256</v>
      </c>
      <c r="E5" s="75"/>
      <c r="F5" s="75" t="s">
        <v>256</v>
      </c>
      <c r="G5" s="67"/>
    </row>
    <row r="6" spans="1:7" ht="26.25" customHeight="1">
      <c r="A6" s="66"/>
      <c r="B6" s="72"/>
      <c r="C6" s="74"/>
      <c r="D6" s="18">
        <v>2016</v>
      </c>
      <c r="E6" s="18">
        <v>2017</v>
      </c>
      <c r="F6" s="18" t="s">
        <v>2</v>
      </c>
      <c r="G6" s="19" t="s">
        <v>186</v>
      </c>
    </row>
    <row r="7" spans="1:7" ht="16.5" customHeight="1">
      <c r="A7" s="7" t="s">
        <v>196</v>
      </c>
      <c r="B7" s="34">
        <f>IF(2192069.6494="","-",2192069.6494)</f>
        <v>2192069.6494</v>
      </c>
      <c r="C7" s="34">
        <f>IF(1851128.77138="","-",2192128.37338/1851128.77138*100)</f>
        <v>118.4211713021881</v>
      </c>
      <c r="D7" s="34">
        <v>100</v>
      </c>
      <c r="E7" s="34">
        <v>100</v>
      </c>
      <c r="F7" s="34">
        <f>IF(1803364.51961="","-",(1851128.77138-1803364.51961)/1803364.51961*100)</f>
        <v>2.648618803941512</v>
      </c>
      <c r="G7" s="34">
        <f>IF(1851128.77138="","-",(2192128.37338-1851128.77138)/1851128.77138*100)</f>
        <v>18.4211713021881</v>
      </c>
    </row>
    <row r="8" spans="1:7" ht="13.5" customHeight="1">
      <c r="A8" s="8" t="s">
        <v>108</v>
      </c>
      <c r="B8" s="28"/>
      <c r="C8" s="28"/>
      <c r="D8" s="28"/>
      <c r="E8" s="28"/>
      <c r="F8" s="28"/>
      <c r="G8" s="28"/>
    </row>
    <row r="9" spans="1:10" ht="13.5" customHeight="1">
      <c r="A9" s="9" t="s">
        <v>36</v>
      </c>
      <c r="B9" s="26">
        <f>IF(545343.66341="","-",545343.66341)</f>
        <v>545343.66341</v>
      </c>
      <c r="C9" s="26">
        <f>IF(444725.41798="","-",545343.66341/444725.41798*100)</f>
        <v>122.6248020378554</v>
      </c>
      <c r="D9" s="26">
        <f>IF(444725.41798="","-",444725.41798/1851128.77138*100)</f>
        <v>24.024553280994123</v>
      </c>
      <c r="E9" s="26">
        <f>IF(545343.66341="","-",545343.66341/2192128.37338*100)</f>
        <v>24.87735983131067</v>
      </c>
      <c r="F9" s="26">
        <f>IF(1803364.51961="","-",(444725.41798-452445.2865)/1803364.51961*100)</f>
        <v>-0.42808142425190204</v>
      </c>
      <c r="G9" s="26">
        <f>IF(1851128.77138="","-",(545343.66341-444725.41798)/1851128.77138*100)</f>
        <v>5.4355076203040165</v>
      </c>
      <c r="J9" s="32"/>
    </row>
    <row r="10" spans="1:10" s="16" customFormat="1" ht="13.5" customHeight="1">
      <c r="A10" s="14" t="s">
        <v>37</v>
      </c>
      <c r="B10" s="27">
        <f>IF(7193.23845="","-",7193.23845)</f>
        <v>7193.23845</v>
      </c>
      <c r="C10" s="27">
        <f>IF(OR(9106.52493="",7193.23845=""),"-",7193.23845/9106.52493*100)</f>
        <v>78.98993859120749</v>
      </c>
      <c r="D10" s="27">
        <f>IF(9106.52493="","-",9106.52493/1851128.77138*100)</f>
        <v>0.49194443254270026</v>
      </c>
      <c r="E10" s="27">
        <f>IF(7193.23845="","-",7193.23845/2192128.37338*100)</f>
        <v>0.32813947108895297</v>
      </c>
      <c r="F10" s="27">
        <f>IF(OR(1803364.51961="",9234.49952="",9106.52493=""),"-",(9106.52493-9234.49952)/1803364.51961*100)</f>
        <v>-0.007096434947476725</v>
      </c>
      <c r="G10" s="27">
        <f>IF(OR(1851128.77138="",7193.23845="",9106.52493=""),"-",(7193.23845-9106.52493)/1851128.77138*100)</f>
        <v>-0.1033578273743572</v>
      </c>
      <c r="J10" s="32"/>
    </row>
    <row r="11" spans="1:10" s="16" customFormat="1" ht="14.25" customHeight="1">
      <c r="A11" s="14" t="s">
        <v>38</v>
      </c>
      <c r="B11" s="27">
        <f>IF(10173.46491="","-",10173.46491)</f>
        <v>10173.46491</v>
      </c>
      <c r="C11" s="27">
        <f>IF(OR(7271.94732="",10173.46491=""),"-",10173.46491/7271.94732*100)</f>
        <v>139.90014589379615</v>
      </c>
      <c r="D11" s="27">
        <f>IF(7271.94732="","-",7271.94732/1851128.77138*100)</f>
        <v>0.39283854437521537</v>
      </c>
      <c r="E11" s="27">
        <f>IF(10173.46491="","-",10173.46491/2192128.37338*100)</f>
        <v>0.46409074548466034</v>
      </c>
      <c r="F11" s="27">
        <f>IF(OR(1803364.51961="",7655.3011="",7271.94732=""),"-",(7271.94732-7655.3011)/1803364.51961*100)</f>
        <v>-0.02125769781047397</v>
      </c>
      <c r="G11" s="27">
        <f>IF(OR(1851128.77138="",10173.46491="",7271.94732=""),"-",(10173.46491-7271.94732)/1851128.77138*100)</f>
        <v>0.1567431523327761</v>
      </c>
      <c r="J11" s="32"/>
    </row>
    <row r="12" spans="1:10" s="16" customFormat="1" ht="15.75">
      <c r="A12" s="14" t="s">
        <v>39</v>
      </c>
      <c r="B12" s="27">
        <f>IF(19068.65656="","-",19068.65656)</f>
        <v>19068.65656</v>
      </c>
      <c r="C12" s="27">
        <f>IF(OR(17702.01722="",19068.65656=""),"-",19068.65656/17702.01722*100)</f>
        <v>107.72024635958408</v>
      </c>
      <c r="D12" s="27">
        <f>IF(17702.01722="","-",17702.01722/1851128.77138*100)</f>
        <v>0.9562823231796729</v>
      </c>
      <c r="E12" s="27">
        <f>IF(19068.65656="","-",19068.65656/2192128.37338*100)</f>
        <v>0.869869520031731</v>
      </c>
      <c r="F12" s="27">
        <f>IF(OR(1803364.51961="",13597.99541="",17702.01722=""),"-",(17702.01722-13597.99541)/1803364.51961*100)</f>
        <v>0.22757583202798887</v>
      </c>
      <c r="G12" s="27">
        <f>IF(OR(1851128.77138="",19068.65656="",17702.01722=""),"-",(19068.65656-17702.01722)/1851128.77138*100)</f>
        <v>0.07382735124262481</v>
      </c>
      <c r="J12" s="32"/>
    </row>
    <row r="13" spans="1:10" s="16" customFormat="1" ht="15.75">
      <c r="A13" s="14" t="s">
        <v>41</v>
      </c>
      <c r="B13" s="27">
        <f>IF(181744.72592="","-",181744.72592)</f>
        <v>181744.72592</v>
      </c>
      <c r="C13" s="27">
        <f>IF(OR(157204.94708="",181744.72592=""),"-",181744.72592/157204.94708*100)</f>
        <v>115.61005508784143</v>
      </c>
      <c r="D13" s="27">
        <f>IF(157204.94708="","-",157204.94708/1851128.77138*100)</f>
        <v>8.492383107567667</v>
      </c>
      <c r="E13" s="27">
        <f>IF(181744.72592="","-",181744.72592/2192128.37338*100)</f>
        <v>8.290788446835865</v>
      </c>
      <c r="F13" s="27">
        <f>IF(OR(1803364.51961="",121198.61844="",157204.94708=""),"-",(157204.94708-121198.61844)/1803364.51961*100)</f>
        <v>1.9966195546415</v>
      </c>
      <c r="G13" s="27">
        <f>IF(OR(1851128.77138="",181744.72592="",157204.94708=""),"-",(181744.72592-157204.94708)/1851128.77138*100)</f>
        <v>1.3256656813618535</v>
      </c>
      <c r="J13" s="32"/>
    </row>
    <row r="14" spans="1:10" s="16" customFormat="1" ht="15" customHeight="1">
      <c r="A14" s="14" t="s">
        <v>42</v>
      </c>
      <c r="B14" s="27">
        <f>IF(262069.08011="","-",262069.08011)</f>
        <v>262069.08011</v>
      </c>
      <c r="C14" s="27">
        <f>IF(OR(178727.92008="",262069.08011=""),"-",262069.08011/178727.92008*100)</f>
        <v>146.63018513990195</v>
      </c>
      <c r="D14" s="27">
        <f>IF(178727.92008="","-",178727.92008/1851128.77138*100)</f>
        <v>9.6550776392914</v>
      </c>
      <c r="E14" s="27">
        <f>IF(262069.08011="","-",262069.08011/2192128.37338*100)</f>
        <v>11.955006070466615</v>
      </c>
      <c r="F14" s="27">
        <f>IF(OR(1803364.51961="",231769.28099="",178727.92008=""),"-",(178727.92008-231769.28099)/1803364.51961*100)</f>
        <v>-2.9412445644361926</v>
      </c>
      <c r="G14" s="27">
        <f>IF(OR(1851128.77138="",262069.08011="",178727.92008=""),"-",(262069.08011-178727.92008)/1851128.77138*100)</f>
        <v>4.502180578602855</v>
      </c>
      <c r="J14" s="32"/>
    </row>
    <row r="15" spans="1:10" s="16" customFormat="1" ht="15.75" customHeight="1">
      <c r="A15" s="14" t="s">
        <v>43</v>
      </c>
      <c r="B15" s="27">
        <f>IF(39477.08667="","-",39477.08667)</f>
        <v>39477.08667</v>
      </c>
      <c r="C15" s="27">
        <f>IF(OR(47678.28672="",39477.08667=""),"-",39477.08667/47678.28672*100)</f>
        <v>82.79887845349154</v>
      </c>
      <c r="D15" s="27">
        <f>IF(47678.28672="","-",47678.28672/1851128.77138*100)</f>
        <v>2.575633173507225</v>
      </c>
      <c r="E15" s="27">
        <f>IF(39477.08667="","-",39477.08667/2192128.37338*100)</f>
        <v>1.8008565168622426</v>
      </c>
      <c r="F15" s="27">
        <f>IF(OR(1803364.51961="",46920.73881="",47678.28672=""),"-",(47678.28672-46920.73881)/1803364.51961*100)</f>
        <v>0.04200747556926666</v>
      </c>
      <c r="G15" s="27">
        <f>IF(OR(1851128.77138="",39477.08667="",47678.28672=""),"-",(39477.08667-47678.28672)/1851128.77138*100)</f>
        <v>-0.44303779276717076</v>
      </c>
      <c r="J15" s="32"/>
    </row>
    <row r="16" spans="1:10" s="16" customFormat="1" ht="25.5">
      <c r="A16" s="14" t="s">
        <v>44</v>
      </c>
      <c r="B16" s="27">
        <f>IF(9200.79664="","-",9200.79664)</f>
        <v>9200.79664</v>
      </c>
      <c r="C16" s="27">
        <f>IF(OR(7550.7682="",9200.79664=""),"-",9200.79664/7550.7682*100)</f>
        <v>121.8524578730943</v>
      </c>
      <c r="D16" s="27">
        <f>IF(7550.7682="","-",7550.7682/1851128.77138*100)</f>
        <v>0.4079007531372855</v>
      </c>
      <c r="E16" s="27">
        <f>IF(9200.79664="","-",9200.79664/2192128.37338*100)</f>
        <v>0.4197197915838055</v>
      </c>
      <c r="F16" s="27">
        <f>IF(OR(1803364.51961="",6499.68682="",7550.7682=""),"-",(7550.7682-6499.68682)/1803364.51961*100)</f>
        <v>0.05828446598402135</v>
      </c>
      <c r="G16" s="27">
        <f>IF(OR(1851128.77138="",9200.79664="",7550.7682=""),"-",(9200.79664-7550.7682)/1851128.77138*100)</f>
        <v>0.08913634024335965</v>
      </c>
      <c r="J16" s="32"/>
    </row>
    <row r="17" spans="1:10" s="16" customFormat="1" ht="25.5">
      <c r="A17" s="14" t="s">
        <v>45</v>
      </c>
      <c r="B17" s="27">
        <f>IF(13732.65768="","-",13732.65768)</f>
        <v>13732.65768</v>
      </c>
      <c r="C17" s="27">
        <f>IF(OR(13879.90453="",13732.65768=""),"-",13732.65768/13879.90453*100)</f>
        <v>98.93913643511206</v>
      </c>
      <c r="D17" s="27">
        <f>IF(13879.90453="","-",13879.90453/1851128.77138*100)</f>
        <v>0.7498076170926053</v>
      </c>
      <c r="E17" s="27">
        <f>IF(13732.65768="","-",13732.65768/2192128.37338*100)</f>
        <v>0.6264531697487171</v>
      </c>
      <c r="F17" s="27">
        <f>IF(OR(1803364.51961="",13788.82006="",13879.90453=""),"-",(13879.90453-13788.82006)/1803364.51961*100)</f>
        <v>0.0050508074773312015</v>
      </c>
      <c r="G17" s="27">
        <f>IF(OR(1851128.77138="",13732.65768="",13879.90453=""),"-",(13732.65768-13879.90453)/1851128.77138*100)</f>
        <v>-0.007954435816489866</v>
      </c>
      <c r="J17" s="32"/>
    </row>
    <row r="18" spans="1:10" s="16" customFormat="1" ht="15.75">
      <c r="A18" s="14" t="s">
        <v>46</v>
      </c>
      <c r="B18" s="27">
        <f>IF(2656.33702="","-",2656.33702)</f>
        <v>2656.33702</v>
      </c>
      <c r="C18" s="27">
        <f>IF(OR(5584.90104="",2656.33702=""),"-",2656.33702/5584.90104*100)</f>
        <v>47.56283058508768</v>
      </c>
      <c r="D18" s="27">
        <f>IF(5584.90104="","-",5584.90104/1851128.77138*100)</f>
        <v>0.3017024599448317</v>
      </c>
      <c r="E18" s="27">
        <f>IF(2656.33702="","-",2656.33702/2192128.37338*100)</f>
        <v>0.1211761615905845</v>
      </c>
      <c r="F18" s="27">
        <f>IF(OR(1803364.51961="",1769.08756="",5584.90104=""),"-",(5584.90104-1769.08756)/1803364.51961*100)</f>
        <v>0.21159413077646758</v>
      </c>
      <c r="G18" s="27">
        <f>IF(OR(1851128.77138="",2656.33702="",5584.90104=""),"-",(2656.33702-5584.90104)/1851128.77138*100)</f>
        <v>-0.15820423005022938</v>
      </c>
      <c r="J18" s="32"/>
    </row>
    <row r="19" spans="1:7" s="16" customFormat="1" ht="15.75">
      <c r="A19" s="15" t="s">
        <v>47</v>
      </c>
      <c r="B19" s="26">
        <f>IF(180412.54765="","-",180412.54765)</f>
        <v>180412.54765</v>
      </c>
      <c r="C19" s="26">
        <f>IF(156696.59564="","-",180412.54765/156696.59564*100)</f>
        <v>115.13495038812829</v>
      </c>
      <c r="D19" s="26">
        <f>IF(156696.59564="","-",156696.59564/1851128.77138*100)</f>
        <v>8.464921407017195</v>
      </c>
      <c r="E19" s="26">
        <f>IF(180412.54765="","-",180412.54765/2192128.37338*100)</f>
        <v>8.230017449745674</v>
      </c>
      <c r="F19" s="26">
        <f>IF(1803364.51961="","-",(156696.59564-151374.91707)/1803364.51961*100)</f>
        <v>0.2950972203418362</v>
      </c>
      <c r="G19" s="26">
        <f>IF(1851128.77138="","-",(180412.54765-156696.59564)/1851128.77138*100)</f>
        <v>1.2811616553461025</v>
      </c>
    </row>
    <row r="20" spans="1:7" s="16" customFormat="1" ht="15.75">
      <c r="A20" s="14" t="s">
        <v>48</v>
      </c>
      <c r="B20" s="27">
        <f>IF(163399.88388="","-",163399.88388)</f>
        <v>163399.88388</v>
      </c>
      <c r="C20" s="27">
        <f>IF(OR(144215.7943="",163399.88388=""),"-",163399.88388/144215.7943*100)</f>
        <v>113.3023499077313</v>
      </c>
      <c r="D20" s="27">
        <f>IF(144215.7943="","-",144215.7943/1851128.77138*100)</f>
        <v>7.790694873835731</v>
      </c>
      <c r="E20" s="27">
        <f>IF(163399.88388="","-",163399.88388/2192128.37338*100)</f>
        <v>7.453937728476044</v>
      </c>
      <c r="F20" s="27">
        <f>IF(OR(1803364.51961="",140056.59344="",144215.7943=""),"-",(144215.7943-140056.59344)/1803364.51961*100)</f>
        <v>0.23063561552710876</v>
      </c>
      <c r="G20" s="27">
        <f>IF(OR(1851128.77138="",163399.88388="",144215.7943=""),"-",(163399.88388-144215.7943)/1851128.77138*100)</f>
        <v>1.0363454923613138</v>
      </c>
    </row>
    <row r="21" spans="1:7" s="16" customFormat="1" ht="15.75">
      <c r="A21" s="14" t="s">
        <v>49</v>
      </c>
      <c r="B21" s="27">
        <f>IF(17012.66377="","-",17012.66377)</f>
        <v>17012.66377</v>
      </c>
      <c r="C21" s="27">
        <f>IF(OR(12480.80134="",17012.66377=""),"-",17012.66377/12480.80134*100)</f>
        <v>136.31066873467276</v>
      </c>
      <c r="D21" s="27">
        <f>IF(12480.80134="","-",12480.80134/1851128.77138*100)</f>
        <v>0.6742265331814639</v>
      </c>
      <c r="E21" s="27">
        <f>IF(17012.66377="","-",17012.66377/2192128.37338*100)</f>
        <v>0.776079721269631</v>
      </c>
      <c r="F21" s="27">
        <f>IF(OR(1803364.51961="",11318.32363="",12480.80134=""),"-",(12480.80134-11318.32363)/1803364.51961*100)</f>
        <v>0.06446160481472706</v>
      </c>
      <c r="G21" s="27">
        <f>IF(OR(1851128.77138="",17012.66377="",12480.80134=""),"-",(17012.66377-12480.80134)/1851128.77138*100)</f>
        <v>0.24481616298478986</v>
      </c>
    </row>
    <row r="22" spans="1:7" s="16" customFormat="1" ht="25.5">
      <c r="A22" s="15" t="s">
        <v>50</v>
      </c>
      <c r="B22" s="26">
        <f>IF(241562.7016="","-",241562.7016)</f>
        <v>241562.7016</v>
      </c>
      <c r="C22" s="26">
        <f>IF(205333.61127="","-",241562.7016/205333.61127*100)</f>
        <v>117.64401361565749</v>
      </c>
      <c r="D22" s="26">
        <f>IF(205333.61127="","-",205333.61127/1851128.77138*100)</f>
        <v>11.092346164385184</v>
      </c>
      <c r="E22" s="26">
        <f>IF(241562.7016="","-",241562.7016/2192128.37338*100)</f>
        <v>11.019550886408135</v>
      </c>
      <c r="F22" s="26">
        <f>IF(1803364.51961="","-",(205333.61127-202833.4065)/1803364.51961*100)</f>
        <v>0.13864112012920618</v>
      </c>
      <c r="G22" s="26">
        <f>IF(1851128.77138="","-",(241562.7016-205333.61127)/1851128.77138*100)</f>
        <v>1.9571350675399821</v>
      </c>
    </row>
    <row r="23" spans="1:8" s="16" customFormat="1" ht="15.75">
      <c r="A23" s="14" t="s">
        <v>51</v>
      </c>
      <c r="B23" s="27">
        <f>IF(3407.04319="","-",3407.04319)</f>
        <v>3407.04319</v>
      </c>
      <c r="C23" s="27">
        <f>IF(OR(3395.29279="",3407.04319=""),"-",3407.04319/3395.29279*100)</f>
        <v>100.34607913740481</v>
      </c>
      <c r="D23" s="27">
        <f>IF(3395.29279="","-",3395.29279/1851128.77138*100)</f>
        <v>0.1834174284627881</v>
      </c>
      <c r="E23" s="27">
        <f>IF(3407.04319="","-",3407.04319/2192128.37338*100)</f>
        <v>0.15542170026962182</v>
      </c>
      <c r="F23" s="27">
        <f>IF(OR(1803364.51961="",3815.31138="",3395.29279=""),"-",(3395.29279-3815.31138)/1803364.51961*100)</f>
        <v>-0.023290831411656828</v>
      </c>
      <c r="G23" s="27">
        <f>IF(OR(1851128.77138="",3407.04319="",3395.29279=""),"-",(3407.04319-3395.29279)/1851128.77138*100)</f>
        <v>0.0006347694542741119</v>
      </c>
      <c r="H23" s="12"/>
    </row>
    <row r="24" spans="1:8" s="16" customFormat="1" ht="15.75">
      <c r="A24" s="14" t="s">
        <v>52</v>
      </c>
      <c r="B24" s="27">
        <f>IF(208023.7419="","-",208023.7419)</f>
        <v>208023.7419</v>
      </c>
      <c r="C24" s="27">
        <f>IF(OR(177176.35137="",208023.7419=""),"-",208023.7419/177176.35137*100)</f>
        <v>117.41055749905411</v>
      </c>
      <c r="D24" s="27">
        <f>IF(177176.35137="","-",177176.35137/1851128.77138*100)</f>
        <v>9.571260201304991</v>
      </c>
      <c r="E24" s="27">
        <f>IF(208023.7419="","-",208023.7419/2192128.37338*100)</f>
        <v>9.489578458366116</v>
      </c>
      <c r="F24" s="27">
        <f>IF(OR(1803364.51961="",162780.59788="",177176.35137=""),"-",(177176.35137-162780.59788)/1803364.51961*100)</f>
        <v>0.7982719707224396</v>
      </c>
      <c r="G24" s="27">
        <f>IF(OR(1851128.77138="",208023.7419="",177176.35137=""),"-",(208023.7419-177176.35137)/1851128.77138*100)</f>
        <v>1.6664097607322883</v>
      </c>
      <c r="H24" s="13"/>
    </row>
    <row r="25" spans="1:8" s="16" customFormat="1" ht="15.75">
      <c r="A25" s="14" t="s">
        <v>54</v>
      </c>
      <c r="B25" s="27">
        <f>IF(553.14083="","-",553.14083)</f>
        <v>553.14083</v>
      </c>
      <c r="C25" s="27">
        <f>IF(OR(1897.8452="",553.14083=""),"-",553.14083/1897.8452*100)</f>
        <v>29.145729588482773</v>
      </c>
      <c r="D25" s="27">
        <f>IF(1897.8452="","-",1897.8452/1851128.77138*100)</f>
        <v>0.10252367254738164</v>
      </c>
      <c r="E25" s="27">
        <f>IF(553.14083="","-",553.14083/2192128.37338*100)</f>
        <v>0.025233049155197196</v>
      </c>
      <c r="F25" s="27">
        <f>IF(OR(1803364.51961="",1884.82455="",1897.8452=""),"-",(1897.8452-1884.82455)/1803364.51961*100)</f>
        <v>0.000722019861121356</v>
      </c>
      <c r="G25" s="27">
        <f>IF(OR(1851128.77138="",553.14083="",1897.8452=""),"-",(553.14083-1897.8452)/1851128.77138*100)</f>
        <v>-0.07264240018254023</v>
      </c>
      <c r="H25" s="13"/>
    </row>
    <row r="26" spans="1:8" s="16" customFormat="1" ht="15.75">
      <c r="A26" s="14" t="s">
        <v>55</v>
      </c>
      <c r="B26" s="27">
        <f>IF(2671.87132="","-",2671.87132)</f>
        <v>2671.87132</v>
      </c>
      <c r="C26" s="27">
        <f>IF(OR(2362.04938="",2671.87132=""),"-",2671.87132/2362.04938*100)</f>
        <v>113.11665804378738</v>
      </c>
      <c r="D26" s="27">
        <f>IF(2362.04938="","-",2362.04938/1851128.77138*100)</f>
        <v>0.12760048984810027</v>
      </c>
      <c r="E26" s="27">
        <f>IF(2671.87132="","-",2671.87132/2192128.37338*100)</f>
        <v>0.12188480165877759</v>
      </c>
      <c r="F26" s="27">
        <f>IF(OR(1803364.51961="",1812.34619="",2362.04938=""),"-",(2362.04938-1812.34619)/1803364.51961*100)</f>
        <v>0.03048208967307841</v>
      </c>
      <c r="G26" s="27">
        <f>IF(OR(1851128.77138="",2671.87132="",2362.04938=""),"-",(2671.87132-2362.04938)/1851128.77138*100)</f>
        <v>0.01673691991557296</v>
      </c>
      <c r="H26" s="13"/>
    </row>
    <row r="27" spans="1:8" s="16" customFormat="1" ht="38.25">
      <c r="A27" s="14" t="s">
        <v>56</v>
      </c>
      <c r="B27" s="27">
        <f>IF(378.634="","-",378.634)</f>
        <v>378.634</v>
      </c>
      <c r="C27" s="27">
        <f>IF(OR(758.73829="",378.634=""),"-",378.634/758.73829*100)</f>
        <v>49.903109542553864</v>
      </c>
      <c r="D27" s="27">
        <f>IF(758.73829="","-",758.73829/1851128.77138*100)</f>
        <v>0.040987871926077155</v>
      </c>
      <c r="E27" s="27">
        <f>IF(378.634="","-",378.634/2192128.37338*100)</f>
        <v>0.017272437353483622</v>
      </c>
      <c r="F27" s="27">
        <f>IF(OR(1803364.51961="",3853.31332="",758.73829=""),"-",(758.73829-3853.31332)/1803364.51961*100)</f>
        <v>-0.17160008397355184</v>
      </c>
      <c r="G27" s="27">
        <f>IF(OR(1851128.77138="",378.634="",758.73829=""),"-",(378.634-758.73829)/1851128.77138*100)</f>
        <v>-0.02053364929964519</v>
      </c>
      <c r="H27" s="13"/>
    </row>
    <row r="28" spans="1:8" s="16" customFormat="1" ht="38.25">
      <c r="A28" s="14" t="s">
        <v>57</v>
      </c>
      <c r="B28" s="27">
        <f>IF(9584.05158="","-",9584.05158)</f>
        <v>9584.05158</v>
      </c>
      <c r="C28" s="27">
        <f>IF(OR(7126.80468="",9584.05158=""),"-",9584.05158/7126.80468*100)</f>
        <v>134.47894267252457</v>
      </c>
      <c r="D28" s="27">
        <f>IF(7126.80468="","-",7126.80468/1851128.77138*100)</f>
        <v>0.3849977802833798</v>
      </c>
      <c r="E28" s="27">
        <f>IF(9584.05158="","-",9584.05158/2192128.37338*100)</f>
        <v>0.4372030258986402</v>
      </c>
      <c r="F28" s="27">
        <f>IF(OR(1803364.51961="",6437.67066="",7126.80468=""),"-",(7126.80468-6437.67066)/1803364.51961*100)</f>
        <v>0.038213794965259396</v>
      </c>
      <c r="G28" s="27">
        <f>IF(OR(1851128.77138="",9584.05158="",7126.80468=""),"-",(9584.05158-7126.80468)/1851128.77138*100)</f>
        <v>0.13274316395439867</v>
      </c>
      <c r="H28" s="13"/>
    </row>
    <row r="29" spans="1:8" s="16" customFormat="1" ht="14.25" customHeight="1">
      <c r="A29" s="14" t="s">
        <v>58</v>
      </c>
      <c r="B29" s="27">
        <f>IF(14033.65336="","-",14033.65336)</f>
        <v>14033.65336</v>
      </c>
      <c r="C29" s="27">
        <f>IF(OR(9945.57743="",14033.65336=""),"-",14033.65336/9945.57743*100)</f>
        <v>141.1044603370003</v>
      </c>
      <c r="D29" s="27">
        <f>IF(9945.57743="","-",9945.57743/1851128.77138*100)</f>
        <v>0.537270965897508</v>
      </c>
      <c r="E29" s="27">
        <f>IF(14033.65336="","-",14033.65336/2192128.37338*100)</f>
        <v>0.6401839203587236</v>
      </c>
      <c r="F29" s="27">
        <f>IF(OR(1803364.51961="",17020.31606="",9945.57743=""),"-",(9945.57743-17020.31606)/1803364.51961*100)</f>
        <v>-0.39230774217128334</v>
      </c>
      <c r="G29" s="27">
        <f>IF(OR(1851128.77138="",14033.65336="",9945.57743=""),"-",(14033.65336-9945.57743)/1851128.77138*100)</f>
        <v>0.22084233107955947</v>
      </c>
      <c r="H29" s="13"/>
    </row>
    <row r="30" spans="1:8" s="16" customFormat="1" ht="25.5">
      <c r="A30" s="14" t="s">
        <v>59</v>
      </c>
      <c r="B30" s="27">
        <f>IF(2910.10117="","-",2910.10117)</f>
        <v>2910.10117</v>
      </c>
      <c r="C30" s="27">
        <f>IF(OR(2554.21342="",2910.10117=""),"-",2910.10117/2554.21342*100)</f>
        <v>113.93335996175291</v>
      </c>
      <c r="D30" s="27">
        <f>IF(2554.21342="","-",2554.21342/1851128.77138*100)</f>
        <v>0.1379814013746789</v>
      </c>
      <c r="E30" s="27">
        <f>IF(2910.10117="","-",2910.10117/2192128.37338*100)</f>
        <v>0.13275231529953568</v>
      </c>
      <c r="F30" s="27">
        <f>IF(OR(1803364.51961="",3240.98485="",2554.21342=""),"-",(2554.21342-3240.98485)/1803364.51961*100)</f>
        <v>-0.038082784846433744</v>
      </c>
      <c r="G30" s="27">
        <f>IF(OR(1851128.77138="",2910.10117="",2554.21342=""),"-",(2910.10117-2554.21342)/1851128.77138*100)</f>
        <v>0.0192254453338051</v>
      </c>
      <c r="H30" s="13"/>
    </row>
    <row r="31" spans="1:8" s="16" customFormat="1" ht="25.5">
      <c r="A31" s="15" t="s">
        <v>60</v>
      </c>
      <c r="B31" s="26">
        <f>IF(16663.55014="","-",16663.55014)</f>
        <v>16663.55014</v>
      </c>
      <c r="C31" s="26" t="s">
        <v>208</v>
      </c>
      <c r="D31" s="26">
        <f>IF(5329.44084="","-",5329.44084/1851128.77138*100)</f>
        <v>0.2879022206557218</v>
      </c>
      <c r="E31" s="26">
        <f>IF(16663.55014="","-",16663.55014/2192128.37338*100)</f>
        <v>0.7601539372580994</v>
      </c>
      <c r="F31" s="26">
        <f>IF(1803364.51961="","-",(5329.44084-9459.92712)/1803364.51961*100)</f>
        <v>-0.22904333733333454</v>
      </c>
      <c r="G31" s="26">
        <f>IF(1851128.77138="","-",(16663.55014-5329.44084)/1851128.77138*100)</f>
        <v>0.6122809755450196</v>
      </c>
      <c r="H31" s="13"/>
    </row>
    <row r="32" spans="1:8" s="16" customFormat="1" ht="25.5">
      <c r="A32" s="14" t="s">
        <v>62</v>
      </c>
      <c r="B32" s="27">
        <f>IF(16643.21771="","-",16643.21771)</f>
        <v>16643.21771</v>
      </c>
      <c r="C32" s="27" t="s">
        <v>208</v>
      </c>
      <c r="D32" s="27">
        <f>IF(5323.3646="","-",5323.3646/1851128.77138*100)</f>
        <v>0.28757397552799524</v>
      </c>
      <c r="E32" s="27">
        <f>IF(16643.21771="","-",16643.21771/2192128.37338*100)</f>
        <v>0.7592264172165315</v>
      </c>
      <c r="F32" s="27">
        <f>IF(OR(1803364.51961="",9390.59608="",5323.3646=""),"-",(5323.3646-9390.59608)/1803364.51961*100)</f>
        <v>-0.2255357381035526</v>
      </c>
      <c r="G32" s="27">
        <f>IF(OR(1851128.77138="",16643.21771="",5323.3646=""),"-",(16643.21771-5323.3646)/1851128.77138*100)</f>
        <v>0.6115108405754587</v>
      </c>
      <c r="H32" s="13"/>
    </row>
    <row r="33" spans="1:7" s="16" customFormat="1" ht="25.5">
      <c r="A33" s="15" t="s">
        <v>65</v>
      </c>
      <c r="B33" s="26">
        <f>IF(43924.6032="","-",43924.6032)</f>
        <v>43924.6032</v>
      </c>
      <c r="C33" s="26">
        <f>IF(44374.40646="","-",43924.6032/44374.40646*100)</f>
        <v>98.98634529251572</v>
      </c>
      <c r="D33" s="26">
        <f>IF(44374.40646="","-",44374.40646/1851128.77138*100)</f>
        <v>2.397153949852947</v>
      </c>
      <c r="E33" s="26">
        <f>IF(43924.6032="","-",43924.6032/2192128.37338*100)</f>
        <v>2.003742286874993</v>
      </c>
      <c r="F33" s="26">
        <f>IF(1803364.51961="","-",(44374.40646-59390.7116)/1803364.51961*100)</f>
        <v>-0.8326827425465523</v>
      </c>
      <c r="G33" s="26">
        <f>IF(1851128.77138="","-",(43924.6032-44374.40646)/1851128.77138*100)</f>
        <v>-0.02429886385832987</v>
      </c>
    </row>
    <row r="34" spans="1:7" s="16" customFormat="1" ht="25.5">
      <c r="A34" s="14" t="s">
        <v>67</v>
      </c>
      <c r="B34" s="27">
        <f>IF(43802.77186="","-",43802.77186)</f>
        <v>43802.77186</v>
      </c>
      <c r="C34" s="27">
        <f>IF(OR(44194.86182="",43802.77186=""),"-",43802.77186/44194.86182*100)</f>
        <v>99.11281550874187</v>
      </c>
      <c r="D34" s="27">
        <f>IF(44194.86182="","-",44194.86182/1851128.77138*100)</f>
        <v>2.3874547521106875</v>
      </c>
      <c r="E34" s="27">
        <f>IF(43802.77186="","-",43802.77186/2192128.37338*100)</f>
        <v>1.9981846132697676</v>
      </c>
      <c r="F34" s="27">
        <f>IF(OR(1803364.51961="",59368.78261="",44194.86182=""),"-",(44194.86182-59368.78261)/1803364.51961*100)</f>
        <v>-0.8414228307697632</v>
      </c>
      <c r="G34" s="27">
        <f>IF(OR(1851128.77138="",43802.77186="",44194.86182=""),"-",(43802.77186-44194.86182)/1851128.77138*100)</f>
        <v>-0.021181128296531092</v>
      </c>
    </row>
    <row r="35" spans="1:7" s="16" customFormat="1" ht="25.5">
      <c r="A35" s="15" t="s">
        <v>69</v>
      </c>
      <c r="B35" s="26">
        <f>IF(119464.43449="","-",119464.43449)</f>
        <v>119464.43449</v>
      </c>
      <c r="C35" s="26">
        <f>IF(103188.4153="","-",119464.43449/103188.4153*100)</f>
        <v>115.77310703210306</v>
      </c>
      <c r="D35" s="26">
        <f>IF(103188.4153="","-",103188.4153/1851128.77138*100)</f>
        <v>5.574351006552285</v>
      </c>
      <c r="E35" s="26">
        <f>IF(119464.43449="","-",119464.43449/2192128.37338*100)</f>
        <v>5.449700662639575</v>
      </c>
      <c r="F35" s="26">
        <f>IF(1803364.51961="","-",(103188.4153-120548.83056)/1803364.51961*100)</f>
        <v>-0.9626681168017219</v>
      </c>
      <c r="G35" s="26">
        <f>IF(1851128.77138="","-",(119464.43449-103188.4153)/1851128.77138*100)</f>
        <v>0.8792483506086062</v>
      </c>
    </row>
    <row r="36" spans="1:7" s="16" customFormat="1" ht="15.75">
      <c r="A36" s="14" t="s">
        <v>70</v>
      </c>
      <c r="B36" s="27">
        <f>IF(21170.53227="","-",21170.53227)</f>
        <v>21170.53227</v>
      </c>
      <c r="C36" s="27">
        <f>IF(OR(15590.35452="",21170.53227=""),"-",21170.53227/15590.35452*100)</f>
        <v>135.7925006954877</v>
      </c>
      <c r="D36" s="27">
        <f>IF(15590.35452="","-",15590.35452/1851128.77138*100)</f>
        <v>0.8422079955235924</v>
      </c>
      <c r="E36" s="27">
        <f>IF(21170.53227="","-",21170.53227/2192128.37338*100)</f>
        <v>0.9657523951189761</v>
      </c>
      <c r="F36" s="27">
        <f>IF(OR(1803364.51961="",5125.25093="",15590.35452=""),"-",(15590.35452-5125.25093)/1803364.51961*100)</f>
        <v>0.5803099415676211</v>
      </c>
      <c r="G36" s="27">
        <f>IF(OR(1851128.77138="",21170.53227="",15590.35452=""),"-",(21170.53227-15590.35452)/1851128.77138*100)</f>
        <v>0.30144730265523484</v>
      </c>
    </row>
    <row r="37" spans="1:7" s="16" customFormat="1" ht="15.75">
      <c r="A37" s="14" t="s">
        <v>71</v>
      </c>
      <c r="B37" s="27">
        <f>IF(1071.69393="","-",1071.69393)</f>
        <v>1071.69393</v>
      </c>
      <c r="C37" s="27">
        <f>IF(OR(839.6269="",1071.69393=""),"-",1071.69393/839.6269*100)</f>
        <v>127.63930383840727</v>
      </c>
      <c r="D37" s="27">
        <f>IF(839.6269="","-",839.6269/1851128.77138*100)</f>
        <v>0.04535756307077792</v>
      </c>
      <c r="E37" s="27">
        <f>IF(1071.69393="","-",1071.69393/2192128.37338*100)</f>
        <v>0.04888828332382634</v>
      </c>
      <c r="F37" s="27">
        <f>IF(OR(1803364.51961="",177.69421="",839.6269=""),"-",(839.6269-177.69421)/1803364.51961*100)</f>
        <v>0.03670542936838699</v>
      </c>
      <c r="G37" s="27">
        <f>IF(OR(1851128.77138="",1071.69393="",839.6269=""),"-",(1071.69393-839.6269)/1851128.77138*100)</f>
        <v>0.01253651467082952</v>
      </c>
    </row>
    <row r="38" spans="1:7" s="16" customFormat="1" ht="15.75">
      <c r="A38" s="14" t="s">
        <v>72</v>
      </c>
      <c r="B38" s="27">
        <f>IF(1095.10871="","-",1095.10871)</f>
        <v>1095.10871</v>
      </c>
      <c r="C38" s="27">
        <f>IF(OR(1340.32981="",1095.10871=""),"-",1095.10871/1340.32981*100)</f>
        <v>81.70442094397646</v>
      </c>
      <c r="D38" s="27">
        <f>IF(1340.32981="","-",1340.32981/1851128.77138*100)</f>
        <v>0.07240608166879692</v>
      </c>
      <c r="E38" s="27">
        <f>IF(1095.10871="","-",1095.10871/2192128.37338*100)</f>
        <v>0.049956413287579195</v>
      </c>
      <c r="F38" s="27">
        <f>IF(OR(1803364.51961="",1063.99355="",1340.32981=""),"-",(1340.32981-1063.99355)/1803364.51961*100)</f>
        <v>0.015323372340704649</v>
      </c>
      <c r="G38" s="27">
        <f>IF(OR(1851128.77138="",1095.10871="",1340.32981=""),"-",(1095.10871-1340.32981)/1851128.77138*100)</f>
        <v>-0.013247111913083703</v>
      </c>
    </row>
    <row r="39" spans="1:7" s="16" customFormat="1" ht="15.75">
      <c r="A39" s="14" t="s">
        <v>73</v>
      </c>
      <c r="B39" s="27">
        <f>IF(58159.12429="","-",58159.12429)</f>
        <v>58159.12429</v>
      </c>
      <c r="C39" s="27">
        <f>IF(OR(43521.51673="",58159.12429=""),"-",58159.12429/43521.51673*100)</f>
        <v>133.63303639165244</v>
      </c>
      <c r="D39" s="27">
        <f>IF(43521.51673="","-",43521.51673/1851128.77138*100)</f>
        <v>2.351079914205812</v>
      </c>
      <c r="E39" s="27">
        <f>IF(58159.12429="","-",58159.12429/2192128.37338*100)</f>
        <v>2.653089344413055</v>
      </c>
      <c r="F39" s="27">
        <f>IF(OR(1803364.51961="",69810.10106="",43521.51673=""),"-",(43521.51673-69810.10106)/1803364.51961*100)</f>
        <v>-1.4577521096891288</v>
      </c>
      <c r="G39" s="27">
        <f>IF(OR(1851128.77138="",58159.12429="",43521.51673=""),"-",(58159.12429-43521.51673)/1851128.77138*100)</f>
        <v>0.7907395631416712</v>
      </c>
    </row>
    <row r="40" spans="1:7" s="16" customFormat="1" ht="38.25">
      <c r="A40" s="14" t="s">
        <v>74</v>
      </c>
      <c r="B40" s="27">
        <f>IF(26891.36164="","-",26891.36164)</f>
        <v>26891.36164</v>
      </c>
      <c r="C40" s="27">
        <f>IF(OR(33191.5735="",26891.36164=""),"-",26891.36164/33191.5735*100)</f>
        <v>81.01864058960628</v>
      </c>
      <c r="D40" s="27">
        <f>IF(33191.5735="","-",33191.5735/1851128.77138*100)</f>
        <v>1.7930450875795083</v>
      </c>
      <c r="E40" s="27">
        <f>IF(26891.36164="","-",26891.36164/2192128.37338*100)</f>
        <v>1.2267238527886364</v>
      </c>
      <c r="F40" s="27">
        <f>IF(OR(1803364.51961="",35989.38964="",33191.5735=""),"-",(33191.5735-35989.38964)/1803364.51961*100)</f>
        <v>-0.15514423787183443</v>
      </c>
      <c r="G40" s="27">
        <f>IF(OR(1851128.77138="",26891.36164="",33191.5735=""),"-",(26891.36164-33191.5735)/1851128.77138*100)</f>
        <v>-0.3403443324638754</v>
      </c>
    </row>
    <row r="41" spans="1:7" s="16" customFormat="1" ht="15.75">
      <c r="A41" s="14" t="s">
        <v>76</v>
      </c>
      <c r="B41" s="27">
        <f>IF(3275.82415="","-",3275.82415)</f>
        <v>3275.82415</v>
      </c>
      <c r="C41" s="27">
        <f>IF(OR(2938.4599="",3275.82415=""),"-",3275.82415/2938.4599*100)</f>
        <v>111.48098873154608</v>
      </c>
      <c r="D41" s="27">
        <f>IF(2938.4599="","-",2938.4599/1851128.77138*100)</f>
        <v>0.15873881630662595</v>
      </c>
      <c r="E41" s="27">
        <f>IF(3275.82415="","-",3275.82415/2192128.37338*100)</f>
        <v>0.14943578075900138</v>
      </c>
      <c r="F41" s="27">
        <f>IF(OR(1803364.51961="",4623.76761="",2938.4599=""),"-",(2938.4599-4623.76761)/1803364.51961*100)</f>
        <v>-0.0934535248793998</v>
      </c>
      <c r="G41" s="27">
        <f>IF(OR(1851128.77138="",3275.82415="",2938.4599=""),"-",(3275.82415-2938.4599)/1851128.77138*100)</f>
        <v>0.01822478561275335</v>
      </c>
    </row>
    <row r="42" spans="1:7" s="16" customFormat="1" ht="15.75">
      <c r="A42" s="14" t="s">
        <v>77</v>
      </c>
      <c r="B42" s="27">
        <f>IF(3156.73742="","-",3156.73742)</f>
        <v>3156.73742</v>
      </c>
      <c r="C42" s="27">
        <f>IF(OR(2846.16163="",3156.73742=""),"-",3156.73742/2846.16163*100)</f>
        <v>110.91209250825294</v>
      </c>
      <c r="D42" s="27">
        <f>IF(2846.16163="","-",2846.16163/1851128.77138*100)</f>
        <v>0.1537527628549694</v>
      </c>
      <c r="E42" s="27">
        <f>IF(3156.73742="","-",3156.73742/2192128.37338*100)</f>
        <v>0.14400331013154527</v>
      </c>
      <c r="F42" s="27">
        <f>IF(OR(1803364.51961="",1752.81228="",2846.16163=""),"-",(2846.16163-1752.81228)/1803364.51961*100)</f>
        <v>0.06062830548737037</v>
      </c>
      <c r="G42" s="27">
        <f>IF(OR(1851128.77138="",3156.73742="",2846.16163=""),"-",(3156.73742-2846.16163)/1851128.77138*100)</f>
        <v>0.016777643716729032</v>
      </c>
    </row>
    <row r="43" spans="1:7" s="16" customFormat="1" ht="15.75">
      <c r="A43" s="14" t="s">
        <v>78</v>
      </c>
      <c r="B43" s="27">
        <f>IF(4589.54205="","-",4589.54205)</f>
        <v>4589.54205</v>
      </c>
      <c r="C43" s="27" t="s">
        <v>215</v>
      </c>
      <c r="D43" s="27">
        <f>IF(2898.94598="","-",2898.94598/1851128.77138*100)</f>
        <v>0.1566042311491308</v>
      </c>
      <c r="E43" s="27">
        <f>IF(4589.54205="","-",4589.54205/2192128.37338*100)</f>
        <v>0.20936465700334303</v>
      </c>
      <c r="F43" s="27">
        <f>IF(OR(1803364.51961="",1926.96015="",2898.94598=""),"-",(2898.94598-1926.96015)/1803364.51961*100)</f>
        <v>0.053898466972734045</v>
      </c>
      <c r="G43" s="27">
        <f>IF(OR(1851128.77138="",4589.54205="",2898.94598=""),"-",(4589.54205-2898.94598)/1851128.77138*100)</f>
        <v>0.09132784796703666</v>
      </c>
    </row>
    <row r="44" spans="1:7" s="16" customFormat="1" ht="25.5">
      <c r="A44" s="15" t="s">
        <v>79</v>
      </c>
      <c r="B44" s="26">
        <f>IF(156807.96481="","-",156807.96481)</f>
        <v>156807.96481</v>
      </c>
      <c r="C44" s="26">
        <f>IF(160036.79927="","-",156807.96481/160036.79927*100)</f>
        <v>97.98244249152185</v>
      </c>
      <c r="D44" s="26">
        <f>IF(160036.79927="","-",160036.79927/1851128.77138*100)</f>
        <v>8.645362858829857</v>
      </c>
      <c r="E44" s="26">
        <f>IF(156807.96481="","-",156807.96481/2192069.6494*100)</f>
        <v>7.153420734278244</v>
      </c>
      <c r="F44" s="26">
        <f>IF(1803364.51961="","-",(160036.79927-124770.60232)/1803364.51961*100)</f>
        <v>1.9555778416682355</v>
      </c>
      <c r="G44" s="26">
        <f>IF(1851128.77138="","-",(156807.96481-160036.79927)/1851128.77138*100)</f>
        <v>-0.1744251674935027</v>
      </c>
    </row>
    <row r="45" spans="1:7" s="16" customFormat="1" ht="15.75">
      <c r="A45" s="14" t="s">
        <v>80</v>
      </c>
      <c r="B45" s="27">
        <f>IF(2202.48558="","-",2202.48558)</f>
        <v>2202.48558</v>
      </c>
      <c r="C45" s="27">
        <f>IF(OR(1767.95303="",2202.48558=""),"-",2202.48558/1767.95303*100)</f>
        <v>124.57828588353392</v>
      </c>
      <c r="D45" s="27">
        <f>IF(1767.95303="","-",1767.95303/1851128.77138*100)</f>
        <v>0.09550675551771619</v>
      </c>
      <c r="E45" s="27">
        <f>IF(2202.48558="","-",2202.48558/2192069.6494*100)</f>
        <v>0.1004751642176539</v>
      </c>
      <c r="F45" s="27">
        <f>IF(OR(1803364.51961="",1354.63264="",1767.95303=""),"-",(1767.95303-1354.63264)/1803364.51961*100)</f>
        <v>0.022919403454238166</v>
      </c>
      <c r="G45" s="27">
        <f>IF(OR(1851128.77138="",2202.48558="",1767.95303=""),"-",(2202.48558-1767.95303)/1851128.77138*100)</f>
        <v>0.023473923409232086</v>
      </c>
    </row>
    <row r="46" spans="1:7" s="16" customFormat="1" ht="15.75">
      <c r="A46" s="14" t="s">
        <v>81</v>
      </c>
      <c r="B46" s="27">
        <f>IF(2025.76551="","-",2025.76551)</f>
        <v>2025.76551</v>
      </c>
      <c r="C46" s="27">
        <f>IF(OR(11681.28238="",2025.76551=""),"-",2025.76551/11681.28238*100)</f>
        <v>17.341978766547033</v>
      </c>
      <c r="D46" s="27">
        <f>IF(11681.28238="","-",11681.28238/1851128.77138*100)</f>
        <v>0.631035644878001</v>
      </c>
      <c r="E46" s="27">
        <f>IF(2025.76551="","-",2025.76551/2192069.6494*100)</f>
        <v>0.09241337338685748</v>
      </c>
      <c r="F46" s="27">
        <f>IF(OR(1803364.51961="",10736.74587="",11681.28238=""),"-",(11681.28238-10736.74587)/1803364.51961*100)</f>
        <v>0.05237634985766869</v>
      </c>
      <c r="G46" s="27">
        <f>IF(OR(1851128.77138="",2025.76551="",11681.28238=""),"-",(2025.76551-11681.28238)/1851128.77138*100)</f>
        <v>-0.521601577333915</v>
      </c>
    </row>
    <row r="47" spans="1:7" s="16" customFormat="1" ht="15.75">
      <c r="A47" s="14" t="s">
        <v>82</v>
      </c>
      <c r="B47" s="27">
        <f>IF(9075.89054="","-",9075.89054)</f>
        <v>9075.89054</v>
      </c>
      <c r="C47" s="27">
        <f>IF(OR(7330.50586="",9075.89054=""),"-",9075.89054/7330.50586*100)</f>
        <v>123.80988042754255</v>
      </c>
      <c r="D47" s="27">
        <f>IF(7330.50586="","-",7330.50586/1851128.77138*100)</f>
        <v>0.3960019407258833</v>
      </c>
      <c r="E47" s="27">
        <f>IF(9075.89054="","-",9075.89054/2192069.6494*100)</f>
        <v>0.4140329456449615</v>
      </c>
      <c r="F47" s="27">
        <f>IF(OR(1803364.51961="",5434.54603="",7330.50586=""),"-",(7330.50586-5434.54603)/1803364.51961*100)</f>
        <v>0.10513458645676496</v>
      </c>
      <c r="G47" s="27">
        <f>IF(OR(1851128.77138="",9075.89054="",7330.50586=""),"-",(9075.89054-7330.50586)/1851128.77138*100)</f>
        <v>0.09428758857758077</v>
      </c>
    </row>
    <row r="48" spans="1:7" s="16" customFormat="1" ht="25.5">
      <c r="A48" s="14" t="s">
        <v>83</v>
      </c>
      <c r="B48" s="27">
        <f>IF(6734.76398="","-",6734.76398)</f>
        <v>6734.76398</v>
      </c>
      <c r="C48" s="27">
        <f>IF(OR(5910.88584="",6734.76398=""),"-",6734.76398/5910.88584*100)</f>
        <v>113.93831926891012</v>
      </c>
      <c r="D48" s="27">
        <f>IF(5910.88584="","-",5910.88584/1851128.77138*100)</f>
        <v>0.3193125152278567</v>
      </c>
      <c r="E48" s="27">
        <f>IF(6734.76398="","-",6734.76398/2192069.6494*100)</f>
        <v>0.3072331201631024</v>
      </c>
      <c r="F48" s="27">
        <f>IF(OR(1803364.51961="",5625.01634="",5910.88584=""),"-",(5910.88584-5625.01634)/1803364.51961*100)</f>
        <v>0.015852008669984402</v>
      </c>
      <c r="G48" s="27">
        <f>IF(OR(1851128.77138="",6734.76398="",5910.88584=""),"-",(6734.76398-5910.88584)/1851128.77138*100)</f>
        <v>0.04450679783804592</v>
      </c>
    </row>
    <row r="49" spans="1:7" s="16" customFormat="1" ht="25.5">
      <c r="A49" s="14" t="s">
        <v>84</v>
      </c>
      <c r="B49" s="27">
        <f>IF(74807.26763="","-",74807.26763)</f>
        <v>74807.26763</v>
      </c>
      <c r="C49" s="27">
        <f>IF(OR(69112.29718="",74807.26763=""),"-",74807.26763/69112.29718*100)</f>
        <v>108.2401695246328</v>
      </c>
      <c r="D49" s="27">
        <f>IF(69112.29718="","-",69112.29718/1851128.77138*100)</f>
        <v>3.733521851560731</v>
      </c>
      <c r="E49" s="27">
        <f>IF(74807.26763="","-",74807.26763/2192069.6494*100)</f>
        <v>3.4126318773892876</v>
      </c>
      <c r="F49" s="27">
        <f>IF(OR(1803364.51961="",47068.94373="",69112.29718=""),"-",(69112.29718-47068.94373)/1803364.51961*100)</f>
        <v>1.222345965571461</v>
      </c>
      <c r="G49" s="27">
        <f>IF(OR(1851128.77138="",74807.26763="",69112.29718=""),"-",(74807.26763-69112.29718)/1851128.77138*100)</f>
        <v>0.3076485298078133</v>
      </c>
    </row>
    <row r="50" spans="1:7" s="16" customFormat="1" ht="15.75">
      <c r="A50" s="14" t="s">
        <v>85</v>
      </c>
      <c r="B50" s="27">
        <f>IF(30685.64353="","-",30685.64353)</f>
        <v>30685.64353</v>
      </c>
      <c r="C50" s="27">
        <f>IF(OR(33117.52388="",30685.64353=""),"-",30685.64353/33117.52388*100)</f>
        <v>92.65681710138772</v>
      </c>
      <c r="D50" s="27">
        <f>IF(33117.52388="","-",33117.52388/1851128.77138*100)</f>
        <v>1.7890448461514206</v>
      </c>
      <c r="E50" s="27">
        <f>IF(30685.64353="","-",30685.64353/2192069.6494*100)</f>
        <v>1.399848017529876</v>
      </c>
      <c r="F50" s="27">
        <f>IF(OR(1803364.51961="",31616.85182="",33117.52388=""),"-",(33117.52388-31616.85182)/1803364.51961*100)</f>
        <v>0.08321512615344899</v>
      </c>
      <c r="G50" s="27">
        <f>IF(OR(1851128.77138="",30685.64353="",33117.52388=""),"-",(30685.64353-33117.52388)/1851128.77138*100)</f>
        <v>-0.13137283519109555</v>
      </c>
    </row>
    <row r="51" spans="1:7" s="16" customFormat="1" ht="15.75">
      <c r="A51" s="14" t="s">
        <v>86</v>
      </c>
      <c r="B51" s="27">
        <f>IF(2890.7831="","-",2890.7831)</f>
        <v>2890.7831</v>
      </c>
      <c r="C51" s="27">
        <f>IF(OR(3125.42658="",2890.7831=""),"-",2890.7831/3125.42658*100)</f>
        <v>92.49243346487442</v>
      </c>
      <c r="D51" s="27">
        <f>IF(3125.42658="","-",3125.42658/1851128.77138*100)</f>
        <v>0.1688389607639247</v>
      </c>
      <c r="E51" s="27">
        <f>IF(2890.7831="","-",2890.7831/2192069.6494*100)</f>
        <v>0.13187460082717936</v>
      </c>
      <c r="F51" s="27">
        <f>IF(OR(1803364.51961="",2284.66188="",3125.42658=""),"-",(3125.42658-2284.66188)/1803364.51961*100)</f>
        <v>0.04662200519403728</v>
      </c>
      <c r="G51" s="27">
        <f>IF(OR(1851128.77138="",2890.7831="",3125.42658=""),"-",(2890.7831-3125.42658)/1851128.77138*100)</f>
        <v>-0.01267569731656621</v>
      </c>
    </row>
    <row r="52" spans="1:7" s="16" customFormat="1" ht="15.75">
      <c r="A52" s="14" t="s">
        <v>87</v>
      </c>
      <c r="B52" s="27">
        <f>IF(3252.1219="","-",3252.1219)</f>
        <v>3252.1219</v>
      </c>
      <c r="C52" s="27" t="s">
        <v>215</v>
      </c>
      <c r="D52" s="27">
        <f>IF(2003.98394="","-",2003.98394/1851128.77138*100)</f>
        <v>0.1082574033197079</v>
      </c>
      <c r="E52" s="27">
        <f>IF(3252.1219="","-",3252.1219/2192069.6494*100)</f>
        <v>0.14835851136801934</v>
      </c>
      <c r="F52" s="27">
        <f>IF(OR(1803364.51961="",3030.93114="",2003.98394=""),"-",(2003.98394-3030.93114)/1803364.51961*100)</f>
        <v>-0.056946179700934234</v>
      </c>
      <c r="G52" s="27">
        <f>IF(OR(1851128.77138="",3252.1219="",2003.98394=""),"-",(3252.1219-2003.98394)/1851128.77138*100)</f>
        <v>0.0674257771418854</v>
      </c>
    </row>
    <row r="53" spans="1:7" s="16" customFormat="1" ht="15.75">
      <c r="A53" s="14" t="s">
        <v>88</v>
      </c>
      <c r="B53" s="27">
        <f>IF(25133.24304="","-",25133.24304)</f>
        <v>25133.24304</v>
      </c>
      <c r="C53" s="27">
        <f>IF(OR(25986.94058="",25133.24304=""),"-",25133.24304/25986.94058*100)</f>
        <v>96.7148978642872</v>
      </c>
      <c r="D53" s="27">
        <f>IF(25986.94058="","-",25986.94058/1851128.77138*100)</f>
        <v>1.4038429406846162</v>
      </c>
      <c r="E53" s="27">
        <f>IF(25133.24304="","-",25133.24304/2192069.6494*100)</f>
        <v>1.146553123751306</v>
      </c>
      <c r="F53" s="27">
        <f>IF(OR(1803364.51961="",17618.27287="",25986.94058=""),"-",(25986.94058-17618.27287)/1803364.51961*100)</f>
        <v>0.46405857601156675</v>
      </c>
      <c r="G53" s="27">
        <f>IF(OR(1851128.77138="",25133.24304="",25986.94058=""),"-",(25133.24304-25986.94058)/1851128.77138*100)</f>
        <v>-0.04611767442648376</v>
      </c>
    </row>
    <row r="54" spans="1:7" s="16" customFormat="1" ht="14.25" customHeight="1">
      <c r="A54" s="15" t="s">
        <v>89</v>
      </c>
      <c r="B54" s="26">
        <f>IF(397894.62962="","-",397894.62962)</f>
        <v>397894.62962</v>
      </c>
      <c r="C54" s="26">
        <f>IF(299937.89682="","-",397894.62962/299937.89682*100)</f>
        <v>132.6590050268927</v>
      </c>
      <c r="D54" s="26">
        <f>IF(299937.89682="","-",299937.89682/1851128.77138*100)</f>
        <v>16.202973097133537</v>
      </c>
      <c r="E54" s="26">
        <f>IF(397894.62962="","-",397894.62962/2192128.37338*100)</f>
        <v>18.151064255716655</v>
      </c>
      <c r="F54" s="26">
        <f>IF(1803364.51961="","-",(299937.89682-290326.89932)/1803364.51961*100)</f>
        <v>0.5329481308681007</v>
      </c>
      <c r="G54" s="26">
        <f>IF(1851128.77138="","-",(397894.62962-299937.89682)/1851128.77138*100)</f>
        <v>5.2917297982989115</v>
      </c>
    </row>
    <row r="55" spans="1:7" s="16" customFormat="1" ht="27.75" customHeight="1">
      <c r="A55" s="14" t="s">
        <v>90</v>
      </c>
      <c r="B55" s="27">
        <f>IF(2965.17733="","-",2965.17733)</f>
        <v>2965.17733</v>
      </c>
      <c r="C55" s="27">
        <f>IF(OR(2271.64124="",2965.17733=""),"-",2965.17733/2271.64124*100)</f>
        <v>130.53017693938327</v>
      </c>
      <c r="D55" s="27">
        <f>IF(2271.64124="","-",2271.64124/1851128.77138*100)</f>
        <v>0.12271654328545234</v>
      </c>
      <c r="E55" s="27">
        <f>IF(2965.17733="","-",2965.17733/2192128.37338*100)</f>
        <v>0.13526476669922624</v>
      </c>
      <c r="F55" s="27">
        <f>IF(OR(1803364.51961="",6156.69982="",2271.64124=""),"-",(2271.64124-6156.69982)/1803364.51961*100)</f>
        <v>-0.21543390355934205</v>
      </c>
      <c r="G55" s="27">
        <f>IF(OR(1851128.77138="",2965.17733="",2271.64124=""),"-",(2965.17733-2271.64124)/1851128.77138*100)</f>
        <v>0.03746557779894345</v>
      </c>
    </row>
    <row r="56" spans="1:7" s="16" customFormat="1" ht="25.5">
      <c r="A56" s="14" t="s">
        <v>91</v>
      </c>
      <c r="B56" s="27">
        <f>IF(9539.20034="","-",9539.20034)</f>
        <v>9539.20034</v>
      </c>
      <c r="C56" s="27">
        <f>IF(OR(9808.30877="",9539.20034=""),"-",9539.20034/9808.30877*100)</f>
        <v>97.25632179501625</v>
      </c>
      <c r="D56" s="27">
        <f>IF(9808.30877="","-",9808.30877/1851128.77138*100)</f>
        <v>0.5298555628136012</v>
      </c>
      <c r="E56" s="27">
        <f>IF(9539.20034="","-",9539.20034/2192128.37338*100)</f>
        <v>0.4351570125107086</v>
      </c>
      <c r="F56" s="27">
        <f>IF(OR(1803364.51961="",9834.13805="",9808.30877=""),"-",(9808.30877-9834.13805)/1803364.51961*100)</f>
        <v>-0.0014322828091120384</v>
      </c>
      <c r="G56" s="27">
        <f>IF(OR(1851128.77138="",9539.20034="",9808.30877=""),"-",(9539.20034-9808.30877)/1851128.77138*100)</f>
        <v>-0.014537531594810787</v>
      </c>
    </row>
    <row r="57" spans="1:7" s="16" customFormat="1" ht="25.5">
      <c r="A57" s="14" t="s">
        <v>92</v>
      </c>
      <c r="B57" s="27">
        <f>IF(1468.2329="","-",1468.2329)</f>
        <v>1468.2329</v>
      </c>
      <c r="C57" s="27">
        <f>IF(OR(1895.5357="",1468.2329=""),"-",1468.2329/1895.5357*100)</f>
        <v>77.45741217113454</v>
      </c>
      <c r="D57" s="27">
        <f>IF(1895.5357="","-",1895.5357/1851128.77138*100)</f>
        <v>0.1023989108324914</v>
      </c>
      <c r="E57" s="27">
        <f>IF(1468.2329="","-",1468.2329/2192128.37338*100)</f>
        <v>0.06697750541571433</v>
      </c>
      <c r="F57" s="27">
        <f>IF(OR(1803364.51961="",2013.64328="",1895.5357=""),"-",(1895.5357-2013.64328)/1803364.51961*100)</f>
        <v>-0.006549290435498993</v>
      </c>
      <c r="G57" s="27">
        <f>IF(OR(1851128.77138="",1468.2329="",1895.5357=""),"-",(1468.2329-1895.5357)/1851128.77138*100)</f>
        <v>-0.023083364410216016</v>
      </c>
    </row>
    <row r="58" spans="1:7" s="16" customFormat="1" ht="39" customHeight="1">
      <c r="A58" s="14" t="s">
        <v>93</v>
      </c>
      <c r="B58" s="27">
        <f>IF(26922.69959="","-",26922.69959)</f>
        <v>26922.69959</v>
      </c>
      <c r="C58" s="27">
        <f>IF(OR(26357.56336="",26922.69959=""),"-",26922.69959/26357.56336*100)</f>
        <v>102.14411409082543</v>
      </c>
      <c r="D58" s="27">
        <f>IF(26357.56336="","-",26357.56336/1851128.77138*100)</f>
        <v>1.4238643884482802</v>
      </c>
      <c r="E58" s="27">
        <f>IF(26922.69959="","-",26922.69959/2192128.37338*100)</f>
        <v>1.2281534200703956</v>
      </c>
      <c r="F58" s="27">
        <f>IF(OR(1803364.51961="",32880.11009="",26357.56336=""),"-",(26357.56336-32880.11009)/1803364.51961*100)</f>
        <v>-0.3616876487849824</v>
      </c>
      <c r="G58" s="27">
        <f>IF(OR(1851128.77138="",26922.69959="",26357.56336=""),"-",(26922.69959-26357.56336)/1851128.77138*100)</f>
        <v>0.03052927698696488</v>
      </c>
    </row>
    <row r="59" spans="1:7" s="16" customFormat="1" ht="27" customHeight="1">
      <c r="A59" s="14" t="s">
        <v>94</v>
      </c>
      <c r="B59" s="27">
        <f>IF(892.36161="","-",892.36161)</f>
        <v>892.36161</v>
      </c>
      <c r="C59" s="27">
        <f>IF(OR(2170.53928="",892.36161=""),"-",892.36161/2170.53928*100)</f>
        <v>41.11243773482874</v>
      </c>
      <c r="D59" s="27">
        <f>IF(2170.53928="","-",2170.53928/1851128.77138*100)</f>
        <v>0.11725490487524982</v>
      </c>
      <c r="E59" s="27">
        <f>IF(892.36161="","-",892.36161/2192128.37338*100)</f>
        <v>0.04070754344664976</v>
      </c>
      <c r="F59" s="27">
        <f>IF(OR(1803364.51961="",815.80184="",2170.53928=""),"-",(2170.53928-815.80184)/1803364.51961*100)</f>
        <v>0.07512277330891365</v>
      </c>
      <c r="G59" s="27">
        <f>IF(OR(1851128.77138="",892.36161="",2170.53928=""),"-",(892.36161-2170.53928)/1851128.77138*100)</f>
        <v>-0.06904855511738009</v>
      </c>
    </row>
    <row r="60" spans="1:7" s="16" customFormat="1" ht="39" customHeight="1">
      <c r="A60" s="14" t="s">
        <v>95</v>
      </c>
      <c r="B60" s="27">
        <f>IF(3536.96559="","-",3536.96559)</f>
        <v>3536.96559</v>
      </c>
      <c r="C60" s="27">
        <f>IF(OR(2819.53845="",3536.96559=""),"-",3536.96559/2819.53845*100)</f>
        <v>125.4448432863187</v>
      </c>
      <c r="D60" s="27">
        <f>IF(2819.53845="","-",2819.53845/1851128.77138*100)</f>
        <v>0.15231454956523954</v>
      </c>
      <c r="E60" s="27">
        <f>IF(3536.96559="","-",3536.96559/2192128.37338*100)</f>
        <v>0.1613484699596503</v>
      </c>
      <c r="F60" s="27">
        <f>IF(OR(1803364.51961="",3642.32244="",2819.53845=""),"-",(2819.53845-3642.32244)/1803364.51961*100)</f>
        <v>-0.045624940551560654</v>
      </c>
      <c r="G60" s="27">
        <f>IF(OR(1851128.77138="",3536.96559="",2819.53845=""),"-",(3536.96559-2819.53845)/1851128.77138*100)</f>
        <v>0.03875619843913745</v>
      </c>
    </row>
    <row r="61" spans="1:7" s="16" customFormat="1" ht="40.5" customHeight="1">
      <c r="A61" s="14" t="s">
        <v>96</v>
      </c>
      <c r="B61" s="27">
        <f>IF(314347.56712="","-",314347.56712)</f>
        <v>314347.56712</v>
      </c>
      <c r="C61" s="27">
        <f>IF(OR(229286.07075="",314347.56712=""),"-",314347.56712/229286.07075*100)</f>
        <v>137.09841426117245</v>
      </c>
      <c r="D61" s="27">
        <f>IF(229286.07075="","-",229286.07075/1851128.77138*100)</f>
        <v>12.386284211825485</v>
      </c>
      <c r="E61" s="27">
        <f>IF(314347.56712="","-",314347.56712/2192128.37338*100)</f>
        <v>14.339833877306814</v>
      </c>
      <c r="F61" s="27">
        <f>IF(OR(1803364.51961="",219487.92226="",229286.07075=""),"-",(229286.07075-219487.92226)/1803364.51961*100)</f>
        <v>0.5433260099915347</v>
      </c>
      <c r="G61" s="27">
        <f>IF(OR(1851128.77138="",314347.56712="",229286.07075=""),"-",(314347.56712-229286.07075)/1851128.77138*100)</f>
        <v>4.59511502846922</v>
      </c>
    </row>
    <row r="62" spans="1:7" s="16" customFormat="1" ht="25.5">
      <c r="A62" s="14" t="s">
        <v>97</v>
      </c>
      <c r="B62" s="27">
        <f>IF(22678.03104="","-",22678.03104)</f>
        <v>22678.03104</v>
      </c>
      <c r="C62" s="27">
        <f>IF(OR(24785.74867="",22678.03104=""),"-",22678.03104/24785.74867*100)</f>
        <v>91.49625190643879</v>
      </c>
      <c r="D62" s="27">
        <f>IF(24785.74867="","-",24785.74867/1851128.77138*100)</f>
        <v>1.3389532404880966</v>
      </c>
      <c r="E62" s="27">
        <f>IF(22678.03104="","-",22678.03104/2192128.37338*100)</f>
        <v>1.0345211218188464</v>
      </c>
      <c r="F62" s="27">
        <f>IF(OR(1803364.51961="",10139.27507="",24785.74867=""),"-",(24785.74867-10139.27507)/1803364.51961*100)</f>
        <v>0.8121748787187786</v>
      </c>
      <c r="G62" s="27">
        <f>IF(OR(1851128.77138="",22678.03104="",24785.74867=""),"-",(22678.03104-24785.74867)/1851128.77138*100)</f>
        <v>-0.11386121066168263</v>
      </c>
    </row>
    <row r="63" spans="1:7" s="16" customFormat="1" ht="15.75">
      <c r="A63" s="14" t="s">
        <v>98</v>
      </c>
      <c r="B63" s="27">
        <f>IF(15544.3941="","-",15544.3941)</f>
        <v>15544.3941</v>
      </c>
      <c r="C63" s="27" t="s">
        <v>279</v>
      </c>
      <c r="D63" s="27">
        <f>IF(542.9506="","-",542.9506/1851128.77138*100)</f>
        <v>0.029330784999642954</v>
      </c>
      <c r="E63" s="27">
        <f>IF(15544.3941="","-",15544.3941/2192128.37338*100)</f>
        <v>0.7091005384886472</v>
      </c>
      <c r="F63" s="27">
        <f>IF(OR(1803364.51961="",5356.98647="",542.9506=""),"-",(542.9506-5356.98647)/1803364.51961*100)</f>
        <v>-0.2669474650106288</v>
      </c>
      <c r="G63" s="27">
        <f>IF(OR(1851128.77138="",15544.3941="",542.9506=""),"-",(15544.3941-542.9506)/1851128.77138*100)</f>
        <v>0.8103943783887362</v>
      </c>
    </row>
    <row r="64" spans="1:7" s="16" customFormat="1" ht="15.75">
      <c r="A64" s="15" t="s">
        <v>99</v>
      </c>
      <c r="B64" s="26">
        <f>IF(489367.62368="","-",489367.62368)</f>
        <v>489367.62368</v>
      </c>
      <c r="C64" s="26">
        <f>IF(431120.13494="","-",489367.62368/431120.13494*100)</f>
        <v>113.51073262864571</v>
      </c>
      <c r="D64" s="26">
        <f>IF(431120.13494="","-",431120.13494/1851128.77138*100)</f>
        <v>23.28958101702475</v>
      </c>
      <c r="E64" s="26">
        <f>IF(489367.62368="","-",489367.62368/2192128.37338*100)</f>
        <v>22.32385792833171</v>
      </c>
      <c r="F64" s="26">
        <f>IF(1803364.51961="","-",(431120.13494-391751.97512)/1803364.51961*100)</f>
        <v>2.183039501548686</v>
      </c>
      <c r="G64" s="26">
        <f>IF(1851128.77138="","-",(489367.62368-431120.13494)/1851128.77138*100)</f>
        <v>3.146593021542041</v>
      </c>
    </row>
    <row r="65" spans="1:7" s="16" customFormat="1" ht="39.75" customHeight="1">
      <c r="A65" s="14" t="s">
        <v>100</v>
      </c>
      <c r="B65" s="27">
        <f>IF(8404.90611="","-",8404.90611)</f>
        <v>8404.90611</v>
      </c>
      <c r="C65" s="27">
        <f>IF(OR(5582.57862="",8404.90611=""),"-",8404.90611/5582.57862*100)</f>
        <v>150.55598285510575</v>
      </c>
      <c r="D65" s="27">
        <f>IF(5582.57862="","-",5582.57862/1851128.77138*100)</f>
        <v>0.3015770002774166</v>
      </c>
      <c r="E65" s="27">
        <f>IF(8404.90611="","-",8404.90611/2192128.37338*100)</f>
        <v>0.38341304332650195</v>
      </c>
      <c r="F65" s="27">
        <f>IF(OR(1803364.51961="",2944.69599="",5582.57862=""),"-",(5582.57862-2944.69599)/1803364.51961*100)</f>
        <v>0.14627561989355733</v>
      </c>
      <c r="G65" s="27">
        <f>IF(OR(1851128.77138="",8404.90611="",5582.57862=""),"-",(8404.90611-5582.57862)/1851128.77138*100)</f>
        <v>0.15246521655519293</v>
      </c>
    </row>
    <row r="66" spans="1:7" s="16" customFormat="1" ht="15.75">
      <c r="A66" s="14" t="s">
        <v>101</v>
      </c>
      <c r="B66" s="27">
        <f>IF(122407.01715="","-",122407.01715)</f>
        <v>122407.01715</v>
      </c>
      <c r="C66" s="27">
        <f>IF(OR(112564.48784="",122407.01715=""),"-",122407.01715/112564.48784*100)</f>
        <v>108.74390271645018</v>
      </c>
      <c r="D66" s="27">
        <f>IF(112564.48784="","-",112564.48784/1851128.77138*100)</f>
        <v>6.080856695673536</v>
      </c>
      <c r="E66" s="27">
        <f>IF(122407.01715="","-",122407.01715/2192128.37338*100)</f>
        <v>5.583934710961431</v>
      </c>
      <c r="F66" s="27">
        <f>IF(OR(1803364.51961="",89304.752="",112564.48784=""),"-",(112564.48784-89304.752)/1803364.51961*100)</f>
        <v>1.2897966876397353</v>
      </c>
      <c r="G66" s="27">
        <f>IF(OR(1851128.77138="",122407.01715="",112564.48784=""),"-",(122407.01715-112564.48784)/1851128.77138*100)</f>
        <v>0.5317041937964413</v>
      </c>
    </row>
    <row r="67" spans="1:7" s="16" customFormat="1" ht="15.75">
      <c r="A67" s="14" t="s">
        <v>102</v>
      </c>
      <c r="B67" s="27">
        <f>IF(11107.94423="","-",11107.94423)</f>
        <v>11107.94423</v>
      </c>
      <c r="C67" s="27">
        <f>IF(OR(13369.81107="",11107.94423=""),"-",11107.94423/13369.81107*100)</f>
        <v>83.08228270274279</v>
      </c>
      <c r="D67" s="27">
        <f>IF(13369.81107="","-",13369.81107/1851128.77138*100)</f>
        <v>0.7222518107172482</v>
      </c>
      <c r="E67" s="27">
        <f>IF(11107.94423="","-",11107.94423/2192128.37338*100)</f>
        <v>0.5067196047863236</v>
      </c>
      <c r="F67" s="27">
        <f>IF(OR(1803364.51961="",14178.63704="",13369.81107=""),"-",(13369.81107-14178.63704)/1803364.51961*100)</f>
        <v>-0.044850941737221185</v>
      </c>
      <c r="G67" s="27">
        <f>IF(OR(1851128.77138="",11107.94423="",13369.81107=""),"-",(11107.94423-13369.81107)/1851128.77138*100)</f>
        <v>-0.12218851951146537</v>
      </c>
    </row>
    <row r="68" spans="1:7" s="16" customFormat="1" ht="15.75">
      <c r="A68" s="14" t="s">
        <v>103</v>
      </c>
      <c r="B68" s="27">
        <f>IF(253824.31383="","-",253824.31383)</f>
        <v>253824.31383</v>
      </c>
      <c r="C68" s="27">
        <f>IF(OR(222862.92833="",253824.31383=""),"-",253824.31383/222862.92833*100)</f>
        <v>113.89256873361842</v>
      </c>
      <c r="D68" s="27">
        <f>IF(222862.92833="","-",222862.92833/1851128.77138*100)</f>
        <v>12.039299036115011</v>
      </c>
      <c r="E68" s="27">
        <f>IF(253824.31383="","-",253824.31383/2192128.37338*100)</f>
        <v>11.57889824849232</v>
      </c>
      <c r="F68" s="27">
        <f>IF(OR(1803364.51961="",211060.05874="",222862.92833=""),"-",(222862.92833-211060.05874)/1803364.51961*100)</f>
        <v>0.6544916161793237</v>
      </c>
      <c r="G68" s="27">
        <f>IF(OR(1851128.77138="",253824.31383="",222862.92833=""),"-",(253824.31383-222862.92833)/1851128.77138*100)</f>
        <v>1.6725678936381376</v>
      </c>
    </row>
    <row r="69" spans="1:7" s="16" customFormat="1" ht="14.25" customHeight="1">
      <c r="A69" s="14" t="s">
        <v>104</v>
      </c>
      <c r="B69" s="27">
        <f>IF(30361.8205="","-",30361.8205)</f>
        <v>30361.8205</v>
      </c>
      <c r="C69" s="27">
        <f>IF(OR(26165.30778="",30361.8205=""),"-",30361.8205/26165.30778*100)</f>
        <v>116.03846113825458</v>
      </c>
      <c r="D69" s="27">
        <f>IF(26165.30778="","-",26165.30778/1851128.77138*100)</f>
        <v>1.413478531830824</v>
      </c>
      <c r="E69" s="27">
        <f>IF(30361.8205="","-",30361.8205/2192128.37338*100)</f>
        <v>1.3850384342768076</v>
      </c>
      <c r="F69" s="27">
        <f>IF(OR(1803364.51961="",21516.30348="",26165.30778=""),"-",(26165.30778-21516.30348)/1803364.51961*100)</f>
        <v>0.2577961498879553</v>
      </c>
      <c r="G69" s="27">
        <f>IF(OR(1851128.77138="",30361.8205="",26165.30778=""),"-",(30361.8205-26165.30778)/1851128.77138*100)</f>
        <v>0.22670020502525817</v>
      </c>
    </row>
    <row r="70" spans="1:7" ht="27.75" customHeight="1">
      <c r="A70" s="8" t="s">
        <v>109</v>
      </c>
      <c r="B70" s="27">
        <f>IF(21571.93192="","-",21571.93192)</f>
        <v>21571.93192</v>
      </c>
      <c r="C70" s="27">
        <f>IF(OR(22338.7718="",21571.93192=""),"-",21571.93192/22338.7718*100)</f>
        <v>96.56722452395525</v>
      </c>
      <c r="D70" s="27">
        <f>IF(22338.7718="","-",22338.7718/1851128.77138*100)</f>
        <v>1.2067648747821387</v>
      </c>
      <c r="E70" s="27">
        <f>IF(21571.93192="","-",21571.93192/2192128.37338*100)</f>
        <v>0.9840633505755259</v>
      </c>
      <c r="F70" s="27">
        <f>IF(OR(1803364.51961="",21577.10549="",22338.7718=""),"-",(22338.7718-21577.10549)/1803364.51961*100)</f>
        <v>0.04223584869933654</v>
      </c>
      <c r="G70" s="27">
        <f>IF(OR(1851128.77138="",21571.93192="",22338.7718=""),"-",(21571.93192-22338.7718)/1851128.77138*100)</f>
        <v>-0.04142552867504335</v>
      </c>
    </row>
    <row r="71" spans="1:7" ht="25.5">
      <c r="A71" s="10" t="s">
        <v>106</v>
      </c>
      <c r="B71" s="27">
        <f>IF(2729.64561="","-",2729.64561)</f>
        <v>2729.64561</v>
      </c>
      <c r="C71" s="27">
        <f>IF(OR(1810.77524="",2729.64561=""),"-",2729.64561/1810.77524*100)</f>
        <v>150.74458440242424</v>
      </c>
      <c r="D71" s="27">
        <f>IF(1810.77524="","-",1810.77524/1851128.77138*100)</f>
        <v>0.09782005811784142</v>
      </c>
      <c r="E71" s="27">
        <f>IF(2729.64561="","-",2729.64561/2192128.37338*100)</f>
        <v>0.1245203357224565</v>
      </c>
      <c r="F71" s="27">
        <f>IF(OR(1803364.51961="",1603.7175="",1810.77524=""),"-",(1810.77524-1603.7175)/1803364.51961*100)</f>
        <v>0.0114817463551284</v>
      </c>
      <c r="G71" s="27">
        <f>IF(OR(1851128.77138="",2729.64561="",1810.77524=""),"-",(2729.64561-1810.77524)/1851128.77138*100)</f>
        <v>0.04963838195410848</v>
      </c>
    </row>
    <row r="72" spans="1:7" ht="15.75">
      <c r="A72" s="11" t="s">
        <v>107</v>
      </c>
      <c r="B72" s="27">
        <f>IF(38960.04433="","-",38960.04433)</f>
        <v>38960.04433</v>
      </c>
      <c r="C72" s="27">
        <f>IF(OR(26425.47426="",38960.04433=""),"-",38960.04433/26425.47426*100)</f>
        <v>147.4336617260772</v>
      </c>
      <c r="D72" s="27">
        <f>IF(26425.47426="","-",26425.47426/1851128.77138*100)</f>
        <v>1.4275330095107346</v>
      </c>
      <c r="E72" s="27">
        <f>IF(38960.04433="","-",38960.04433/2192128.37338*100)</f>
        <v>1.7772702001903413</v>
      </c>
      <c r="F72" s="27">
        <f>IF(OR(1803364.51961="",29566.70488="",26425.47426=""),"-",(26425.47426-29566.70488)/1803364.51961*100)</f>
        <v>-0.17418722536913014</v>
      </c>
      <c r="G72" s="27">
        <f>IF(OR(1851128.77138="",38960.04433="",26425.47426=""),"-",(38960.04433-26425.47426)/1851128.77138*100)</f>
        <v>0.6771311787594111</v>
      </c>
    </row>
    <row r="73" spans="1:7" ht="15.75">
      <c r="A73" s="79" t="s">
        <v>27</v>
      </c>
      <c r="B73" s="79"/>
      <c r="C73" s="79"/>
      <c r="D73" s="79"/>
      <c r="E73" s="79"/>
      <c r="F73" s="79"/>
      <c r="G73" s="79"/>
    </row>
    <row r="74" spans="2:7" ht="15.7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J10" sqref="J10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3" t="s">
        <v>116</v>
      </c>
      <c r="B1" s="63"/>
      <c r="C1" s="63"/>
      <c r="D1" s="63"/>
      <c r="E1" s="63"/>
      <c r="F1" s="63"/>
      <c r="G1" s="63"/>
    </row>
    <row r="2" spans="1:7" ht="15.75">
      <c r="A2" s="63" t="s">
        <v>35</v>
      </c>
      <c r="B2" s="63"/>
      <c r="C2" s="63"/>
      <c r="D2" s="63"/>
      <c r="E2" s="63"/>
      <c r="F2" s="63"/>
      <c r="G2" s="63"/>
    </row>
    <row r="3" ht="15.75">
      <c r="A3" s="5"/>
    </row>
    <row r="4" spans="1:7" ht="55.5" customHeight="1">
      <c r="A4" s="64"/>
      <c r="B4" s="67" t="s">
        <v>254</v>
      </c>
      <c r="C4" s="68"/>
      <c r="D4" s="67" t="s">
        <v>0</v>
      </c>
      <c r="E4" s="68"/>
      <c r="F4" s="69" t="s">
        <v>219</v>
      </c>
      <c r="G4" s="70"/>
    </row>
    <row r="5" spans="1:7" ht="27" customHeight="1">
      <c r="A5" s="65"/>
      <c r="B5" s="71" t="s">
        <v>195</v>
      </c>
      <c r="C5" s="73" t="s">
        <v>255</v>
      </c>
      <c r="D5" s="75" t="s">
        <v>256</v>
      </c>
      <c r="E5" s="75"/>
      <c r="F5" s="75" t="s">
        <v>256</v>
      </c>
      <c r="G5" s="67"/>
    </row>
    <row r="6" spans="1:7" ht="27" customHeight="1">
      <c r="A6" s="66"/>
      <c r="B6" s="72"/>
      <c r="C6" s="74"/>
      <c r="D6" s="18">
        <v>2016</v>
      </c>
      <c r="E6" s="18">
        <v>2017</v>
      </c>
      <c r="F6" s="18" t="s">
        <v>2</v>
      </c>
      <c r="G6" s="19" t="s">
        <v>186</v>
      </c>
    </row>
    <row r="7" spans="1:7" ht="15.75">
      <c r="A7" s="7" t="s">
        <v>197</v>
      </c>
      <c r="B7" s="34">
        <f>IF(4359977.4969="","-",4359977.4969)</f>
        <v>4359977.4969</v>
      </c>
      <c r="C7" s="34">
        <f>IF(3628984.82886="","-",4359977.4969/3628984.82886*100)</f>
        <v>120.14317233366975</v>
      </c>
      <c r="D7" s="34">
        <v>100</v>
      </c>
      <c r="E7" s="34">
        <v>100</v>
      </c>
      <c r="F7" s="34">
        <f>IF(3634169.64824="","-",(3628984.82886-3634169.64824)/3634169.64824*100)</f>
        <v>-0.14266861159085406</v>
      </c>
      <c r="G7" s="34">
        <f>IF(3628984.82886="","-",(4359977.4969-3628984.82886)/3628984.82886*100)</f>
        <v>20.14317233366975</v>
      </c>
    </row>
    <row r="8" spans="1:7" ht="12" customHeight="1">
      <c r="A8" s="8" t="s">
        <v>110</v>
      </c>
      <c r="B8" s="28"/>
      <c r="C8" s="28"/>
      <c r="D8" s="28"/>
      <c r="E8" s="28"/>
      <c r="F8" s="28"/>
      <c r="G8" s="28"/>
    </row>
    <row r="9" spans="1:7" ht="12.75" customHeight="1">
      <c r="A9" s="9" t="s">
        <v>36</v>
      </c>
      <c r="B9" s="26">
        <f>IF(453072.97269="","-",453072.97269)</f>
        <v>453072.97269</v>
      </c>
      <c r="C9" s="26">
        <f>IF(391650.13229="","-",453072.97269/391650.13229*100)</f>
        <v>115.68308940452982</v>
      </c>
      <c r="D9" s="26">
        <f>IF(391650.13229="","-",391650.13229/3628984.82886*100)</f>
        <v>10.792278027049013</v>
      </c>
      <c r="E9" s="26">
        <f>IF(453072.97269="","-",453072.97269/4359977.4969*100)</f>
        <v>10.391635576379482</v>
      </c>
      <c r="F9" s="26">
        <f>IF(3634169.64824="","-",(391650.13229-382963.78734)/3634169.64824*100)</f>
        <v>0.239018697275366</v>
      </c>
      <c r="G9" s="26">
        <f>IF(3628984.82886="","-",(453072.97269-391650.13229)/3628984.82886*100)</f>
        <v>1.6925626117675248</v>
      </c>
    </row>
    <row r="10" spans="1:7" ht="14.25" customHeight="1">
      <c r="A10" s="8" t="s">
        <v>37</v>
      </c>
      <c r="B10" s="27">
        <f>IF(6073.31632="","-",6073.31632)</f>
        <v>6073.31632</v>
      </c>
      <c r="C10" s="27">
        <f>IF(OR(6404.71392="",6073.31632=""),"-",6073.31632/6404.71392*100)</f>
        <v>94.82572361327264</v>
      </c>
      <c r="D10" s="27">
        <f>IF(6404.71392="","-",6404.71392/3628984.82886*100)</f>
        <v>0.1764877568257005</v>
      </c>
      <c r="E10" s="27">
        <f>IF(6073.31632="","-",6073.31632/4359977.4969*100)</f>
        <v>0.13929696481961676</v>
      </c>
      <c r="F10" s="27">
        <f>IF(OR(3634169.64824="",7622.7282="",6404.71392=""),"-",(6404.71392-7622.7282)/3634169.64824*100)</f>
        <v>-0.03351561423638751</v>
      </c>
      <c r="G10" s="27">
        <f>IF(OR(3628984.82886="",6073.31632="",6404.71392=""),"-",(6073.31632-6404.71392)/3628984.82886*100)</f>
        <v>-0.009131964326897024</v>
      </c>
    </row>
    <row r="11" spans="1:7" s="16" customFormat="1" ht="13.5" customHeight="1">
      <c r="A11" s="14" t="s">
        <v>38</v>
      </c>
      <c r="B11" s="27">
        <f>IF(33840.99998="","-",33840.99998)</f>
        <v>33840.99998</v>
      </c>
      <c r="C11" s="27">
        <f>IF(OR(23030.71673="",33840.99998=""),"-",33840.99998/23030.71673*100)</f>
        <v>146.93854462600567</v>
      </c>
      <c r="D11" s="27">
        <f>IF(23030.71673="","-",23030.71673/3628984.82886*100)</f>
        <v>0.6346324885914393</v>
      </c>
      <c r="E11" s="27">
        <f>IF(33840.99998="","-",33840.99998/4359977.4969*100)</f>
        <v>0.7761737303474935</v>
      </c>
      <c r="F11" s="27">
        <f>IF(OR(3634169.64824="",25560.79776="",23030.71673=""),"-",(23030.71673-25560.79776)/3634169.64824*100)</f>
        <v>-0.06961923286177077</v>
      </c>
      <c r="G11" s="27">
        <f>IF(OR(3628984.82886="",33840.99998="",23030.71673=""),"-",(33840.99998-23030.71673)/3628984.82886*100)</f>
        <v>0.29788725386862297</v>
      </c>
    </row>
    <row r="12" spans="1:7" s="16" customFormat="1" ht="13.5" customHeight="1">
      <c r="A12" s="14" t="s">
        <v>39</v>
      </c>
      <c r="B12" s="27">
        <f>IF(46012.68183="","-",46012.68183)</f>
        <v>46012.68183</v>
      </c>
      <c r="C12" s="27">
        <f>IF(OR(36207.69268="",46012.68183=""),"-",46012.68183/36207.69268*100)</f>
        <v>127.07985078379758</v>
      </c>
      <c r="D12" s="27">
        <f>IF(36207.69268="","-",36207.69268/3628984.82886*100)</f>
        <v>0.9977361269756035</v>
      </c>
      <c r="E12" s="27">
        <f>IF(46012.68183="","-",46012.68183/4359977.4969*100)</f>
        <v>1.0553421861171441</v>
      </c>
      <c r="F12" s="27">
        <f>IF(OR(3634169.64824="",30987.14879="",36207.69268=""),"-",(36207.69268-30987.14879)/3634169.64824*100)</f>
        <v>0.1436516287160196</v>
      </c>
      <c r="G12" s="27">
        <f>IF(OR(3628984.82886="",46012.68183="",36207.69268=""),"-",(46012.68183-36207.69268)/3628984.82886*100)</f>
        <v>0.2701854544010347</v>
      </c>
    </row>
    <row r="13" spans="1:7" s="16" customFormat="1" ht="14.25" customHeight="1">
      <c r="A13" s="14" t="s">
        <v>40</v>
      </c>
      <c r="B13" s="27">
        <f>IF(41655.32543="","-",41655.32543)</f>
        <v>41655.32543</v>
      </c>
      <c r="C13" s="27">
        <f>IF(OR(38592.79602="",41655.32543=""),"-",41655.32543/38592.79602*100)</f>
        <v>107.93549502972756</v>
      </c>
      <c r="D13" s="27">
        <f>IF(38592.79602="","-",38592.79602/3628984.82886*100)</f>
        <v>1.0634598335348635</v>
      </c>
      <c r="E13" s="27">
        <f>IF(41655.32543="","-",41655.32543/4359977.4969*100)</f>
        <v>0.9554023033288009</v>
      </c>
      <c r="F13" s="27">
        <f>IF(OR(3634169.64824="",31681.76951="",38592.79602=""),"-",(38592.79602-31681.76951)/3634169.64824*100)</f>
        <v>0.19016796624634624</v>
      </c>
      <c r="G13" s="27">
        <f>IF(OR(3628984.82886="",41655.32543="",38592.79602=""),"-",(41655.32543-38592.79602)/3628984.82886*100)</f>
        <v>0.08439080223330807</v>
      </c>
    </row>
    <row r="14" spans="1:7" s="16" customFormat="1" ht="15" customHeight="1">
      <c r="A14" s="14" t="s">
        <v>41</v>
      </c>
      <c r="B14" s="27">
        <f>IF(59554.93819="","-",59554.93819)</f>
        <v>59554.93819</v>
      </c>
      <c r="C14" s="27">
        <f>IF(OR(53479.73242="",59554.93819=""),"-",59554.93819/53479.73242*100)</f>
        <v>111.3598282846457</v>
      </c>
      <c r="D14" s="27">
        <f>IF(53479.73242="","-",53479.73242/3628984.82886*100)</f>
        <v>1.473682997919834</v>
      </c>
      <c r="E14" s="27">
        <f>IF(59554.93819="","-",59554.93819/4359977.4969*100)</f>
        <v>1.3659459993163803</v>
      </c>
      <c r="F14" s="27">
        <f>IF(OR(3634169.64824="",52803.34045="",53479.73242=""),"-",(53479.73242-52803.34045)/3634169.64824*100)</f>
        <v>0.018612008669643923</v>
      </c>
      <c r="G14" s="27">
        <f>IF(OR(3628984.82886="",59554.93819="",53479.73242=""),"-",(59554.93819-53479.73242)/3628984.82886*100)</f>
        <v>0.1674078580237121</v>
      </c>
    </row>
    <row r="15" spans="1:7" s="16" customFormat="1" ht="14.25" customHeight="1">
      <c r="A15" s="14" t="s">
        <v>42</v>
      </c>
      <c r="B15" s="27">
        <f>IF(93345.52389="","-",93345.52389)</f>
        <v>93345.52389</v>
      </c>
      <c r="C15" s="27">
        <f>IF(OR(82123.38743="",93345.52389=""),"-",93345.52389/82123.38743*100)</f>
        <v>113.66497024926727</v>
      </c>
      <c r="D15" s="27">
        <f>IF(82123.38743="","-",82123.38743/3628984.82886*100)</f>
        <v>2.2629851405523245</v>
      </c>
      <c r="E15" s="27">
        <f>IF(93345.52389="","-",93345.52389/4359977.4969*100)</f>
        <v>2.1409634328702354</v>
      </c>
      <c r="F15" s="27">
        <f>IF(OR(3634169.64824="",103365.85584="",82123.38743=""),"-",(82123.38743-103365.85584)/3634169.64824*100)</f>
        <v>-0.5845205498397017</v>
      </c>
      <c r="G15" s="27">
        <f>IF(OR(3628984.82886="",93345.52389="",82123.38743=""),"-",(93345.52389-82123.38743)/3628984.82886*100)</f>
        <v>0.3092362462018142</v>
      </c>
    </row>
    <row r="16" spans="1:7" s="16" customFormat="1" ht="14.25" customHeight="1">
      <c r="A16" s="14" t="s">
        <v>43</v>
      </c>
      <c r="B16" s="27">
        <f>IF(33032.15513="","-",33032.15513)</f>
        <v>33032.15513</v>
      </c>
      <c r="C16" s="27">
        <f>IF(OR(22842.81925="",33032.15513=""),"-",33032.15513/22842.81925*100)</f>
        <v>144.60629735972717</v>
      </c>
      <c r="D16" s="27">
        <f>IF(22842.81925="","-",22842.81925/3628984.82886*100)</f>
        <v>0.6294548014733858</v>
      </c>
      <c r="E16" s="27">
        <f>IF(33032.15513="","-",33032.15513/4359977.4969*100)</f>
        <v>0.7576221472126012</v>
      </c>
      <c r="F16" s="27">
        <f>IF(OR(3634169.64824="",12232.43659="",22842.81925=""),"-",(22842.81925-12232.43659)/3634169.64824*100)</f>
        <v>0.2919616772744367</v>
      </c>
      <c r="G16" s="27">
        <f>IF(OR(3628984.82886="",33032.15513="",22842.81925=""),"-",(33032.15513-22842.81925)/3628984.82886*100)</f>
        <v>0.28077648049029874</v>
      </c>
    </row>
    <row r="17" spans="1:7" s="16" customFormat="1" ht="25.5">
      <c r="A17" s="14" t="s">
        <v>44</v>
      </c>
      <c r="B17" s="27">
        <f>IF(46568.90815="","-",46568.90815)</f>
        <v>46568.90815</v>
      </c>
      <c r="C17" s="27">
        <f>IF(OR(42648.85081="",46568.90815=""),"-",46568.90815/42648.85081*100)</f>
        <v>109.19147237393054</v>
      </c>
      <c r="D17" s="27">
        <f>IF(42648.85081="","-",42648.85081/3628984.82886*100)</f>
        <v>1.17522813737961</v>
      </c>
      <c r="E17" s="27">
        <f>IF(46568.90815="","-",46568.90815/4359977.4969*100)</f>
        <v>1.0680997363658664</v>
      </c>
      <c r="F17" s="27">
        <f>IF(OR(3634169.64824="",39023.32505="",42648.85081=""),"-",(42648.85081-39023.32505)/3634169.64824*100)</f>
        <v>0.09976214956711825</v>
      </c>
      <c r="G17" s="27">
        <f>IF(OR(3628984.82886="",46568.90815="",42648.85081=""),"-",(46568.90815-42648.85081)/3628984.82886*100)</f>
        <v>0.10802076957790525</v>
      </c>
    </row>
    <row r="18" spans="1:7" s="16" customFormat="1" ht="25.5">
      <c r="A18" s="14" t="s">
        <v>45</v>
      </c>
      <c r="B18" s="27">
        <f>IF(28649.36096="","-",28649.36096)</f>
        <v>28649.36096</v>
      </c>
      <c r="C18" s="27">
        <f>IF(OR(24648.28882="",28649.36096=""),"-",28649.36096/24648.28882*100)</f>
        <v>116.23265683560746</v>
      </c>
      <c r="D18" s="27">
        <f>IF(24648.28882="","-",24648.28882/3628984.82886*100)</f>
        <v>0.6792061687329498</v>
      </c>
      <c r="E18" s="27">
        <f>IF(28649.36096="","-",28649.36096/4359977.4969*100)</f>
        <v>0.6570988263212383</v>
      </c>
      <c r="F18" s="27">
        <f>IF(OR(3634169.64824="",22674.47355="",24648.28882=""),"-",(24648.28882-22674.47355)/3634169.64824*100)</f>
        <v>0.05431268930870924</v>
      </c>
      <c r="G18" s="27">
        <f>IF(OR(3628984.82886="",28649.36096="",24648.28882=""),"-",(28649.36096-24648.28882)/3628984.82886*100)</f>
        <v>0.11025320657669674</v>
      </c>
    </row>
    <row r="19" spans="1:7" s="16" customFormat="1" ht="13.5" customHeight="1">
      <c r="A19" s="14" t="s">
        <v>46</v>
      </c>
      <c r="B19" s="27">
        <f>IF(64339.76281="","-",64339.76281)</f>
        <v>64339.76281</v>
      </c>
      <c r="C19" s="27">
        <f>IF(OR(61671.13421="",64339.76281=""),"-",64339.76281/61671.13421*100)</f>
        <v>104.32719234725423</v>
      </c>
      <c r="D19" s="27">
        <f>IF(61671.13421="","-",61671.13421/3628984.82886*100)</f>
        <v>1.6994045750633027</v>
      </c>
      <c r="E19" s="27">
        <f>IF(64339.76281="","-",64339.76281/4359977.4969*100)</f>
        <v>1.475690249680105</v>
      </c>
      <c r="F19" s="27">
        <f>IF(OR(3634169.64824="",57011.9116="",61671.13421=""),"-",(61671.13421-57011.9116)/3634169.64824*100)</f>
        <v>0.12820597443095214</v>
      </c>
      <c r="G19" s="27">
        <f>IF(OR(3628984.82886="",64339.76281="",61671.13421=""),"-",(64339.76281-61671.13421)/3628984.82886*100)</f>
        <v>0.07353650472102745</v>
      </c>
    </row>
    <row r="20" spans="1:7" s="16" customFormat="1" ht="13.5" customHeight="1">
      <c r="A20" s="15" t="s">
        <v>47</v>
      </c>
      <c r="B20" s="26">
        <f>IF(106000.7433="","-",106000.7433)</f>
        <v>106000.7433</v>
      </c>
      <c r="C20" s="26">
        <f>IF(97408.00348="","-",106000.7433/97408.00348*100)</f>
        <v>108.82138994026735</v>
      </c>
      <c r="D20" s="26">
        <f>IF(97408.00348="","-",97408.00348/3628984.82886*100)</f>
        <v>2.6841667318460383</v>
      </c>
      <c r="E20" s="26">
        <f>IF(106000.7433="","-",106000.7433/4359977.4969*100)</f>
        <v>2.431222256889351</v>
      </c>
      <c r="F20" s="26">
        <f>IF(3634169.64824="","-",(97408.00348-88975.27316)/3634169.64824*100)</f>
        <v>0.23204008442709623</v>
      </c>
      <c r="G20" s="26">
        <f>IF(3628984.82886="","-",(106000.7433-97408.00348)/3628984.82886*100)</f>
        <v>0.23678081406306967</v>
      </c>
    </row>
    <row r="21" spans="1:7" s="16" customFormat="1" ht="15" customHeight="1">
      <c r="A21" s="14" t="s">
        <v>48</v>
      </c>
      <c r="B21" s="27">
        <f>IF(49455.86361="","-",49455.86361)</f>
        <v>49455.86361</v>
      </c>
      <c r="C21" s="27">
        <f>IF(OR(45463.81946="",49455.86361=""),"-",49455.86361/45463.81946*100)</f>
        <v>108.78070561914026</v>
      </c>
      <c r="D21" s="27">
        <f>IF(45463.81946="","-",45463.81946/3628984.82886*100)</f>
        <v>1.2527971761811385</v>
      </c>
      <c r="E21" s="27">
        <f>IF(49455.86361="","-",49455.86361/4359977.4969*100)</f>
        <v>1.1343146528890058</v>
      </c>
      <c r="F21" s="27">
        <f>IF(OR(3634169.64824="",35162.25328="",45463.81946=""),"-",(45463.81946-35162.25328)/3634169.64824*100)</f>
        <v>0.28346409708718384</v>
      </c>
      <c r="G21" s="27">
        <f>IF(OR(3628984.82886="",49455.86361="",45463.81946=""),"-",(49455.86361-45463.81946)/3628984.82886*100)</f>
        <v>0.1100044320453677</v>
      </c>
    </row>
    <row r="22" spans="1:7" s="16" customFormat="1" ht="14.25" customHeight="1">
      <c r="A22" s="14" t="s">
        <v>49</v>
      </c>
      <c r="B22" s="27">
        <f>IF(56544.87969="","-",56544.87969)</f>
        <v>56544.87969</v>
      </c>
      <c r="C22" s="27">
        <f>IF(OR(51944.18402="",56544.87969=""),"-",56544.87969/51944.18402*100)</f>
        <v>108.85699863574447</v>
      </c>
      <c r="D22" s="27">
        <f>IF(51944.18402="","-",51944.18402/3628984.82886*100)</f>
        <v>1.4313695556648998</v>
      </c>
      <c r="E22" s="27">
        <f>IF(56544.87969="","-",56544.87969/4359977.4969*100)</f>
        <v>1.2969076040003449</v>
      </c>
      <c r="F22" s="27">
        <f>IF(OR(3634169.64824="",53813.01988="",51944.18402=""),"-",(51944.18402-53813.01988)/3634169.64824*100)</f>
        <v>-0.051424012660087615</v>
      </c>
      <c r="G22" s="27">
        <f>IF(OR(3628984.82886="",56544.87969="",51944.18402=""),"-",(56544.87969-51944.18402)/3628984.82886*100)</f>
        <v>0.12677638201770194</v>
      </c>
    </row>
    <row r="23" spans="1:7" s="16" customFormat="1" ht="25.5">
      <c r="A23" s="15" t="s">
        <v>50</v>
      </c>
      <c r="B23" s="26">
        <f>IF(101450.72717="","-",101450.72717)</f>
        <v>101450.72717</v>
      </c>
      <c r="C23" s="26">
        <f>IF(88873.43848="","-",101450.32717/88873.43848*100)</f>
        <v>114.15145954190835</v>
      </c>
      <c r="D23" s="26">
        <f>IF(88873.43848="","-",88873.43848/3628984.82886*100)</f>
        <v>2.4489889782184204</v>
      </c>
      <c r="E23" s="26">
        <f>IF(101450.32717="","-",101450.32717/4359977.4969*100)</f>
        <v>2.326854375788235</v>
      </c>
      <c r="F23" s="26">
        <f>IF(3634169.64824="","-",(88873.43848-93356.66462)/3634169.64824*100)</f>
        <v>-0.12336314960340915</v>
      </c>
      <c r="G23" s="26">
        <f>IF(3628984.82886="","-",(101450.32717-88873.43848)/3628984.82886*100)</f>
        <v>0.34656768443837443</v>
      </c>
    </row>
    <row r="24" spans="1:7" s="16" customFormat="1" ht="14.25" customHeight="1">
      <c r="A24" s="14" t="s">
        <v>52</v>
      </c>
      <c r="B24" s="27">
        <f>IF(26182.1345="","-",26182.1345)</f>
        <v>26182.1345</v>
      </c>
      <c r="C24" s="27">
        <f>IF(OR(24209.69936="",26182.1345=""),"-",26182.1345/24209.69936*100)</f>
        <v>108.14729299471979</v>
      </c>
      <c r="D24" s="27">
        <f>IF(24209.69936="","-",24209.69936/3628984.82886*100)</f>
        <v>0.6671204345487763</v>
      </c>
      <c r="E24" s="27">
        <f>IF(26182.1345="","-",26182.1345/4359977.4969*100)</f>
        <v>0.6005107714114541</v>
      </c>
      <c r="F24" s="27">
        <f>IF(OR(3634169.64824="",22241.26941="",24209.69936=""),"-",(24209.69936-22241.26941)/3634169.64824*100)</f>
        <v>0.054164503601346545</v>
      </c>
      <c r="G24" s="27">
        <f>IF(OR(3628984.82886="",26182.1345="",24209.69936=""),"-",(26182.1345-24209.69936)/3628984.82886*100)</f>
        <v>0.05435225643033667</v>
      </c>
    </row>
    <row r="25" spans="1:7" s="16" customFormat="1" ht="25.5">
      <c r="A25" s="14" t="s">
        <v>53</v>
      </c>
      <c r="B25" s="27">
        <f>IF(690.21058="","-",690.21058)</f>
        <v>690.21058</v>
      </c>
      <c r="C25" s="27">
        <f>IF(OR(668.92523="",690.21058=""),"-",690.21058/668.92523*100)</f>
        <v>103.18202230165545</v>
      </c>
      <c r="D25" s="27">
        <f>IF(668.92523="","-",668.92523/3628984.82886*100)</f>
        <v>0.018432847243677636</v>
      </c>
      <c r="E25" s="27">
        <f>IF(690.21058="","-",690.21058/4359977.4969*100)</f>
        <v>0.015830599595771967</v>
      </c>
      <c r="F25" s="27">
        <f>IF(OR(3634169.64824="",2821.16668="",668.92523=""),"-",(668.92523-2821.16668)/3634169.64824*100)</f>
        <v>-0.059222371499423894</v>
      </c>
      <c r="G25" s="27">
        <f>IF(OR(3628984.82886="",690.21058="",668.92523=""),"-",(690.21058-668.92523)/3628984.82886*100)</f>
        <v>0.0005865373101239037</v>
      </c>
    </row>
    <row r="26" spans="1:7" s="16" customFormat="1" ht="13.5" customHeight="1">
      <c r="A26" s="14" t="s">
        <v>54</v>
      </c>
      <c r="B26" s="27">
        <f>IF(30670.43819="","-",30670.43819)</f>
        <v>30670.43819</v>
      </c>
      <c r="C26" s="27">
        <f>IF(OR(24831.3979="",30670.43819=""),"-",30670.43819/24831.3979*100)</f>
        <v>123.51474658621615</v>
      </c>
      <c r="D26" s="27">
        <f>IF(24831.3979="","-",24831.3979/3628984.82886*100)</f>
        <v>0.6842519071042927</v>
      </c>
      <c r="E26" s="27">
        <f>IF(30670.43819="","-",30670.43819/4359977.4969*100)</f>
        <v>0.7034540479121069</v>
      </c>
      <c r="F26" s="27">
        <f>IF(OR(3634169.64824="",24867.19451="",24831.3979=""),"-",(24831.3979-24867.19451)/3634169.64824*100)</f>
        <v>-0.0009850010721799203</v>
      </c>
      <c r="G26" s="27">
        <f>IF(OR(3628984.82886="",30670.43819="",24831.3979=""),"-",(30670.43819-24831.3979)/3628984.82886*100)</f>
        <v>0.1609001019669256</v>
      </c>
    </row>
    <row r="27" spans="1:7" s="16" customFormat="1" ht="15" customHeight="1">
      <c r="A27" s="14" t="s">
        <v>55</v>
      </c>
      <c r="B27" s="27">
        <f>IF(518.29186="","-",518.29186)</f>
        <v>518.29186</v>
      </c>
      <c r="C27" s="27">
        <f>IF(OR(578.42181="",518.29186=""),"-",518.29186/578.42181*100)</f>
        <v>89.60448085455145</v>
      </c>
      <c r="D27" s="27">
        <f>IF(578.42181="","-",578.42181/3628984.82886*100)</f>
        <v>0.01593894263211081</v>
      </c>
      <c r="E27" s="27">
        <f>IF(518.29186="","-",518.29186/4359977.4969*100)</f>
        <v>0.011887489336092039</v>
      </c>
      <c r="F27" s="27">
        <f>IF(OR(3634169.64824="",337.27627="",578.42181=""),"-",(578.42181-337.27627)/3634169.64824*100)</f>
        <v>0.006635505860789545</v>
      </c>
      <c r="G27" s="27">
        <f>IF(OR(3628984.82886="",518.29186="",578.42181=""),"-",(518.29186-578.42181)/3628984.82886*100)</f>
        <v>-0.0016569358329031395</v>
      </c>
    </row>
    <row r="28" spans="1:7" s="16" customFormat="1" ht="38.25">
      <c r="A28" s="14" t="s">
        <v>56</v>
      </c>
      <c r="B28" s="27">
        <f>IF(8204.97192999999="","-",8204.97192999999)</f>
        <v>8204.97192999999</v>
      </c>
      <c r="C28" s="27">
        <f>IF(OR(7138.18245="",8204.57193=""),"-",8204.57193/7138.18245*100)</f>
        <v>114.93922980351951</v>
      </c>
      <c r="D28" s="27">
        <f>IF(7138.18245="","-",7138.18245/3628984.82886*100)</f>
        <v>0.19669915380281078</v>
      </c>
      <c r="E28" s="27">
        <f>IF(8204.57193="","-",8204.57193/4359977.4969*100)</f>
        <v>0.18817922651742025</v>
      </c>
      <c r="F28" s="27">
        <f>IF(OR(3634169.64824="",10790.27117="",7138.18245=""),"-",(7138.18245-10790.27117)/3634169.64824*100)</f>
        <v>-0.10049307196676076</v>
      </c>
      <c r="G28" s="27">
        <f>IF(OR(3628984.82886="",8204.57193="",7138.18245=""),"-",(8204.57193-7138.18245)/3628984.82886*100)</f>
        <v>0.029385338608180205</v>
      </c>
    </row>
    <row r="29" spans="1:7" s="16" customFormat="1" ht="38.25">
      <c r="A29" s="14" t="s">
        <v>57</v>
      </c>
      <c r="B29" s="27">
        <f>IF(9746.84899="","-",9746.84899)</f>
        <v>9746.84899</v>
      </c>
      <c r="C29" s="27">
        <f>IF(OR(10628.88911="",9746.84899=""),"-",9746.84899/10628.88911*100)</f>
        <v>91.70148346763588</v>
      </c>
      <c r="D29" s="27">
        <f>IF(10628.88911="","-",10628.88911/3628984.82886*100)</f>
        <v>0.2928887722393409</v>
      </c>
      <c r="E29" s="27">
        <f>IF(9746.84899="","-",9746.84899/4359977.4969*100)</f>
        <v>0.22355273615357274</v>
      </c>
      <c r="F29" s="27">
        <f>IF(OR(3634169.64824="",9928.7545="",10628.88911=""),"-",(10628.88911-9928.7545)/3634169.64824*100)</f>
        <v>0.01926532544618743</v>
      </c>
      <c r="G29" s="27">
        <f>IF(OR(3628984.82886="",9746.84899="",10628.88911=""),"-",(9746.84899-10628.88911)/3628984.82886*100)</f>
        <v>-0.02430542318572</v>
      </c>
    </row>
    <row r="30" spans="1:7" s="16" customFormat="1" ht="14.25" customHeight="1">
      <c r="A30" s="14" t="s">
        <v>58</v>
      </c>
      <c r="B30" s="27">
        <f>IF(1082.75834="","-",1082.75834)</f>
        <v>1082.75834</v>
      </c>
      <c r="C30" s="27" t="s">
        <v>215</v>
      </c>
      <c r="D30" s="27">
        <f>IF(687.59631="","-",687.59631/3628984.82886*100)</f>
        <v>0.018947345950079374</v>
      </c>
      <c r="E30" s="27">
        <f>IF(1082.75834="","-",1082.75834/4359977.4969*100)</f>
        <v>0.024834035055682175</v>
      </c>
      <c r="F30" s="27">
        <f>IF(OR(3634169.64824="",770.21829="",687.59631=""),"-",(687.59631-770.21829)/3634169.64824*100)</f>
        <v>-0.002273476144406555</v>
      </c>
      <c r="G30" s="27">
        <f>IF(OR(3628984.82886="",1082.75834="",687.59631=""),"-",(1082.75834-687.59631)/3628984.82886*100)</f>
        <v>0.01088905158427282</v>
      </c>
    </row>
    <row r="31" spans="1:7" s="16" customFormat="1" ht="25.5">
      <c r="A31" s="14" t="s">
        <v>59</v>
      </c>
      <c r="B31" s="27">
        <f>IF(24294.36633="","-",24294.36633)</f>
        <v>24294.36633</v>
      </c>
      <c r="C31" s="27">
        <f>IF(OR(19995.70266="",24294.36633=""),"-",24294.36633/19995.70266*100)</f>
        <v>121.497937547347</v>
      </c>
      <c r="D31" s="27">
        <f>IF(19995.70266="","-",19995.70266/3628984.82886*100)</f>
        <v>0.5509998967474714</v>
      </c>
      <c r="E31" s="27">
        <f>IF(24294.36633="","-",24294.36633/4359977.4969*100)</f>
        <v>0.5572131128491743</v>
      </c>
      <c r="F31" s="27">
        <f>IF(OR(3634169.64824="",21592.85236="",19995.70266=""),"-",(19995.70266-21592.85236)/3634169.64824*100)</f>
        <v>-0.04394813271233744</v>
      </c>
      <c r="G31" s="27">
        <f>IF(OR(3628984.82886="",24294.36633="",19995.70266=""),"-",(24294.36633-19995.70266)/3628984.82886*100)</f>
        <v>0.11845361368871782</v>
      </c>
    </row>
    <row r="32" spans="1:7" s="16" customFormat="1" ht="25.5">
      <c r="A32" s="15" t="s">
        <v>60</v>
      </c>
      <c r="B32" s="26">
        <f>IF(683010.38753="","-",683010.38753)</f>
        <v>683010.38753</v>
      </c>
      <c r="C32" s="26">
        <f>IF(542533.39134="","-",683010.38753/542533.39134*100)</f>
        <v>125.89278345486473</v>
      </c>
      <c r="D32" s="26">
        <f>IF(542533.39134="","-",542533.39134/3628984.82886*100)</f>
        <v>14.950004393113709</v>
      </c>
      <c r="E32" s="26">
        <f>IF(683010.38753="","-",683010.38753/4359977.4969*100)</f>
        <v>15.665456714297932</v>
      </c>
      <c r="F32" s="26">
        <f>IF(3634169.64824="","-",(542533.39134-660612.68211)/3634169.64824*100)</f>
        <v>-3.2491408546979903</v>
      </c>
      <c r="G32" s="26">
        <f>IF(3628984.82886="","-",(683010.38753-542533.39134)/3628984.82886*100)</f>
        <v>3.8709722640016953</v>
      </c>
    </row>
    <row r="33" spans="1:7" s="16" customFormat="1" ht="14.25" customHeight="1">
      <c r="A33" s="14" t="s">
        <v>61</v>
      </c>
      <c r="B33" s="27">
        <f>IF(22460.60911="","-",22460.60911)</f>
        <v>22460.60911</v>
      </c>
      <c r="C33" s="27" t="s">
        <v>198</v>
      </c>
      <c r="D33" s="27">
        <f>IF(8557.68134="","-",8557.68134/3628984.82886*100)</f>
        <v>0.23581474554381887</v>
      </c>
      <c r="E33" s="27">
        <f>IF(22460.60911="","-",22460.60911/4359977.4969*100)</f>
        <v>0.5151542439374924</v>
      </c>
      <c r="F33" s="27">
        <f>IF(OR(3634169.64824="",17938.10648="",8557.68134=""),"-",(8557.68134-17938.10648)/3634169.64824*100)</f>
        <v>-0.2581174256557579</v>
      </c>
      <c r="G33" s="27">
        <f>IF(OR(3628984.82886="",22460.60911="",8557.68134=""),"-",(22460.60911-8557.68134)/3628984.82886*100)</f>
        <v>0.38310790553421614</v>
      </c>
    </row>
    <row r="34" spans="1:7" s="16" customFormat="1" ht="25.5">
      <c r="A34" s="14" t="s">
        <v>62</v>
      </c>
      <c r="B34" s="27">
        <f>IF(434070.39416="","-",434070.39416)</f>
        <v>434070.39416</v>
      </c>
      <c r="C34" s="27">
        <f>IF(OR(337126.58961="",434070.39416=""),"-",434070.39416/337126.58961*100)</f>
        <v>128.75590580444813</v>
      </c>
      <c r="D34" s="27">
        <f>IF(337126.58961="","-",337126.58961/3628984.82886*100)</f>
        <v>9.289831881603764</v>
      </c>
      <c r="E34" s="27">
        <f>IF(434070.39416="","-",434070.39416/4359977.4969*100)</f>
        <v>9.955794369778966</v>
      </c>
      <c r="F34" s="27">
        <f>IF(OR(3634169.64824="",382468.99038="",337126.58961=""),"-",(337126.58961-382468.99038)/3634169.64824*100)</f>
        <v>-1.2476687980694274</v>
      </c>
      <c r="G34" s="27">
        <f>IF(OR(3628984.82886="",434070.39416="",337126.58961=""),"-",(434070.39416-337126.58961)/3628984.82886*100)</f>
        <v>2.6713753052655687</v>
      </c>
    </row>
    <row r="35" spans="1:7" s="16" customFormat="1" ht="25.5">
      <c r="A35" s="14" t="s">
        <v>63</v>
      </c>
      <c r="B35" s="27">
        <f>IF(172309.21079="","-",172309.21079)</f>
        <v>172309.21079</v>
      </c>
      <c r="C35" s="27">
        <f>IF(OR(196595.71808="",172309.21079=""),"-",172309.21079/196595.71808*100)</f>
        <v>87.64647189308712</v>
      </c>
      <c r="D35" s="27">
        <f>IF(196595.71808="","-",196595.71808/3628984.82886*100)</f>
        <v>5.417375033275024</v>
      </c>
      <c r="E35" s="27">
        <f>IF(172309.21079="","-",172309.21079/4359977.4969*100)</f>
        <v>3.952066516685329</v>
      </c>
      <c r="F35" s="27">
        <f>IF(OR(3634169.64824="",259108.88742="",196595.71808=""),"-",(196595.71808-259108.88742)/3634169.64824*100)</f>
        <v>-1.720150003736745</v>
      </c>
      <c r="G35" s="27">
        <f>IF(OR(3628984.82886="",172309.21079="",196595.71808=""),"-",(172309.21079-196595.71808)/3628984.82886*100)</f>
        <v>-0.6692369473925104</v>
      </c>
    </row>
    <row r="36" spans="1:7" s="16" customFormat="1" ht="13.5" customHeight="1">
      <c r="A36" s="14" t="s">
        <v>64</v>
      </c>
      <c r="B36" s="27">
        <f>IF(54170.17347="","-",54170.17347)</f>
        <v>54170.17347</v>
      </c>
      <c r="C36" s="27" t="s">
        <v>280</v>
      </c>
      <c r="D36" s="27">
        <f>IF(253.40231="","-",253.40231/3628984.82886*100)</f>
        <v>0.006982732691103677</v>
      </c>
      <c r="E36" s="27">
        <f>IF(54170.17347="","-",54170.17347/4359977.4969*100)</f>
        <v>1.2424415838961484</v>
      </c>
      <c r="F36" s="27">
        <f>IF(OR(3634169.64824="",1096.69783="",253.40231=""),"-",(253.40231-1096.69783)/3634169.64824*100)</f>
        <v>-0.023204627236056565</v>
      </c>
      <c r="G36" s="27">
        <f>IF(OR(3628984.82886="",54170.17347="",253.40231=""),"-",(54170.17347-253.40231)/3628984.82886*100)</f>
        <v>1.485726000594422</v>
      </c>
    </row>
    <row r="37" spans="1:7" s="16" customFormat="1" ht="25.5">
      <c r="A37" s="15" t="s">
        <v>65</v>
      </c>
      <c r="B37" s="26">
        <f>IF(14465.88428="","-",14465.88428)</f>
        <v>14465.88428</v>
      </c>
      <c r="C37" s="26" t="s">
        <v>215</v>
      </c>
      <c r="D37" s="26">
        <f>IF(9181.44975="","-",9181.44975/3628984.82886*100)</f>
        <v>0.2530032552625533</v>
      </c>
      <c r="E37" s="26">
        <f>IF(14465.88428="","-",14465.88428/4359977.4969*100)</f>
        <v>0.3317880491421213</v>
      </c>
      <c r="F37" s="26">
        <f>IF(3634169.64824="","-",(9181.44975-8242.42317)/3634169.64824*100)</f>
        <v>0.025838820718090662</v>
      </c>
      <c r="G37" s="26">
        <f>IF(3628984.82886="","-",(14465.88428-9181.44975)/3628984.82886*100)</f>
        <v>0.1456174324007863</v>
      </c>
    </row>
    <row r="38" spans="1:7" s="16" customFormat="1" ht="15" customHeight="1">
      <c r="A38" s="14" t="s">
        <v>66</v>
      </c>
      <c r="B38" s="27">
        <f>IF(1204.32457="","-",1204.32457)</f>
        <v>1204.32457</v>
      </c>
      <c r="C38" s="27">
        <f>IF(OR(898.6028="",1204.32457=""),"-",1204.32457/898.6028*100)</f>
        <v>134.02190266934403</v>
      </c>
      <c r="D38" s="27">
        <f>IF(898.6028="","-",898.6028/3628984.82886*100)</f>
        <v>0.02476182299947186</v>
      </c>
      <c r="E38" s="27">
        <f>IF(1204.32457="","-",1204.32457/4359977.4969*100)</f>
        <v>0.027622265730873386</v>
      </c>
      <c r="F38" s="27">
        <f>IF(OR(3634169.64824="",770.38348="",898.6028=""),"-",(898.6028-770.38348)/3634169.64824*100)</f>
        <v>0.0035281600038153324</v>
      </c>
      <c r="G38" s="27">
        <f>IF(OR(3628984.82886="",1204.32457="",898.6028=""),"-",(1204.32457-898.6028)/3628984.82886*100)</f>
        <v>0.008424443320035556</v>
      </c>
    </row>
    <row r="39" spans="1:7" s="16" customFormat="1" ht="25.5">
      <c r="A39" s="14" t="s">
        <v>111</v>
      </c>
      <c r="B39" s="27">
        <f>IF(10812.23949="","-",10812.23949)</f>
        <v>10812.23949</v>
      </c>
      <c r="C39" s="27" t="s">
        <v>214</v>
      </c>
      <c r="D39" s="27">
        <f>IF(6528.72163="","-",6528.72163/3628984.82886*100)</f>
        <v>0.17990490282790508</v>
      </c>
      <c r="E39" s="27">
        <f>IF(10812.23949="","-",10812.23949/4359977.4969*100)</f>
        <v>0.24798842419915335</v>
      </c>
      <c r="F39" s="27">
        <f>IF(OR(3634169.64824="",5834.47051="",6528.72163=""),"-",(6528.72163-5834.47051)/3634169.64824*100)</f>
        <v>0.019103431793180605</v>
      </c>
      <c r="G39" s="27">
        <f>IF(OR(3628984.82886="",10812.23949="",6528.72163=""),"-",(10812.23949-6528.72163)/3628984.82886*100)</f>
        <v>0.11803625702523572</v>
      </c>
    </row>
    <row r="40" spans="1:7" s="16" customFormat="1" ht="25.5">
      <c r="A40" s="14" t="s">
        <v>112</v>
      </c>
      <c r="B40" s="27">
        <f>IF(2449.32022="","-",2449.32022)</f>
        <v>2449.32022</v>
      </c>
      <c r="C40" s="27">
        <f>IF(OR(1754.12532="",2449.32022=""),"-",2449.32022/1754.12532*100)</f>
        <v>139.63199733072662</v>
      </c>
      <c r="D40" s="27">
        <f>IF(1754.12532="","-",1754.12532/3628984.82886*100)</f>
        <v>0.04833652943517641</v>
      </c>
      <c r="E40" s="27">
        <f>IF(2449.32022="","-",2449.32022/4359977.4969*100)</f>
        <v>0.05617735921209452</v>
      </c>
      <c r="F40" s="27">
        <f>IF(OR(3634169.64824="",1637.56918="",1754.12532=""),"-",(1754.12532-1637.56918)/3634169.64824*100)</f>
        <v>0.003207228921094737</v>
      </c>
      <c r="G40" s="27">
        <f>IF(OR(3628984.82886="",2449.32022="",1754.12532=""),"-",(2449.32022-1754.12532)/3628984.82886*100)</f>
        <v>0.01915673205551501</v>
      </c>
    </row>
    <row r="41" spans="1:7" s="16" customFormat="1" ht="25.5">
      <c r="A41" s="15" t="s">
        <v>69</v>
      </c>
      <c r="B41" s="26">
        <f>IF(657740.34163="","-",657740.34163)</f>
        <v>657740.34163</v>
      </c>
      <c r="C41" s="26">
        <f>IF(570209.10013="","-",657740.34163/570209.10013*100)</f>
        <v>115.35072686143452</v>
      </c>
      <c r="D41" s="26">
        <f>IF(570209.10013="","-",570209.10013/3628984.82886*100)</f>
        <v>15.712633891311253</v>
      </c>
      <c r="E41" s="26">
        <f>IF(657740.34163="","-",657740.34163/4359977.4969*100)</f>
        <v>15.08586551416061</v>
      </c>
      <c r="F41" s="26">
        <f>IF(3634169.64824="","-",(570209.10013-566096.34516)/3634169.64824*100)</f>
        <v>0.11316904184678842</v>
      </c>
      <c r="G41" s="26">
        <f>IF(3628984.82886="","-",(657740.34163-570209.10013)/3628984.82886*100)</f>
        <v>2.4120035113923817</v>
      </c>
    </row>
    <row r="42" spans="1:7" s="16" customFormat="1" ht="14.25" customHeight="1">
      <c r="A42" s="14" t="s">
        <v>70</v>
      </c>
      <c r="B42" s="27">
        <f>IF(19200.07538="","-",19200.07538)</f>
        <v>19200.07538</v>
      </c>
      <c r="C42" s="27">
        <f>IF(OR(15616.59359="",19200.07538=""),"-",19200.07538/15616.59359*100)</f>
        <v>122.94662897736328</v>
      </c>
      <c r="D42" s="27">
        <f>IF(15616.59359="","-",15616.59359/3628984.82886*100)</f>
        <v>0.43032953639835847</v>
      </c>
      <c r="E42" s="27">
        <f>IF(19200.07538="","-",19200.07538/4359977.4969*100)</f>
        <v>0.44037097424588767</v>
      </c>
      <c r="F42" s="27">
        <f>IF(OR(3634169.64824="",17063.51641="",15616.59359=""),"-",(15616.59359-17063.51641)/3634169.64824*100)</f>
        <v>-0.039814399437867</v>
      </c>
      <c r="G42" s="27">
        <f>IF(OR(3628984.82886="",19200.07538="",15616.59359=""),"-",(19200.07538-15616.59359)/3628984.82886*100)</f>
        <v>0.09874612209733882</v>
      </c>
    </row>
    <row r="43" spans="1:7" s="16" customFormat="1" ht="14.25" customHeight="1">
      <c r="A43" s="14" t="s">
        <v>71</v>
      </c>
      <c r="B43" s="27">
        <f>IF(12612.53237="","-",12612.53237)</f>
        <v>12612.53237</v>
      </c>
      <c r="C43" s="27">
        <f>IF(OR(11750.83653="",12612.53237=""),"-",12612.53237/11750.83653*100)</f>
        <v>107.33305954686784</v>
      </c>
      <c r="D43" s="27">
        <f>IF(11750.83653="","-",11750.83653/3628984.82886*100)</f>
        <v>0.3238050607583107</v>
      </c>
      <c r="E43" s="27">
        <f>IF(12612.53237="","-",12612.53237/4359977.4969*100)</f>
        <v>0.28927975841544307</v>
      </c>
      <c r="F43" s="27">
        <f>IF(OR(3634169.64824="",11538.85845="",11750.83653=""),"-",(11750.83653-11538.85845)/3634169.64824*100)</f>
        <v>0.005832916471102556</v>
      </c>
      <c r="G43" s="27">
        <f>IF(OR(3628984.82886="",12612.53237="",11750.83653=""),"-",(12612.53237-11750.83653)/3628984.82886*100)</f>
        <v>0.02374481792117856</v>
      </c>
    </row>
    <row r="44" spans="1:7" s="16" customFormat="1" ht="15" customHeight="1">
      <c r="A44" s="14" t="s">
        <v>72</v>
      </c>
      <c r="B44" s="27">
        <f>IF(30595.46406="","-",30595.46406)</f>
        <v>30595.46406</v>
      </c>
      <c r="C44" s="27">
        <f>IF(OR(27348.0224="",30595.46406=""),"-",30595.46406/27348.0224*100)</f>
        <v>111.87450270627247</v>
      </c>
      <c r="D44" s="27">
        <f>IF(27348.0224="","-",27348.0224/3628984.82886*100)</f>
        <v>0.7535997996605305</v>
      </c>
      <c r="E44" s="27">
        <f>IF(30595.46406="","-",30595.46406/4359977.4969*100)</f>
        <v>0.701734448899192</v>
      </c>
      <c r="F44" s="27">
        <f>IF(OR(3634169.64824="",26038.8973="",27348.0224=""),"-",(27348.0224-26038.8973)/3634169.64824*100)</f>
        <v>0.036022674412957034</v>
      </c>
      <c r="G44" s="27">
        <f>IF(OR(3628984.82886="",30595.46406="",27348.0224=""),"-",(30595.46406-27348.0224)/3628984.82886*100)</f>
        <v>0.08948622860515347</v>
      </c>
    </row>
    <row r="45" spans="1:7" s="16" customFormat="1" ht="15" customHeight="1">
      <c r="A45" s="14" t="s">
        <v>73</v>
      </c>
      <c r="B45" s="27">
        <f>IF(197894.06188="","-",197894.06188)</f>
        <v>197894.06188</v>
      </c>
      <c r="C45" s="27">
        <f>IF(OR(158955.00676="",197894.06188=""),"-",197894.06188/158955.00676*100)</f>
        <v>124.49690381806758</v>
      </c>
      <c r="D45" s="27">
        <f>IF(158955.00676="","-",158955.00676/3628984.82886*100)</f>
        <v>4.380150765467204</v>
      </c>
      <c r="E45" s="27">
        <f>IF(197894.06188="","-",197894.06188/4359977.4969*100)</f>
        <v>4.538878056611651</v>
      </c>
      <c r="F45" s="27">
        <f>IF(OR(3634169.64824="",161973.92575="",158955.00676=""),"-",(158955.00676-161973.92575)/3634169.64824*100)</f>
        <v>-0.08307039247499204</v>
      </c>
      <c r="G45" s="27">
        <f>IF(OR(3628984.82886="",197894.06188="",158955.00676=""),"-",(197894.06188-158955.00676)/3628984.82886*100)</f>
        <v>1.0730013201028514</v>
      </c>
    </row>
    <row r="46" spans="1:7" s="16" customFormat="1" ht="38.25">
      <c r="A46" s="14" t="s">
        <v>74</v>
      </c>
      <c r="B46" s="27">
        <f>IF(100943.53799="","-",100943.53799)</f>
        <v>100943.53799</v>
      </c>
      <c r="C46" s="27">
        <f>IF(OR(101548.79811="",100943.53799=""),"-",100943.53799/101548.79811*100)</f>
        <v>99.40397116335697</v>
      </c>
      <c r="D46" s="27">
        <f>IF(101548.79811="","-",101548.79811/3628984.82886*100)</f>
        <v>2.7982701195777744</v>
      </c>
      <c r="E46" s="27">
        <f>IF(100943.53799="","-",100943.53799/4359977.4969*100)</f>
        <v>2.3152307107495886</v>
      </c>
      <c r="F46" s="27">
        <f>IF(OR(3634169.64824="",101689.77903="",101548.79811=""),"-",(101548.79811-101689.77903)/3634169.64824*100)</f>
        <v>-0.0038793158725619133</v>
      </c>
      <c r="G46" s="27">
        <f>IF(OR(3628984.82886="",100943.53799="",101548.79811=""),"-",(100943.53799-101548.79811)/3628984.82886*100)</f>
        <v>-0.016678496839848768</v>
      </c>
    </row>
    <row r="47" spans="1:7" s="16" customFormat="1" ht="15.75">
      <c r="A47" s="14" t="s">
        <v>75</v>
      </c>
      <c r="B47" s="27">
        <f>IF(59102.42155="","-",59102.42155)</f>
        <v>59102.42155</v>
      </c>
      <c r="C47" s="27">
        <f>IF(OR(48122.44828="",59102.42155=""),"-",59102.42155/48122.44828*100)</f>
        <v>122.81673867903216</v>
      </c>
      <c r="D47" s="27">
        <f>IF(48122.44828="","-",48122.44828/3628984.82886*100)</f>
        <v>1.3260581278075243</v>
      </c>
      <c r="E47" s="27">
        <f>IF(59102.42155="","-",59102.42155/4359977.4969*100)</f>
        <v>1.355567123729941</v>
      </c>
      <c r="F47" s="27">
        <f>IF(OR(3634169.64824="",45063.2416="",48122.44828=""),"-",(48122.44828-45063.2416)/3634169.64824*100)</f>
        <v>0.08417897280831525</v>
      </c>
      <c r="G47" s="27">
        <f>IF(OR(3628984.82886="",59102.42155="",48122.44828=""),"-",(59102.42155-48122.44828)/3628984.82886*100)</f>
        <v>0.302563217753909</v>
      </c>
    </row>
    <row r="48" spans="1:7" s="16" customFormat="1" ht="14.25" customHeight="1">
      <c r="A48" s="14" t="s">
        <v>76</v>
      </c>
      <c r="B48" s="27">
        <f>IF(47864.17261="","-",47864.17261)</f>
        <v>47864.17261</v>
      </c>
      <c r="C48" s="27">
        <f>IF(OR(41290.77764="",47864.17261=""),"-",47864.17261/41290.77764*100)</f>
        <v>115.91976549173076</v>
      </c>
      <c r="D48" s="27">
        <f>IF(41290.77764="","-",41290.77764/3628984.82886*100)</f>
        <v>1.137805187600384</v>
      </c>
      <c r="E48" s="27">
        <f>IF(47864.17261="","-",47864.17261/4359977.4969*100)</f>
        <v>1.0978077901556154</v>
      </c>
      <c r="F48" s="27">
        <f>IF(OR(3634169.64824="",46217.82007="",41290.77764=""),"-",(41290.77764-46217.82007)/3634169.64824*100)</f>
        <v>-0.13557546583952484</v>
      </c>
      <c r="G48" s="27">
        <f>IF(OR(3628984.82886="",47864.17261="",41290.77764=""),"-",(47864.17261-41290.77764)/3628984.82886*100)</f>
        <v>0.1811359176187284</v>
      </c>
    </row>
    <row r="49" spans="1:7" s="16" customFormat="1" ht="13.5" customHeight="1">
      <c r="A49" s="14" t="s">
        <v>77</v>
      </c>
      <c r="B49" s="27">
        <f>IF(90364.00955="","-",90364.00955)</f>
        <v>90364.00955</v>
      </c>
      <c r="C49" s="27">
        <f>IF(OR(78728.39856="",90364.00955=""),"-",90364.00955/78728.39856*100)</f>
        <v>114.77943309253564</v>
      </c>
      <c r="D49" s="27">
        <f>IF(78728.39856="","-",78728.39856/3628984.82886*100)</f>
        <v>2.1694331134674805</v>
      </c>
      <c r="E49" s="27">
        <f>IF(90364.00955="","-",90364.00955/4359977.4969*100)</f>
        <v>2.0725797235020127</v>
      </c>
      <c r="F49" s="27">
        <f>IF(OR(3634169.64824="",78206.5019="",78728.39856=""),"-",(78728.39856-78206.5019)/3634169.64824*100)</f>
        <v>0.014360822705476861</v>
      </c>
      <c r="G49" s="27">
        <f>IF(OR(3628984.82886="",90364.00955="",78728.39856=""),"-",(90364.00955-78728.39856)/3628984.82886*100)</f>
        <v>0.3206299154922393</v>
      </c>
    </row>
    <row r="50" spans="1:7" s="16" customFormat="1" ht="16.5" customHeight="1">
      <c r="A50" s="14" t="s">
        <v>78</v>
      </c>
      <c r="B50" s="27">
        <f>IF(99164.06624="","-",99164.06624)</f>
        <v>99164.06624</v>
      </c>
      <c r="C50" s="27">
        <f>IF(OR(86848.21826="",99164.06624=""),"-",99164.06624/86848.21826*100)</f>
        <v>114.18088733050308</v>
      </c>
      <c r="D50" s="27">
        <f>IF(86848.21826="","-",86848.21826/3628984.82886*100)</f>
        <v>2.393182180573686</v>
      </c>
      <c r="E50" s="27">
        <f>IF(99164.06624="","-",99164.06624/4359977.4969*100)</f>
        <v>2.274416927851277</v>
      </c>
      <c r="F50" s="27">
        <f>IF(OR(3634169.64824="",78303.80465="",86848.21826=""),"-",(86848.21826-78303.80465)/3634169.64824*100)</f>
        <v>0.2351132290738816</v>
      </c>
      <c r="G50" s="27">
        <f>IF(OR(3628984.82886="",99164.06624="",86848.21826=""),"-",(99164.06624-86848.21826)/3628984.82886*100)</f>
        <v>0.3393744686408313</v>
      </c>
    </row>
    <row r="51" spans="1:7" s="16" customFormat="1" ht="25.5">
      <c r="A51" s="15" t="s">
        <v>79</v>
      </c>
      <c r="B51" s="26">
        <f>IF(906665.63333="","-",906665.63333)</f>
        <v>906665.63333</v>
      </c>
      <c r="C51" s="26">
        <f>IF(788188.20256="","-",906665.63333/788188.20256*100)</f>
        <v>115.0316168632302</v>
      </c>
      <c r="D51" s="26">
        <f>IF(788188.20256="","-",788188.20256/3628984.82886*100)</f>
        <v>21.71924766099393</v>
      </c>
      <c r="E51" s="26">
        <f>IF(906665.63333="","-",906665.63333/4359977.4969*100)</f>
        <v>20.795190662673164</v>
      </c>
      <c r="F51" s="26">
        <f>IF(3634169.64824="","-",(788188.20256-744151.82468)/3634169.64824*100)</f>
        <v>1.2117314859345247</v>
      </c>
      <c r="G51" s="26">
        <f>IF(3628984.82886="","-",(906665.63333-788188.20256)/3628984.82886*100)</f>
        <v>3.264754093976694</v>
      </c>
    </row>
    <row r="52" spans="1:7" s="16" customFormat="1" ht="15.75">
      <c r="A52" s="14" t="s">
        <v>80</v>
      </c>
      <c r="B52" s="27">
        <f>IF(41337.22026="","-",41337.22026)</f>
        <v>41337.22026</v>
      </c>
      <c r="C52" s="27">
        <f>IF(OR(36566.80759="",41337.22026=""),"-",41337.22026/36566.80759*100)</f>
        <v>113.04574553919926</v>
      </c>
      <c r="D52" s="27">
        <f>IF(36566.80759="","-",36566.80759/3628984.82886*100)</f>
        <v>1.0076318671601336</v>
      </c>
      <c r="E52" s="27">
        <f>IF(41337.22026="","-",41337.22026/4359977.4969*100)</f>
        <v>0.9481062755344792</v>
      </c>
      <c r="F52" s="27">
        <f>IF(OR(3634169.64824="",29594.06031="",36566.80759=""),"-",(36566.80759-29594.06031)/3634169.64824*100)</f>
        <v>0.19186631211277777</v>
      </c>
      <c r="G52" s="27">
        <f>IF(OR(3628984.82886="",41337.22026="",36566.80759=""),"-",(41337.22026-36566.80759)/3628984.82886*100)</f>
        <v>0.13145308936159347</v>
      </c>
    </row>
    <row r="53" spans="1:7" s="16" customFormat="1" ht="15" customHeight="1">
      <c r="A53" s="14" t="s">
        <v>81</v>
      </c>
      <c r="B53" s="27">
        <f>IF(53496.88307="","-",53496.88307)</f>
        <v>53496.88307</v>
      </c>
      <c r="C53" s="27">
        <f>IF(OR(55671.44628="",53496.88307=""),"-",53496.88307/55671.44628*100)</f>
        <v>96.0939344038899</v>
      </c>
      <c r="D53" s="27">
        <f>IF(55671.44628="","-",55671.44628/3628984.82886*100)</f>
        <v>1.5340776802720468</v>
      </c>
      <c r="E53" s="27">
        <f>IF(53496.88307="","-",53496.88307/4359977.4969*100)</f>
        <v>1.2269990638262922</v>
      </c>
      <c r="F53" s="27">
        <f>IF(OR(3634169.64824="",49415.87067="",55671.44628=""),"-",(55671.44628-49415.87067)/3634169.64824*100)</f>
        <v>0.1721321846664348</v>
      </c>
      <c r="G53" s="27">
        <f>IF(OR(3628984.82886="",53496.88307="",55671.44628=""),"-",(53496.88307-55671.44628)/3628984.82886*100)</f>
        <v>-0.059922080486710244</v>
      </c>
    </row>
    <row r="54" spans="1:7" s="16" customFormat="1" ht="13.5" customHeight="1">
      <c r="A54" s="14" t="s">
        <v>82</v>
      </c>
      <c r="B54" s="27">
        <f>IF(65368.81476="","-",65368.81476)</f>
        <v>65368.81476</v>
      </c>
      <c r="C54" s="27">
        <f>IF(OR(53041.41874="",65368.81476=""),"-",65368.81476/53041.41874*100)</f>
        <v>123.24107520657921</v>
      </c>
      <c r="D54" s="27">
        <f>IF(53041.41874="","-",53041.41874/3628984.82886*100)</f>
        <v>1.4616048631060907</v>
      </c>
      <c r="E54" s="27">
        <f>IF(65368.81476="","-",65368.81476/4359977.4969*100)</f>
        <v>1.4992924804423433</v>
      </c>
      <c r="F54" s="27">
        <f>IF(OR(3634169.64824="",52632.42964="",53041.41874=""),"-",(53041.41874-52632.42964)/3634169.64824*100)</f>
        <v>0.011253990308296947</v>
      </c>
      <c r="G54" s="27">
        <f>IF(OR(3628984.82886="",65368.81476="",53041.41874=""),"-",(65368.81476-53041.41874)/3628984.82886*100)</f>
        <v>0.3396926854575057</v>
      </c>
    </row>
    <row r="55" spans="1:7" s="16" customFormat="1" ht="25.5">
      <c r="A55" s="14" t="s">
        <v>83</v>
      </c>
      <c r="B55" s="27">
        <f>IF(79823.27925="","-",79823.27925)</f>
        <v>79823.27925</v>
      </c>
      <c r="C55" s="27">
        <f>IF(OR(73330.97509="",79823.27925=""),"-",79823.27925/73330.97509*100)</f>
        <v>108.85342674365357</v>
      </c>
      <c r="D55" s="27">
        <f>IF(73330.97509="","-",73330.97509/3628984.82886*100)</f>
        <v>2.0207021673616645</v>
      </c>
      <c r="E55" s="27">
        <f>IF(79823.27925="","-",79823.27925/4359977.4969*100)</f>
        <v>1.83081860644362</v>
      </c>
      <c r="F55" s="27">
        <f>IF(OR(3634169.64824="",71641.86547="",73330.97509=""),"-",(73330.97509-71641.86547)/3634169.64824*100)</f>
        <v>0.046478557235709275</v>
      </c>
      <c r="G55" s="27">
        <f>IF(OR(3628984.82886="",79823.27925="",73330.97509=""),"-",(79823.27925-73330.97509)/3628984.82886*100)</f>
        <v>0.17890138609478495</v>
      </c>
    </row>
    <row r="56" spans="1:7" s="16" customFormat="1" ht="25.5">
      <c r="A56" s="14" t="s">
        <v>84</v>
      </c>
      <c r="B56" s="27">
        <f>IF(252952.01083="","-",252952.01083)</f>
        <v>252952.01083</v>
      </c>
      <c r="C56" s="27">
        <f>IF(OR(229320.10625="",252952.01083=""),"-",252952.01083/229320.10625*100)</f>
        <v>110.30520392060039</v>
      </c>
      <c r="D56" s="27">
        <f>IF(229320.10625="","-",229320.10625/3628984.82886*100)</f>
        <v>6.319125514835456</v>
      </c>
      <c r="E56" s="27">
        <f>IF(252952.01083="","-",252952.01083/4359977.4969*100)</f>
        <v>5.8016815685368135</v>
      </c>
      <c r="F56" s="27">
        <f>IF(OR(3634169.64824="",188116.48205="",229320.10625=""),"-",(229320.10625-188116.48205)/3634169.64824*100)</f>
        <v>1.1337837302106855</v>
      </c>
      <c r="G56" s="27">
        <f>IF(OR(3628984.82886="",252952.01083="",229320.10625=""),"-",(252952.01083-229320.10625)/3628984.82886*100)</f>
        <v>0.6511987703024835</v>
      </c>
    </row>
    <row r="57" spans="1:7" s="16" customFormat="1" ht="13.5" customHeight="1">
      <c r="A57" s="14" t="s">
        <v>85</v>
      </c>
      <c r="B57" s="27">
        <f>IF(107002.97816="","-",107002.97816)</f>
        <v>107002.97816</v>
      </c>
      <c r="C57" s="27">
        <f>IF(OR(92914.10791="",107002.97816=""),"-",107002.97816/92914.10791*100)</f>
        <v>115.16332725666052</v>
      </c>
      <c r="D57" s="27">
        <f>IF(92914.10791="","-",92914.10791/3628984.82886*100)</f>
        <v>2.5603333243800805</v>
      </c>
      <c r="E57" s="27">
        <f>IF(107002.97816="","-",107002.97816/4359977.4969*100)</f>
        <v>2.4542094136054717</v>
      </c>
      <c r="F57" s="27">
        <f>IF(OR(3634169.64824="",92519.13115="",92914.10791=""),"-",(92914.10791-92519.13115)/3634169.64824*100)</f>
        <v>0.010868418324700091</v>
      </c>
      <c r="G57" s="27">
        <f>IF(OR(3628984.82886="",107002.97816="",92914.10791=""),"-",(107002.97816-92914.10791)/3628984.82886*100)</f>
        <v>0.38823172083708696</v>
      </c>
    </row>
    <row r="58" spans="1:7" s="16" customFormat="1" ht="14.25" customHeight="1">
      <c r="A58" s="14" t="s">
        <v>86</v>
      </c>
      <c r="B58" s="27">
        <f>IF(101807.92843="","-",101807.92843)</f>
        <v>101807.92843</v>
      </c>
      <c r="C58" s="27">
        <f>IF(OR(85575.39527="",101807.92843=""),"-",101807.92843/85575.39527*100)</f>
        <v>118.96869200403286</v>
      </c>
      <c r="D58" s="27">
        <f>IF(85575.39527="","-",85575.39527/3628984.82886*100)</f>
        <v>2.3581083775674654</v>
      </c>
      <c r="E58" s="27">
        <f>IF(101807.92843="","-",101807.92843/4359977.4969*100)</f>
        <v>2.3350562818818847</v>
      </c>
      <c r="F58" s="27">
        <f>IF(OR(3634169.64824="",94789.16027="",85575.39527=""),"-",(85575.39527-94789.16027)/3634169.64824*100)</f>
        <v>-0.2535315049054508</v>
      </c>
      <c r="G58" s="27">
        <f>IF(OR(3628984.82886="",101807.92843="",85575.39527=""),"-",(101807.92843-85575.39527)/3628984.82886*100)</f>
        <v>0.4473023152620688</v>
      </c>
    </row>
    <row r="59" spans="1:7" s="16" customFormat="1" ht="14.25" customHeight="1">
      <c r="A59" s="14" t="s">
        <v>87</v>
      </c>
      <c r="B59" s="27">
        <f>IF(77987.64983="","-",77987.64983)</f>
        <v>77987.64983</v>
      </c>
      <c r="C59" s="27" t="s">
        <v>215</v>
      </c>
      <c r="D59" s="27">
        <f>IF(49843.38123="","-",49843.38123/3628984.82886*100)</f>
        <v>1.373480011093286</v>
      </c>
      <c r="E59" s="27">
        <f>IF(77987.64983="","-",77987.64983/4359977.4969*100)</f>
        <v>1.788716796943338</v>
      </c>
      <c r="F59" s="27">
        <f>IF(OR(3634169.64824="",61759.12146="",49843.38123=""),"-",(49843.38123-61759.12146)/3634169.64824*100)</f>
        <v>-0.3278806820636649</v>
      </c>
      <c r="G59" s="27">
        <f>IF(OR(3628984.82886="",77987.64983="",49843.38123=""),"-",(77987.64983-49843.38123)/3628984.82886*100)</f>
        <v>0.7755410928196458</v>
      </c>
    </row>
    <row r="60" spans="1:7" s="16" customFormat="1" ht="15" customHeight="1">
      <c r="A60" s="14" t="s">
        <v>88</v>
      </c>
      <c r="B60" s="27">
        <f>IF(126888.86874="","-",126888.86874)</f>
        <v>126888.86874</v>
      </c>
      <c r="C60" s="27">
        <f>IF(OR(111924.5642="",126888.86874=""),"-",126888.86874/111924.5642*100)</f>
        <v>113.36999133922025</v>
      </c>
      <c r="D60" s="27">
        <f>IF(111924.5642="","-",111924.5642/3628984.82886*100)</f>
        <v>3.0841838552177054</v>
      </c>
      <c r="E60" s="27">
        <f>IF(126888.86874="","-",126888.86874/4359977.4969*100)</f>
        <v>2.9103101754589247</v>
      </c>
      <c r="F60" s="27">
        <f>IF(OR(3634169.64824="",103683.70366="",111924.5642=""),"-",(111924.5642-103683.70366)/3634169.64824*100)</f>
        <v>0.2267604800450353</v>
      </c>
      <c r="G60" s="27">
        <f>IF(OR(3628984.82886="",126888.86874="",111924.5642=""),"-",(126888.86874-111924.5642)/3628984.82886*100)</f>
        <v>0.41235511432823657</v>
      </c>
    </row>
    <row r="61" spans="1:7" s="16" customFormat="1" ht="15" customHeight="1">
      <c r="A61" s="15" t="s">
        <v>89</v>
      </c>
      <c r="B61" s="26">
        <f>IF(970570.34206="","-",970570.34206)</f>
        <v>970570.34206</v>
      </c>
      <c r="C61" s="26">
        <f>IF(778863.20949="","-",970570.34206/778863.20949*100)</f>
        <v>124.61371011419706</v>
      </c>
      <c r="D61" s="26">
        <f>IF(778863.20949="","-",778863.20949/3628984.82886*100)</f>
        <v>21.462288938106973</v>
      </c>
      <c r="E61" s="26">
        <f>IF(970570.34206="","-",970570.34206/4359977.4969*100)</f>
        <v>22.260902556265215</v>
      </c>
      <c r="F61" s="26">
        <f>IF(3634169.64824="","-",(778863.20949-749631.9648)/3634169.64824*100)</f>
        <v>0.8043445276187517</v>
      </c>
      <c r="G61" s="26">
        <f>IF(3628984.82886="","-",(970570.34206-778863.20949)/3628984.82886*100)</f>
        <v>5.282665583097034</v>
      </c>
    </row>
    <row r="62" spans="1:7" s="16" customFormat="1" ht="25.5">
      <c r="A62" s="14" t="s">
        <v>113</v>
      </c>
      <c r="B62" s="27">
        <f>IF(16078.43238="","-",16078.43238)</f>
        <v>16078.43238</v>
      </c>
      <c r="C62" s="27">
        <f>IF(OR(10946.98442="",16078.43238=""),"-",16078.43238/10946.98442*100)</f>
        <v>146.87544773175077</v>
      </c>
      <c r="D62" s="27">
        <f>IF(10946.98442="","-",10946.98442/3628984.82886*100)</f>
        <v>0.3016541797844567</v>
      </c>
      <c r="E62" s="27">
        <f>IF(16078.43238="","-",16078.43238/4359977.4969*100)</f>
        <v>0.36877328819774813</v>
      </c>
      <c r="F62" s="27">
        <f>IF(OR(3634169.64824="",12184.08291="",10946.98442=""),"-",(10946.98442-12184.08291)/3634169.64824*100)</f>
        <v>-0.03404074684843388</v>
      </c>
      <c r="G62" s="27">
        <f>IF(OR(3628984.82886="",16078.43238="",10946.98442=""),"-",(16078.43238-10946.98442)/3628984.82886*100)</f>
        <v>0.14140174737550446</v>
      </c>
    </row>
    <row r="63" spans="1:7" s="16" customFormat="1" ht="25.5">
      <c r="A63" s="14" t="s">
        <v>91</v>
      </c>
      <c r="B63" s="27">
        <f>IF(143339.48031="","-",143339.48031)</f>
        <v>143339.48031</v>
      </c>
      <c r="C63" s="27">
        <f>IF(OR(116690.46282="",143339.48031=""),"-",143339.48031/116690.46282*100)</f>
        <v>122.83735692359645</v>
      </c>
      <c r="D63" s="27">
        <f>IF(116690.46282="","-",116690.46282/3628984.82886*100)</f>
        <v>3.215512555798059</v>
      </c>
      <c r="E63" s="27">
        <f>IF(143339.48031="","-",143339.48031/4359977.4969*100)</f>
        <v>3.287619727668692</v>
      </c>
      <c r="F63" s="27">
        <f>IF(OR(3634169.64824="",109137.84482="",116690.46282=""),"-",(116690.46282-109137.84482)/3634169.64824*100)</f>
        <v>0.20782238395661237</v>
      </c>
      <c r="G63" s="27">
        <f>IF(OR(3628984.82886="",143339.48031="",116690.46282=""),"-",(143339.48031-116690.46282)/3628984.82886*100)</f>
        <v>0.7343380792906613</v>
      </c>
    </row>
    <row r="64" spans="1:7" s="16" customFormat="1" ht="25.5">
      <c r="A64" s="14" t="s">
        <v>92</v>
      </c>
      <c r="B64" s="27">
        <f>IF(9286.81004="","-",9286.81004)</f>
        <v>9286.81004</v>
      </c>
      <c r="C64" s="27">
        <f>IF(OR(6054.24868="",9286.81004=""),"-",9286.81004/6054.24868*100)</f>
        <v>153.39327026124073</v>
      </c>
      <c r="D64" s="27">
        <f>IF(6054.24868="","-",6054.24868/3628984.82886*100)</f>
        <v>0.166830366218474</v>
      </c>
      <c r="E64" s="27">
        <f>IF(9286.81004="","-",9286.81004/4359977.4969*100)</f>
        <v>0.21300132963078458</v>
      </c>
      <c r="F64" s="27">
        <f>IF(OR(3634169.64824="",7397.95599="",6054.24868=""),"-",(6054.24868-7397.95599)/3634169.64824*100)</f>
        <v>-0.036974259323604985</v>
      </c>
      <c r="G64" s="27">
        <f>IF(OR(3628984.82886="",9286.81004="",6054.24868=""),"-",(9286.81004-6054.24868)/3628984.82886*100)</f>
        <v>0.08907618831284753</v>
      </c>
    </row>
    <row r="65" spans="1:7" s="16" customFormat="1" ht="38.25">
      <c r="A65" s="14" t="s">
        <v>93</v>
      </c>
      <c r="B65" s="27">
        <f>IF(135165.04819="","-",135165.04819)</f>
        <v>135165.04819</v>
      </c>
      <c r="C65" s="27">
        <f>IF(OR(105508.0246="",135165.04819=""),"-",135165.04819/105508.0246*100)</f>
        <v>128.10878480801355</v>
      </c>
      <c r="D65" s="27">
        <f>IF(105508.0246="","-",105508.0246/3628984.82886*100)</f>
        <v>2.9073702309508973</v>
      </c>
      <c r="E65" s="27">
        <f>IF(135165.04819="","-",135165.04819/4359977.4969*100)</f>
        <v>3.1001317847650385</v>
      </c>
      <c r="F65" s="27">
        <f>IF(OR(3634169.64824="",121586.04747="",105508.0246=""),"-",(105508.0246-121586.04747)/3634169.64824*100)</f>
        <v>-0.4424125570964047</v>
      </c>
      <c r="G65" s="27">
        <f>IF(OR(3628984.82886="",135165.04819="",105508.0246=""),"-",(135165.04819-105508.0246)/3628984.82886*100)</f>
        <v>0.8172264417902342</v>
      </c>
    </row>
    <row r="66" spans="1:7" s="16" customFormat="1" ht="25.5">
      <c r="A66" s="14" t="s">
        <v>94</v>
      </c>
      <c r="B66" s="27">
        <f>IF(40399.76903="","-",40399.76903)</f>
        <v>40399.76903</v>
      </c>
      <c r="C66" s="27">
        <f>IF(OR(30709.32064="",40399.76903=""),"-",40399.76903/30709.32064*100)</f>
        <v>131.5553981268405</v>
      </c>
      <c r="D66" s="27">
        <f>IF(30709.32064="","-",30709.32064/3628984.82886*100)</f>
        <v>0.8462234505854066</v>
      </c>
      <c r="E66" s="27">
        <f>IF(40399.76903="","-",40399.76903/4359977.4969*100)</f>
        <v>0.9266049895607205</v>
      </c>
      <c r="F66" s="27">
        <f>IF(OR(3634169.64824="",26577.09522="",30709.32064=""),"-",(30709.32064-26577.09522)/3634169.64824*100)</f>
        <v>0.11370480247121117</v>
      </c>
      <c r="G66" s="27">
        <f>IF(OR(3628984.82886="",40399.76903="",30709.32064=""),"-",(40399.76903-30709.32064)/3628984.82886*100)</f>
        <v>0.2670291788749124</v>
      </c>
    </row>
    <row r="67" spans="1:7" s="16" customFormat="1" ht="38.25">
      <c r="A67" s="14" t="s">
        <v>95</v>
      </c>
      <c r="B67" s="27">
        <f>IF(104990.80022="","-",104990.80022)</f>
        <v>104990.80022</v>
      </c>
      <c r="C67" s="27">
        <f>IF(OR(74396.17419="",104990.80022=""),"-",104990.80022/74396.17419*100)</f>
        <v>141.12392386181654</v>
      </c>
      <c r="D67" s="27">
        <f>IF(74396.17419="","-",74396.17419/3628984.82886*100)</f>
        <v>2.0500547039589203</v>
      </c>
      <c r="E67" s="27">
        <f>IF(104990.80022="","-",104990.80022/4359977.4969*100)</f>
        <v>2.4080583052240483</v>
      </c>
      <c r="F67" s="27">
        <f>IF(OR(3634169.64824="",73080.7954="",74396.17419=""),"-",(74396.17419-73080.7954)/3634169.64824*100)</f>
        <v>0.03619475471204351</v>
      </c>
      <c r="G67" s="27">
        <f>IF(OR(3628984.82886="",104990.80022="",74396.17419=""),"-",(104990.80022-74396.17419)/3628984.82886*100)</f>
        <v>0.8430629355816547</v>
      </c>
    </row>
    <row r="68" spans="1:7" s="16" customFormat="1" ht="38.25" customHeight="1">
      <c r="A68" s="14" t="s">
        <v>96</v>
      </c>
      <c r="B68" s="27">
        <f>IF(290965.0226="","-",290965.0226)</f>
        <v>290965.0226</v>
      </c>
      <c r="C68" s="27">
        <f>IF(OR(244071.36453="",290965.0226=""),"-",290965.0226/244071.36453*100)</f>
        <v>119.21309292480974</v>
      </c>
      <c r="D68" s="27">
        <f>IF(244071.36453="","-",244071.36453/3628984.82886*100)</f>
        <v>6.725609944384142</v>
      </c>
      <c r="E68" s="27">
        <f>IF(290965.0226="","-",290965.0226/4359977.4969*100)</f>
        <v>6.673544136566758</v>
      </c>
      <c r="F68" s="27">
        <f>IF(OR(3634169.64824="",243763.63949="",244071.36453=""),"-",(244071.36453-243763.63949)/3634169.64824*100)</f>
        <v>0.008467547467109001</v>
      </c>
      <c r="G68" s="27">
        <f>IF(OR(3628984.82886="",290965.0226="",244071.36453=""),"-",(290965.0226-244071.36453)/3628984.82886*100)</f>
        <v>1.2921976883747703</v>
      </c>
    </row>
    <row r="69" spans="1:7" s="16" customFormat="1" ht="25.5">
      <c r="A69" s="14" t="s">
        <v>97</v>
      </c>
      <c r="B69" s="27">
        <f>IF(228011.60704="","-",228011.60704)</f>
        <v>228011.60704</v>
      </c>
      <c r="C69" s="27">
        <f>IF(OR(189449.05686="",228011.60704=""),"-",228011.60704/189449.05686*100)</f>
        <v>120.35510274854371</v>
      </c>
      <c r="D69" s="27">
        <f>IF(189449.05686="","-",189449.05686/3628984.82886*100)</f>
        <v>5.220442239200902</v>
      </c>
      <c r="E69" s="27">
        <f>IF(228011.60704="","-",228011.60704/4359977.4969*100)</f>
        <v>5.2296510062751285</v>
      </c>
      <c r="F69" s="27">
        <f>IF(OR(3634169.64824="",151419.01741="",189449.05686=""),"-",(189449.05686-151419.01741)/3634169.64824*100)</f>
        <v>1.0464574615667066</v>
      </c>
      <c r="G69" s="27">
        <f>IF(OR(3628984.82886="",228011.60704="",189449.05686=""),"-",(228011.60704-189449.05686)/3628984.82886*100)</f>
        <v>1.0626263817177195</v>
      </c>
    </row>
    <row r="70" spans="1:7" s="16" customFormat="1" ht="14.25" customHeight="1">
      <c r="A70" s="14" t="s">
        <v>98</v>
      </c>
      <c r="B70" s="27">
        <f>IF(2333.37225="","-",2333.37225)</f>
        <v>2333.37225</v>
      </c>
      <c r="C70" s="27" t="s">
        <v>193</v>
      </c>
      <c r="D70" s="27">
        <f>IF(1037.57275="","-",1037.57275/3628984.82886*100)</f>
        <v>0.028591267225714485</v>
      </c>
      <c r="E70" s="27">
        <f>IF(2333.37225="","-",2333.37225/4359977.4969*100)</f>
        <v>0.053517988376294554</v>
      </c>
      <c r="F70" s="27">
        <f>IF(OR(3634169.64824="",4485.48609="",1037.57275=""),"-",(1037.57275-4485.48609)/3634169.64824*100)</f>
        <v>-0.09487485928648921</v>
      </c>
      <c r="G70" s="27">
        <f>IF(OR(3628984.82886="",2333.37225="",1037.57275=""),"-",(2333.37225-1037.57275)/3628984.82886*100)</f>
        <v>0.03570694177873042</v>
      </c>
    </row>
    <row r="71" spans="1:7" s="16" customFormat="1" ht="13.5" customHeight="1">
      <c r="A71" s="15" t="s">
        <v>99</v>
      </c>
      <c r="B71" s="26">
        <f>IF(466278.79043="","-",466278.79043)</f>
        <v>466278.79043</v>
      </c>
      <c r="C71" s="26">
        <f>IF(358498.9952="","-",466278.79043/358498.9952*100)</f>
        <v>130.06418335144053</v>
      </c>
      <c r="D71" s="26">
        <f>IF(358498.9952="","-",358498.9952/3628984.82886*100)</f>
        <v>9.878768088226424</v>
      </c>
      <c r="E71" s="26">
        <f>IF(466278.79043="","-",466278.79043/4359977.4969*100)</f>
        <v>10.694522867641638</v>
      </c>
      <c r="F71" s="26">
        <f>IF(3634169.64824="","-",(358498.9952-336605.87024)/3634169.64824*100)</f>
        <v>0.6024244071985647</v>
      </c>
      <c r="G71" s="26">
        <f>IF(3628984.82886="","-",(466278.79043-358498.9952)/3628984.82886*100)</f>
        <v>2.9699709509079892</v>
      </c>
    </row>
    <row r="72" spans="1:7" s="16" customFormat="1" ht="38.25">
      <c r="A72" s="14" t="s">
        <v>100</v>
      </c>
      <c r="B72" s="27">
        <f>IF(37105.32243="","-",37105.32243)</f>
        <v>37105.32243</v>
      </c>
      <c r="C72" s="27">
        <f>IF(OR(30483.13151="",37105.32243=""),"-",37105.32243/30483.13151*100)</f>
        <v>121.72411623073434</v>
      </c>
      <c r="D72" s="27">
        <f>IF(30483.13151="","-",30483.13151/3628984.82886*100)</f>
        <v>0.8399906019881569</v>
      </c>
      <c r="E72" s="27">
        <f>IF(37105.32243="","-",37105.32243/4359977.4969*100)</f>
        <v>0.8510438977353063</v>
      </c>
      <c r="F72" s="27">
        <f>IF(OR(3634169.64824="",32444.52962="",30483.13151=""),"-",(30483.13151-32444.52962)/3634169.64824*100)</f>
        <v>-0.05397101125837347</v>
      </c>
      <c r="G72" s="27">
        <f>IF(OR(3628984.82886="",37105.32243="",30483.13151=""),"-",(37105.32243-30483.13151)/3628984.82886*100)</f>
        <v>0.1824805347031522</v>
      </c>
    </row>
    <row r="73" spans="1:7" s="16" customFormat="1" ht="14.25" customHeight="1">
      <c r="A73" s="14" t="s">
        <v>101</v>
      </c>
      <c r="B73" s="27">
        <f>IF(41734.92566="","-",41734.92566)</f>
        <v>41734.92566</v>
      </c>
      <c r="C73" s="27">
        <f>IF(OR(37613.76067="",41734.92566=""),"-",41734.92566/37613.76067*100)</f>
        <v>110.95653536522593</v>
      </c>
      <c r="D73" s="27">
        <f>IF(37613.76067="","-",37613.76067/3628984.82886*100)</f>
        <v>1.0364816179685132</v>
      </c>
      <c r="E73" s="27">
        <f>IF(41734.92566="","-",41734.92566/4359977.4969*100)</f>
        <v>0.9572280061003543</v>
      </c>
      <c r="F73" s="27">
        <f>IF(OR(3634169.64824="",37026.30076="",37613.76067=""),"-",(37613.76067-37026.30076)/3634169.64824*100)</f>
        <v>0.016164900564961445</v>
      </c>
      <c r="G73" s="27">
        <f>IF(OR(3628984.82886="",41734.92566="",37613.76067=""),"-",(41734.92566-37613.76067)/3628984.82886*100)</f>
        <v>0.11356247502678622</v>
      </c>
    </row>
    <row r="74" spans="1:7" s="16" customFormat="1" ht="15.75">
      <c r="A74" s="14" t="s">
        <v>102</v>
      </c>
      <c r="B74" s="27">
        <f>IF(12563.85033="","-",12563.85033)</f>
        <v>12563.85033</v>
      </c>
      <c r="C74" s="27" t="s">
        <v>212</v>
      </c>
      <c r="D74" s="27">
        <f>IF(4222.24004="","-",4222.24004/3628984.82886*100)</f>
        <v>0.11634769058338455</v>
      </c>
      <c r="E74" s="27">
        <f>IF(12563.85033="","-",12563.85033/4359977.4969*100)</f>
        <v>0.2881631921020936</v>
      </c>
      <c r="F74" s="27">
        <f>IF(OR(3634169.64824="",3389.34008="",4222.24004=""),"-",(4222.24004-3389.34008)/3634169.64824*100)</f>
        <v>0.022918576748429086</v>
      </c>
      <c r="G74" s="27">
        <f>IF(OR(3628984.82886="",12563.85033="",4222.24004=""),"-",(12563.85033-4222.24004)/3628984.82886*100)</f>
        <v>0.22986070990603766</v>
      </c>
    </row>
    <row r="75" spans="1:7" s="16" customFormat="1" ht="14.25" customHeight="1">
      <c r="A75" s="14" t="s">
        <v>103</v>
      </c>
      <c r="B75" s="27">
        <f>IF(119567.96172="","-",119567.96172)</f>
        <v>119567.96172</v>
      </c>
      <c r="C75" s="27">
        <f>IF(OR(92075.52764="",119567.96172=""),"-",119567.96172/92075.52764*100)</f>
        <v>129.8585680524046</v>
      </c>
      <c r="D75" s="27">
        <f>IF(92075.52764="","-",92075.52764/3628984.82886*100)</f>
        <v>2.537225477157048</v>
      </c>
      <c r="E75" s="27">
        <f>IF(119567.96172="","-",119567.96172/4359977.4969*100)</f>
        <v>2.7423985973554768</v>
      </c>
      <c r="F75" s="27">
        <f>IF(OR(3634169.64824="",71080.33716="",92075.52764=""),"-",(92075.52764-71080.33716)/3634169.64824*100)</f>
        <v>0.5777163014436547</v>
      </c>
      <c r="G75" s="27">
        <f>IF(OR(3628984.82886="",119567.96172="",92075.52764=""),"-",(119567.96172-92075.52764)/3628984.82886*100)</f>
        <v>0.7575791957398844</v>
      </c>
    </row>
    <row r="76" spans="1:7" s="16" customFormat="1" ht="15" customHeight="1">
      <c r="A76" s="14" t="s">
        <v>104</v>
      </c>
      <c r="B76" s="27">
        <f>IF(38470.38436="","-",38470.38436)</f>
        <v>38470.38436</v>
      </c>
      <c r="C76" s="27" t="s">
        <v>215</v>
      </c>
      <c r="D76" s="27">
        <f>IF(23354.22877="","-",23354.22877/3628984.82886*100)</f>
        <v>0.643547159091774</v>
      </c>
      <c r="E76" s="27">
        <f>IF(38470.38436="","-",38470.38436/4359977.4969*100)</f>
        <v>0.8823528191912214</v>
      </c>
      <c r="F76" s="27">
        <f>IF(OR(3634169.64824="",15902.032="",23354.22877=""),"-",(23354.22877-15902.032)/3634169.64824*100)</f>
        <v>0.20505913293313213</v>
      </c>
      <c r="G76" s="27">
        <f>IF(OR(3628984.82886="",38470.38436="",23354.22877=""),"-",(38470.38436-23354.22877)/3628984.82886*100)</f>
        <v>0.41653950906012877</v>
      </c>
    </row>
    <row r="77" spans="1:7" s="16" customFormat="1" ht="25.5">
      <c r="A77" s="14" t="s">
        <v>105</v>
      </c>
      <c r="B77" s="27">
        <f>IF(44661.64731="","-",44661.64731)</f>
        <v>44661.64731</v>
      </c>
      <c r="C77" s="27">
        <f>IF(OR(34483.17691="",44661.64731=""),"-",44661.64731/34483.17691*100)</f>
        <v>129.51720610477824</v>
      </c>
      <c r="D77" s="27">
        <f>IF(34483.17691="","-",34483.17691/3628984.82886*100)</f>
        <v>0.9502155158039738</v>
      </c>
      <c r="E77" s="27">
        <f>IF(44661.64731="","-",44661.64731/4359977.4969*100)</f>
        <v>1.024354995908924</v>
      </c>
      <c r="F77" s="27">
        <f>IF(OR(3634169.64824="",48751.87284="",34483.17691=""),"-",(34483.17691-48751.87284)/3634169.64824*100)</f>
        <v>-0.3926260277065001</v>
      </c>
      <c r="G77" s="27">
        <f>IF(OR(3628984.82886="",44661.64731="",34483.17691=""),"-",(44661.64731-34483.17691)/3628984.82886*100)</f>
        <v>0.2804770722394405</v>
      </c>
    </row>
    <row r="78" spans="1:7" ht="25.5">
      <c r="A78" s="10" t="s">
        <v>106</v>
      </c>
      <c r="B78" s="27">
        <f>IF(9315.83667="","-",9315.83667)</f>
        <v>9315.83667</v>
      </c>
      <c r="C78" s="27">
        <f>IF(OR(6772.4345="",9315.83667=""),"-",9315.83667/6772.4345*100)</f>
        <v>137.55521253103296</v>
      </c>
      <c r="D78" s="27">
        <f>IF(6772.4345="","-",6772.4345/3628984.82886*100)</f>
        <v>0.18662063412724367</v>
      </c>
      <c r="E78" s="27">
        <f>IF(9315.83667="","-",9315.83667/4359977.4969*100)</f>
        <v>0.2136670814613993</v>
      </c>
      <c r="F78" s="27">
        <f>IF(OR(3634169.64824="",6717.02874="",6772.4345=""),"-",(6772.4345-6717.02874)/3634169.64824*100)</f>
        <v>0.0015245782493074624</v>
      </c>
      <c r="G78" s="27">
        <f>IF(OR(3628984.82886="",9315.83667="",6772.4345=""),"-",(9315.83667-6772.4345)/3628984.82886*100)</f>
        <v>0.07008577577324782</v>
      </c>
    </row>
    <row r="79" spans="1:7" ht="13.5" customHeight="1">
      <c r="A79" s="11" t="s">
        <v>107</v>
      </c>
      <c r="B79" s="27">
        <f>IF(162858.86195="","-",162858.86195)</f>
        <v>162858.86195</v>
      </c>
      <c r="C79" s="27">
        <f>IF(OR(129494.49516="",162858.86195=""),"-",162858.86195/129494.49516*100)</f>
        <v>125.76508503220607</v>
      </c>
      <c r="D79" s="27">
        <f>IF(129494.49516="","-",129494.49516/3628984.82886*100)</f>
        <v>3.5683393915063317</v>
      </c>
      <c r="E79" s="27">
        <f>IF(162858.86195="","-",162858.86195/4359977.4969*100)</f>
        <v>3.7353142777868635</v>
      </c>
      <c r="F79" s="27">
        <f>IF(OR(3634169.64824="",121294.42904="",129494.49516=""),"-",(129494.49516-121294.42904)/3634169.64824*100)</f>
        <v>0.22563795622395424</v>
      </c>
      <c r="G79" s="27">
        <f>IF(OR(3628984.82886="",162858.86195="",129494.49516=""),"-",(162858.86195-129494.49516)/3628984.82886*100)</f>
        <v>0.9193856784593113</v>
      </c>
    </row>
    <row r="80" spans="1:7" ht="15.75">
      <c r="A80" s="80" t="s">
        <v>117</v>
      </c>
      <c r="B80" s="80"/>
      <c r="C80" s="80"/>
      <c r="D80" s="80"/>
      <c r="E80" s="80"/>
      <c r="F80" s="80"/>
      <c r="G80" s="80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F19" sqref="F19"/>
    </sheetView>
  </sheetViews>
  <sheetFormatPr defaultColWidth="9.00390625" defaultRowHeight="15.75"/>
  <cols>
    <col min="1" max="1" width="42.375" style="0" customWidth="1"/>
    <col min="2" max="3" width="12.25390625" style="0" customWidth="1"/>
    <col min="4" max="4" width="18.375" style="0" customWidth="1"/>
    <col min="6" max="6" width="12.125" style="0" bestFit="1" customWidth="1"/>
  </cols>
  <sheetData>
    <row r="1" spans="1:4" ht="15.75">
      <c r="A1" s="63" t="s">
        <v>118</v>
      </c>
      <c r="B1" s="63"/>
      <c r="C1" s="63"/>
      <c r="D1" s="63"/>
    </row>
    <row r="2" spans="1:4" ht="15.75">
      <c r="A2" s="63" t="s">
        <v>35</v>
      </c>
      <c r="B2" s="63"/>
      <c r="C2" s="63"/>
      <c r="D2" s="63"/>
    </row>
    <row r="3" ht="15.75">
      <c r="A3" s="5"/>
    </row>
    <row r="4" spans="1:5" ht="27.75" customHeight="1">
      <c r="A4" s="73"/>
      <c r="B4" s="77" t="s">
        <v>257</v>
      </c>
      <c r="C4" s="68"/>
      <c r="D4" s="69" t="s">
        <v>259</v>
      </c>
      <c r="E4" s="1"/>
    </row>
    <row r="5" spans="1:5" ht="27" customHeight="1">
      <c r="A5" s="74"/>
      <c r="B5" s="20">
        <v>2016</v>
      </c>
      <c r="C5" s="19">
        <v>2017</v>
      </c>
      <c r="D5" s="78"/>
      <c r="E5" s="1"/>
    </row>
    <row r="6" spans="1:6" ht="28.5">
      <c r="A6" s="7" t="s">
        <v>199</v>
      </c>
      <c r="B6" s="34">
        <f>IF(-1777856.05748="","-",-1777856.05748)</f>
        <v>-1777856.05748</v>
      </c>
      <c r="C6" s="34">
        <f>IF(-2167907.8475="","-",-2167907.8475)</f>
        <v>-2167907.8475</v>
      </c>
      <c r="D6" s="34">
        <f>IF(-1777856.05748="","-",-2167849.12352/-1777856.05748*100)</f>
        <v>121.93614406516076</v>
      </c>
      <c r="F6" s="48"/>
    </row>
    <row r="7" spans="1:4" ht="15.75">
      <c r="A7" s="8" t="s">
        <v>32</v>
      </c>
      <c r="B7" s="28"/>
      <c r="C7" s="28"/>
      <c r="D7" s="28"/>
    </row>
    <row r="8" spans="1:4" ht="15.75">
      <c r="A8" s="9" t="s">
        <v>36</v>
      </c>
      <c r="B8" s="26">
        <f>IF(53075.28569="","-",53075.28569)</f>
        <v>53075.28569</v>
      </c>
      <c r="C8" s="26">
        <f>IF(92270.69072="","-",92270.69072)</f>
        <v>92270.69072</v>
      </c>
      <c r="D8" s="26">
        <f>IF(53075.28569="","-",92270.69072/53075.28569*100)</f>
        <v>173.8486934558034</v>
      </c>
    </row>
    <row r="9" spans="1:4" ht="15.75">
      <c r="A9" s="8" t="s">
        <v>37</v>
      </c>
      <c r="B9" s="27">
        <f>IF(OR(2701.81101="",2701.81101=0),"-",2701.81101)</f>
        <v>2701.81101</v>
      </c>
      <c r="C9" s="27">
        <f>IF(OR(1119.92213="",1119.92213=0),"-",1119.92213)</f>
        <v>1119.92213</v>
      </c>
      <c r="D9" s="27">
        <f>IF(OR(2701.81101="",1119.92213="",2701.81101=0,1119.92213=0),"-",1119.92213/2701.81101*100)</f>
        <v>41.45079451726714</v>
      </c>
    </row>
    <row r="10" spans="1:4" ht="15.75">
      <c r="A10" s="8" t="s">
        <v>38</v>
      </c>
      <c r="B10" s="27">
        <f>IF(OR(-15758.76941="",-15758.76941=0),"-",-15758.76941)</f>
        <v>-15758.76941</v>
      </c>
      <c r="C10" s="27">
        <f>IF(OR(-23667.53507="",-23667.53507=0),"-",-23667.53507)</f>
        <v>-23667.53507</v>
      </c>
      <c r="D10" s="27">
        <f>IF(OR(-15758.76941="",-23667.53507="",-15758.76941=0,-23667.53507=0),"-",-23667.53507/-15758.76941*100)</f>
        <v>150.18644193741014</v>
      </c>
    </row>
    <row r="11" spans="1:4" ht="15.75">
      <c r="A11" s="8" t="s">
        <v>39</v>
      </c>
      <c r="B11" s="27">
        <f>IF(OR(-18505.67546="",-18505.67546=0),"-",-18505.67546)</f>
        <v>-18505.67546</v>
      </c>
      <c r="C11" s="27">
        <f>IF(OR(-26944.02527="",-26944.02527=0),"-",-26944.02527)</f>
        <v>-26944.02527</v>
      </c>
      <c r="D11" s="27">
        <f>IF(OR(-18505.67546="",-26944.02527="",-18505.67546=0,-26944.02527=0),"-",-26944.02527/-18505.67546*100)</f>
        <v>145.59871282861025</v>
      </c>
    </row>
    <row r="12" spans="1:4" ht="15.75">
      <c r="A12" s="8" t="s">
        <v>40</v>
      </c>
      <c r="B12" s="27">
        <f>IF(OR(-38574.59516="",-38574.59516=0),"-",-38574.59516)</f>
        <v>-38574.59516</v>
      </c>
      <c r="C12" s="27">
        <f>IF(OR(-41627.70598="",-41627.70598=0),"-",-41627.70598)</f>
        <v>-41627.70598</v>
      </c>
      <c r="D12" s="27">
        <f>IF(OR(-38574.59516="",-41627.70598="",-38574.59516=0,-41627.70598=0),"-",-41627.70598/-38574.59516*100)</f>
        <v>107.91482271514785</v>
      </c>
    </row>
    <row r="13" spans="1:4" ht="15.75">
      <c r="A13" s="8" t="s">
        <v>41</v>
      </c>
      <c r="B13" s="27">
        <f>IF(OR(103725.21466="",103725.21466=0),"-",103725.21466)</f>
        <v>103725.21466</v>
      </c>
      <c r="C13" s="27">
        <f>IF(OR(122189.78773="",122189.78773=0),"-",122189.78773)</f>
        <v>122189.78773</v>
      </c>
      <c r="D13" s="27">
        <f>IF(OR(103725.21466="",122189.78773="",103725.21466=0,122189.78773=0),"-",122189.78773/103725.21466*100)</f>
        <v>117.80143153284845</v>
      </c>
    </row>
    <row r="14" spans="1:4" ht="15.75">
      <c r="A14" s="8" t="s">
        <v>42</v>
      </c>
      <c r="B14" s="27">
        <f>IF(OR(96604.53265="",96604.53265=0),"-",96604.53265)</f>
        <v>96604.53265</v>
      </c>
      <c r="C14" s="27">
        <f>IF(OR(168723.55622="",168723.55622=0),"-",168723.55622)</f>
        <v>168723.55622</v>
      </c>
      <c r="D14" s="27">
        <f>IF(OR(96604.53265="",168723.55622="",96604.53265=0,168723.55622=0),"-",168723.55622/96604.53265*100)</f>
        <v>174.65387139885925</v>
      </c>
    </row>
    <row r="15" spans="1:4" ht="15.75">
      <c r="A15" s="8" t="s">
        <v>43</v>
      </c>
      <c r="B15" s="27">
        <f>IF(OR(24835.46747="",24835.46747=0),"-",24835.46747)</f>
        <v>24835.46747</v>
      </c>
      <c r="C15" s="27">
        <f>IF(OR(6444.93154="",6444.93154=0),"-",6444.93154)</f>
        <v>6444.93154</v>
      </c>
      <c r="D15" s="27">
        <f>IF(OR(24835.46747="",6444.93154="",24835.46747=0,6444.93154=0),"-",6444.93154/24835.46747*100)</f>
        <v>25.950514310975436</v>
      </c>
    </row>
    <row r="16" spans="1:4" ht="15.75">
      <c r="A16" s="8" t="s">
        <v>44</v>
      </c>
      <c r="B16" s="27">
        <f>IF(OR(-35098.08261="",-35098.08261=0),"-",-35098.08261)</f>
        <v>-35098.08261</v>
      </c>
      <c r="C16" s="27">
        <f>IF(OR(-37368.11151="",-37368.11151=0),"-",-37368.11151)</f>
        <v>-37368.11151</v>
      </c>
      <c r="D16" s="27">
        <f>IF(OR(-35098.08261="",-37368.11151="",-35098.08261=0,-37368.11151=0),"-",-37368.11151/-35098.08261*100)</f>
        <v>106.46767210968169</v>
      </c>
    </row>
    <row r="17" spans="1:4" ht="15.75">
      <c r="A17" s="8" t="s">
        <v>45</v>
      </c>
      <c r="B17" s="27">
        <f>IF(OR(-10768.38429="",-10768.38429=0),"-",-10768.38429)</f>
        <v>-10768.38429</v>
      </c>
      <c r="C17" s="27">
        <f>IF(OR(-14916.70328="",-14916.70328=0),"-",-14916.70328)</f>
        <v>-14916.70328</v>
      </c>
      <c r="D17" s="27">
        <f>IF(OR(-10768.38429="",-14916.70328="",-10768.38429=0,-14916.70328=0),"-",-14916.70328/-10768.38429*100)</f>
        <v>138.52313288867592</v>
      </c>
    </row>
    <row r="18" spans="1:4" ht="15.75">
      <c r="A18" s="8" t="s">
        <v>46</v>
      </c>
      <c r="B18" s="27">
        <f>IF(OR(-56086.23317="",-56086.23317=0),"-",-56086.23317)</f>
        <v>-56086.23317</v>
      </c>
      <c r="C18" s="27">
        <f>IF(OR(-61683.42579="",-61683.42579=0),"-",-61683.42579)</f>
        <v>-61683.42579</v>
      </c>
      <c r="D18" s="27">
        <f>IF(OR(-56086.23317="",-61683.42579="",-56086.23317=0,-61683.42579=0),"-",-61683.42579/-56086.23317*100)</f>
        <v>109.97961942467174</v>
      </c>
    </row>
    <row r="19" spans="1:4" ht="15.75">
      <c r="A19" s="9" t="s">
        <v>47</v>
      </c>
      <c r="B19" s="26">
        <f>IF(59288.59216="","-",59288.59216)</f>
        <v>59288.59216</v>
      </c>
      <c r="C19" s="26">
        <f>IF(74411.80435="","-",74411.80435)</f>
        <v>74411.80435</v>
      </c>
      <c r="D19" s="26">
        <f>IF(59288.59216="","-",74411.80435/59288.59216*100)</f>
        <v>125.5077943986046</v>
      </c>
    </row>
    <row r="20" spans="1:4" ht="15.75">
      <c r="A20" s="8" t="s">
        <v>48</v>
      </c>
      <c r="B20" s="27">
        <f>IF(OR(98751.97484="",98751.97484=0),"-",98751.97484)</f>
        <v>98751.97484</v>
      </c>
      <c r="C20" s="27">
        <f>IF(OR(113944.02027="",113944.02027=0),"-",113944.02027)</f>
        <v>113944.02027</v>
      </c>
      <c r="D20" s="27">
        <f>IF(OR(98751.97484="",113944.02027="",98751.97484=0,113944.02027=0),"-",113944.02027/98751.97484*100)</f>
        <v>115.38404214661475</v>
      </c>
    </row>
    <row r="21" spans="1:4" ht="15.75">
      <c r="A21" s="8" t="s">
        <v>49</v>
      </c>
      <c r="B21" s="27">
        <f>IF(OR(-39463.38268="",-39463.38268=0),"-",-39463.38268)</f>
        <v>-39463.38268</v>
      </c>
      <c r="C21" s="27">
        <f>IF(OR(-39532.21592="",-39532.21592=0),"-",-39532.21592)</f>
        <v>-39532.21592</v>
      </c>
      <c r="D21" s="27">
        <f>IF(OR(-39463.38268="",-39532.21592="",-39463.38268=0,-39532.21592=0),"-",-39532.21592/-39463.38268*100)</f>
        <v>100.17442306088698</v>
      </c>
    </row>
    <row r="22" spans="1:4" ht="15.75">
      <c r="A22" s="9" t="s">
        <v>50</v>
      </c>
      <c r="B22" s="26">
        <f>IF(116460.17279="","-",116460.17279)</f>
        <v>116460.17279</v>
      </c>
      <c r="C22" s="26">
        <f>IF(140112.37443="","-",140112.37443)</f>
        <v>140112.37443</v>
      </c>
      <c r="D22" s="26">
        <f>IF(116460.17279="","-",140112.37443/116460.17279*100)</f>
        <v>120.30926201925654</v>
      </c>
    </row>
    <row r="23" spans="1:4" ht="15.75">
      <c r="A23" s="8" t="s">
        <v>51</v>
      </c>
      <c r="B23" s="27">
        <f>IF(OR(3260.66914="",3260.66914=0),"-",3260.66914)</f>
        <v>3260.66914</v>
      </c>
      <c r="C23" s="27">
        <f>IF(OR(3346.33674="",3346.33674=0),"-",3346.33674)</f>
        <v>3346.33674</v>
      </c>
      <c r="D23" s="27">
        <f>IF(OR(3260.66914="",3346.33674="",3260.66914=0,3346.33674=0),"-",3346.33674/3260.66914*100)</f>
        <v>102.62730121707473</v>
      </c>
    </row>
    <row r="24" spans="1:4" ht="15.75">
      <c r="A24" s="8" t="s">
        <v>52</v>
      </c>
      <c r="B24" s="27">
        <f>IF(OR(152966.65201="",152966.65201=0),"-",152966.65201)</f>
        <v>152966.65201</v>
      </c>
      <c r="C24" s="27">
        <f>IF(OR(181841.6074="",181841.6074=0),"-",181841.6074)</f>
        <v>181841.6074</v>
      </c>
      <c r="D24" s="27">
        <f>IF(OR(152966.65201="",181841.6074="",152966.65201=0,181841.6074=0),"-",181841.6074/152966.65201*100)</f>
        <v>118.87663422751278</v>
      </c>
    </row>
    <row r="25" spans="1:4" ht="15.75">
      <c r="A25" s="8" t="s">
        <v>53</v>
      </c>
      <c r="B25" s="27">
        <f>IF(OR(-552.18652="",-552.18652=0),"-",-552.18652)</f>
        <v>-552.18652</v>
      </c>
      <c r="C25" s="27">
        <f>IF(OR(-689.74633="",-689.74633=0),"-",-689.74633)</f>
        <v>-689.74633</v>
      </c>
      <c r="D25" s="27">
        <f>IF(OR(-552.18652="",-689.74633="",-552.18652=0,-689.74633=0),"-",-689.74633/-552.18652*100)</f>
        <v>124.9118377609073</v>
      </c>
    </row>
    <row r="26" spans="1:4" ht="15.75">
      <c r="A26" s="8" t="s">
        <v>54</v>
      </c>
      <c r="B26" s="27">
        <f>IF(OR(-22933.5527="",-22933.5527=0),"-",-22933.5527)</f>
        <v>-22933.5527</v>
      </c>
      <c r="C26" s="27">
        <f>IF(OR(-30117.29736="",-30117.29736=0),"-",-30117.29736)</f>
        <v>-30117.29736</v>
      </c>
      <c r="D26" s="27">
        <f>IF(OR(-22933.5527="",-30117.29736="",-22933.5527=0,-30117.29736=0),"-",-30117.29736/-22933.5527*100)</f>
        <v>131.3241683657674</v>
      </c>
    </row>
    <row r="27" spans="1:4" ht="15.75">
      <c r="A27" s="8" t="s">
        <v>55</v>
      </c>
      <c r="B27" s="27">
        <f>IF(OR(1783.62757="",1783.62757=0),"-",1783.62757)</f>
        <v>1783.62757</v>
      </c>
      <c r="C27" s="27">
        <f>IF(OR(2153.57946="",2153.57946=0),"-",2153.57946)</f>
        <v>2153.57946</v>
      </c>
      <c r="D27" s="27">
        <f>IF(OR(1783.62757="",2153.57946="",1783.62757=0,2153.57946=0),"-",2153.57946/1783.62757*100)</f>
        <v>120.74154359477633</v>
      </c>
    </row>
    <row r="28" spans="1:4" ht="25.5">
      <c r="A28" s="8" t="s">
        <v>56</v>
      </c>
      <c r="B28" s="27">
        <f>IF(OR(-6379.44416="",-6379.44416=0),"-",-6379.44416)</f>
        <v>-6379.44416</v>
      </c>
      <c r="C28" s="27">
        <f>IF(OR(-7825.93793="",-7825.93793=0),"-",-7825.93793)</f>
        <v>-7825.93793</v>
      </c>
      <c r="D28" s="27">
        <f>IF(OR(-6379.44416="",-7825.93793="",-6379.44416=0,-7825.93793=0),"-",-7825.93793/-6379.44416*100)</f>
        <v>122.67429157966012</v>
      </c>
    </row>
    <row r="29" spans="1:4" ht="25.5">
      <c r="A29" s="8" t="s">
        <v>57</v>
      </c>
      <c r="B29" s="27">
        <f>IF(OR(-3502.08443="",-3502.08443=0),"-",-3502.08443)</f>
        <v>-3502.08443</v>
      </c>
      <c r="C29" s="27">
        <f>IF(OR(-162.79741="",-162.79741=0),"-",-162.79741)</f>
        <v>-162.79741</v>
      </c>
      <c r="D29" s="27">
        <f>IF(OR(-3502.08443="",-162.79741="",-3502.08443=0,-162.79741=0),"-",-162.79741/-3502.08443*100)</f>
        <v>4.648586099336275</v>
      </c>
    </row>
    <row r="30" spans="1:4" ht="15.75">
      <c r="A30" s="8" t="s">
        <v>58</v>
      </c>
      <c r="B30" s="27">
        <f>IF(OR(9257.98112="",9257.98112=0),"-",9257.98112)</f>
        <v>9257.98112</v>
      </c>
      <c r="C30" s="27">
        <f>IF(OR(12950.89502="",12950.89502=0),"-",12950.89502)</f>
        <v>12950.89502</v>
      </c>
      <c r="D30" s="27">
        <f>IF(OR(9257.98112="",12950.89502="",9257.98112=0,12950.89502=0),"-",12950.89502/9257.98112*100)</f>
        <v>139.88897635600276</v>
      </c>
    </row>
    <row r="31" spans="1:4" ht="15.75">
      <c r="A31" s="8" t="s">
        <v>59</v>
      </c>
      <c r="B31" s="27">
        <f>IF(OR(-17441.48924="",-17441.48924=0),"-",-17441.48924)</f>
        <v>-17441.48924</v>
      </c>
      <c r="C31" s="27">
        <f>IF(OR(-21384.26516="",-21384.26516=0),"-",-21384.26516)</f>
        <v>-21384.26516</v>
      </c>
      <c r="D31" s="27">
        <f>IF(OR(-17441.48924="",-21384.26516="",-17441.48924=0,-21384.26516=0),"-",-21384.26516/-17441.48924*100)</f>
        <v>122.60572973870664</v>
      </c>
    </row>
    <row r="32" spans="1:4" ht="15.75">
      <c r="A32" s="9" t="s">
        <v>60</v>
      </c>
      <c r="B32" s="26">
        <f>IF(-537203.9505="","-",-537203.9505)</f>
        <v>-537203.9505</v>
      </c>
      <c r="C32" s="26">
        <f>IF(-666346.83739="","-",-666346.83739)</f>
        <v>-666346.83739</v>
      </c>
      <c r="D32" s="26">
        <f>IF(-537203.9505="","-",-666346.83739/-537203.9505*100)</f>
        <v>124.03982449678578</v>
      </c>
    </row>
    <row r="33" spans="1:4" ht="15.75">
      <c r="A33" s="8" t="s">
        <v>61</v>
      </c>
      <c r="B33" s="27">
        <f>IF(OR(-8557.68134="",-8557.68134=0),"-",-8557.68134)</f>
        <v>-8557.68134</v>
      </c>
      <c r="C33" s="27">
        <f>IF(OR(-22446.80691="",-22446.80691=0),"-",-22446.80691)</f>
        <v>-22446.80691</v>
      </c>
      <c r="D33" s="27" t="s">
        <v>198</v>
      </c>
    </row>
    <row r="34" spans="1:4" ht="15.75">
      <c r="A34" s="8" t="s">
        <v>62</v>
      </c>
      <c r="B34" s="27">
        <f>IF(OR(-331803.22501="",-331803.22501=0),"-",-331803.22501)</f>
        <v>-331803.22501</v>
      </c>
      <c r="C34" s="27">
        <f>IF(OR(-417427.17645="",-417427.17645=0),"-",-417427.17645)</f>
        <v>-417427.17645</v>
      </c>
      <c r="D34" s="27">
        <f>IF(OR(-331803.22501="",-417427.17645="",-331803.22501=0,-417427.17645=0),"-",-417427.17645/-331803.22501*100)</f>
        <v>125.80564171352448</v>
      </c>
    </row>
    <row r="35" spans="1:4" ht="15.75">
      <c r="A35" s="8" t="s">
        <v>63</v>
      </c>
      <c r="B35" s="27">
        <f>IF(OR(-196595.71808="",-196595.71808=0),"-",-196595.71808)</f>
        <v>-196595.71808</v>
      </c>
      <c r="C35" s="27">
        <f>IF(OR(-172309.21079="",-172309.21079=0),"-",-172309.21079)</f>
        <v>-172309.21079</v>
      </c>
      <c r="D35" s="27">
        <f>IF(OR(-196595.71808="",-172309.21079="",-196595.71808=0,-172309.21079=0),"-",-172309.21079/-196595.71808*100)</f>
        <v>87.64647189308712</v>
      </c>
    </row>
    <row r="36" spans="1:4" ht="15.75">
      <c r="A36" s="8" t="s">
        <v>64</v>
      </c>
      <c r="B36" s="27">
        <f>IF(OR(-247.32607="",-247.32607=0),"-",-247.32607)</f>
        <v>-247.32607</v>
      </c>
      <c r="C36" s="27">
        <f>IF(OR(-54163.64324="",-54163.64324=0),"-",-54163.64324)</f>
        <v>-54163.64324</v>
      </c>
      <c r="D36" s="27" t="s">
        <v>281</v>
      </c>
    </row>
    <row r="37" spans="1:4" ht="15.75">
      <c r="A37" s="9" t="s">
        <v>65</v>
      </c>
      <c r="B37" s="26">
        <f>IF(35192.95671="","-",35192.95671)</f>
        <v>35192.95671</v>
      </c>
      <c r="C37" s="26">
        <f>IF(29458.71892="","-",29458.71892)</f>
        <v>29458.71892</v>
      </c>
      <c r="D37" s="26">
        <f>IF(35192.95671="","-",29458.71892/35192.95671*100)</f>
        <v>83.70629146834193</v>
      </c>
    </row>
    <row r="38" spans="1:4" ht="15.75">
      <c r="A38" s="8" t="s">
        <v>66</v>
      </c>
      <c r="B38" s="27">
        <f>IF(OR(-872.96483="",-872.96483=0),"-",-872.96483)</f>
        <v>-872.96483</v>
      </c>
      <c r="C38" s="27">
        <f>IF(OR(-1204.32457="",-1204.32457=0),"-",-1204.32457)</f>
        <v>-1204.32457</v>
      </c>
      <c r="D38" s="27">
        <f>IF(OR(-872.96483="",-1204.32457="",-872.96483=0,-1204.32457=0),"-",-1204.32457/-872.96483*100)</f>
        <v>137.9579713423277</v>
      </c>
    </row>
    <row r="39" spans="1:4" ht="25.5">
      <c r="A39" s="8" t="s">
        <v>67</v>
      </c>
      <c r="B39" s="27">
        <f>IF(OR(37666.14019="",37666.14019=0),"-",37666.14019)</f>
        <v>37666.14019</v>
      </c>
      <c r="C39" s="27">
        <f>IF(OR(32990.53237="",32990.53237=0),"-",32990.53237)</f>
        <v>32990.53237</v>
      </c>
      <c r="D39" s="27">
        <f>IF(OR(37666.14019="",32990.53237="",37666.14019=0,32990.53237=0),"-",32990.53237/37666.14019*100)</f>
        <v>87.58670839004277</v>
      </c>
    </row>
    <row r="40" spans="1:4" ht="25.5">
      <c r="A40" s="8" t="s">
        <v>68</v>
      </c>
      <c r="B40" s="27">
        <f>IF(OR(-1600.21865="",-1600.21865=0),"-",-1600.21865)</f>
        <v>-1600.21865</v>
      </c>
      <c r="C40" s="27">
        <f>IF(OR(-2327.48888="",-2327.48888=0),"-",-2327.48888)</f>
        <v>-2327.48888</v>
      </c>
      <c r="D40" s="27">
        <f>IF(OR(-1600.21865="",-2327.48888="",-1600.21865=0,-2327.48888=0),"-",-2327.48888/-1600.21865*100)</f>
        <v>145.44817859734357</v>
      </c>
    </row>
    <row r="41" spans="1:4" ht="25.5">
      <c r="A41" s="9" t="s">
        <v>69</v>
      </c>
      <c r="B41" s="26">
        <f>IF(-467020.68483="","-",-467020.68483)</f>
        <v>-467020.68483</v>
      </c>
      <c r="C41" s="26">
        <f>IF(-538275.90714="","-",-538275.90714)</f>
        <v>-538275.90714</v>
      </c>
      <c r="D41" s="26">
        <f>IF(-467020.68483="","-",-538275.90714/-467020.68483*100)</f>
        <v>115.25740178637646</v>
      </c>
    </row>
    <row r="42" spans="1:4" ht="15.75">
      <c r="A42" s="8" t="s">
        <v>70</v>
      </c>
      <c r="B42" s="27">
        <f>IF(OR(-26.23907="",-26.23907=0),"-",-26.23907)</f>
        <v>-26.23907</v>
      </c>
      <c r="C42" s="27">
        <f>IF(OR(1970.45689="",1970.45689=0),"-",1970.45689)</f>
        <v>1970.45689</v>
      </c>
      <c r="D42" s="27" t="s">
        <v>33</v>
      </c>
    </row>
    <row r="43" spans="1:4" ht="15.75">
      <c r="A43" s="8" t="s">
        <v>71</v>
      </c>
      <c r="B43" s="27">
        <f>IF(OR(-10911.20963="",-10911.20963=0),"-",-10911.20963)</f>
        <v>-10911.20963</v>
      </c>
      <c r="C43" s="27">
        <f>IF(OR(-11540.83844="",-11540.83844=0),"-",-11540.83844)</f>
        <v>-11540.83844</v>
      </c>
      <c r="D43" s="27">
        <f>IF(OR(-10911.20963="",-11540.83844="",-10911.20963=0,-11540.83844=0),"-",-11540.83844/-10911.20963*100)</f>
        <v>105.77047670561528</v>
      </c>
    </row>
    <row r="44" spans="1:4" ht="15.75">
      <c r="A44" s="8" t="s">
        <v>72</v>
      </c>
      <c r="B44" s="27">
        <f>IF(OR(-26007.69259="",-26007.69259=0),"-",-26007.69259)</f>
        <v>-26007.69259</v>
      </c>
      <c r="C44" s="27">
        <f>IF(OR(-29500.35535="",-29500.35535=0),"-",-29500.35535)</f>
        <v>-29500.35535</v>
      </c>
      <c r="D44" s="27">
        <f>IF(OR(-26007.69259="",-29500.35535="",-26007.69259=0,-29500.35535=0),"-",-29500.35535/-26007.69259*100)</f>
        <v>113.42934498288764</v>
      </c>
    </row>
    <row r="45" spans="1:4" ht="15.75">
      <c r="A45" s="8" t="s">
        <v>73</v>
      </c>
      <c r="B45" s="27">
        <f>IF(OR(-115433.49003="",-115433.49003=0),"-",-115433.49003)</f>
        <v>-115433.49003</v>
      </c>
      <c r="C45" s="27">
        <f>IF(OR(-139734.93759="",-139734.93759=0),"-",-139734.93759)</f>
        <v>-139734.93759</v>
      </c>
      <c r="D45" s="27">
        <f>IF(OR(-115433.49003="",-139734.93759="",-115433.49003=0,-139734.93759=0),"-",-139734.93759/-115433.49003*100)</f>
        <v>121.05233719753625</v>
      </c>
    </row>
    <row r="46" spans="1:4" ht="25.5">
      <c r="A46" s="8" t="s">
        <v>74</v>
      </c>
      <c r="B46" s="27">
        <f>IF(OR(-68357.22461="",-68357.22461=0),"-",-68357.22461)</f>
        <v>-68357.22461</v>
      </c>
      <c r="C46" s="27">
        <f>IF(OR(-74052.17635="",-74052.17635=0),"-",-74052.17635)</f>
        <v>-74052.17635</v>
      </c>
      <c r="D46" s="27">
        <f>IF(OR(-68357.22461="",-74052.17635="",-68357.22461=0,-74052.17635=0),"-",-74052.17635/-68357.22461*100)</f>
        <v>108.33116290559121</v>
      </c>
    </row>
    <row r="47" spans="1:4" ht="15.75">
      <c r="A47" s="8" t="s">
        <v>75</v>
      </c>
      <c r="B47" s="27">
        <f>IF(OR(-48101.00195="",-48101.00195=0),"-",-48101.00195)</f>
        <v>-48101.00195</v>
      </c>
      <c r="C47" s="27">
        <f>IF(OR(-59047.91152="",-59047.91152=0),"-",-59047.91152)</f>
        <v>-59047.91152</v>
      </c>
      <c r="D47" s="27">
        <f>IF(OR(-48101.00195="",-59047.91152="",-48101.00195=0,-59047.91152=0),"-",-59047.91152/-48101.00195*100)</f>
        <v>122.75817368914497</v>
      </c>
    </row>
    <row r="48" spans="1:4" ht="15.75">
      <c r="A48" s="8" t="s">
        <v>76</v>
      </c>
      <c r="B48" s="27">
        <f>IF(OR(-38352.31774="",-38352.31774=0),"-",-38352.31774)</f>
        <v>-38352.31774</v>
      </c>
      <c r="C48" s="27">
        <f>IF(OR(-44588.34846="",-44588.34846=0),"-",-44588.34846)</f>
        <v>-44588.34846</v>
      </c>
      <c r="D48" s="27">
        <f>IF(OR(-38352.31774="",-44588.34846="",-38352.31774=0,-44588.34846=0),"-",-44588.34846/-38352.31774*100)</f>
        <v>116.25985360852407</v>
      </c>
    </row>
    <row r="49" spans="1:4" ht="15.75">
      <c r="A49" s="8" t="s">
        <v>77</v>
      </c>
      <c r="B49" s="27">
        <f>IF(OR(-75882.23693="",-75882.23693=0),"-",-75882.23693)</f>
        <v>-75882.23693</v>
      </c>
      <c r="C49" s="27">
        <f>IF(OR(-87207.27213="",-87207.27213=0),"-",-87207.27213)</f>
        <v>-87207.27213</v>
      </c>
      <c r="D49" s="27">
        <f>IF(OR(-75882.23693="",-87207.27213="",-75882.23693=0,-87207.27213=0),"-",-87207.27213/-75882.23693*100)</f>
        <v>114.92448780924467</v>
      </c>
    </row>
    <row r="50" spans="1:4" ht="15.75">
      <c r="A50" s="8" t="s">
        <v>78</v>
      </c>
      <c r="B50" s="27">
        <f>IF(OR(-83949.27228="",-83949.27228=0),"-",-83949.27228)</f>
        <v>-83949.27228</v>
      </c>
      <c r="C50" s="27">
        <f>IF(OR(-94574.52419="",-94574.52419=0),"-",-94574.52419)</f>
        <v>-94574.52419</v>
      </c>
      <c r="D50" s="27">
        <f>IF(OR(-83949.27228="",-94574.52419="",-83949.27228=0,-94574.52419=0),"-",-94574.52419/-83949.27228*100)</f>
        <v>112.6567528477925</v>
      </c>
    </row>
    <row r="51" spans="1:4" ht="25.5">
      <c r="A51" s="9" t="s">
        <v>79</v>
      </c>
      <c r="B51" s="26">
        <f>IF(-628151.40329="","-",-628151.40329)</f>
        <v>-628151.40329</v>
      </c>
      <c r="C51" s="26">
        <f>IF(-749857.66852="","-",-749857.66852)</f>
        <v>-749857.66852</v>
      </c>
      <c r="D51" s="26">
        <f>IF(-628151.40329="","-",-749857.66852/-628151.40329*100)</f>
        <v>119.37530738489993</v>
      </c>
    </row>
    <row r="52" spans="1:4" ht="15.75">
      <c r="A52" s="8" t="s">
        <v>80</v>
      </c>
      <c r="B52" s="27">
        <f>IF(OR(-34798.85456="",-34798.85456=0),"-",-34798.85456)</f>
        <v>-34798.85456</v>
      </c>
      <c r="C52" s="27">
        <f>IF(OR(-39134.73468="",-39134.73468=0),"-",-39134.73468)</f>
        <v>-39134.73468</v>
      </c>
      <c r="D52" s="27">
        <f>IF(OR(-34798.85456="",-39134.73468="",-34798.85456=0,-39134.73468=0),"-",-39134.73468/-34798.85456*100)</f>
        <v>112.45983574696143</v>
      </c>
    </row>
    <row r="53" spans="1:4" ht="15.75">
      <c r="A53" s="8" t="s">
        <v>81</v>
      </c>
      <c r="B53" s="27">
        <f>IF(OR(-43990.1639="",-43990.1639=0),"-",-43990.1639)</f>
        <v>-43990.1639</v>
      </c>
      <c r="C53" s="27">
        <f>IF(OR(-51471.11756="",-51471.11756=0),"-",-51471.11756)</f>
        <v>-51471.11756</v>
      </c>
      <c r="D53" s="27">
        <f>IF(OR(-43990.1639="",-51471.11756="",-43990.1639=0,-51471.11756=0),"-",-51471.11756/-43990.1639*100)</f>
        <v>117.00596905482318</v>
      </c>
    </row>
    <row r="54" spans="1:4" ht="15.75">
      <c r="A54" s="8" t="s">
        <v>82</v>
      </c>
      <c r="B54" s="27">
        <f>IF(OR(-45710.91288="",-45710.91288=0),"-",-45710.91288)</f>
        <v>-45710.91288</v>
      </c>
      <c r="C54" s="27">
        <f>IF(OR(-56292.92422="",-56292.92422=0),"-",-56292.92422)</f>
        <v>-56292.92422</v>
      </c>
      <c r="D54" s="27">
        <f>IF(OR(-45710.91288="",-56292.92422="",-45710.91288=0,-56292.92422=0),"-",-56292.92422/-45710.91288*100)</f>
        <v>123.14985782012235</v>
      </c>
    </row>
    <row r="55" spans="1:4" ht="25.5">
      <c r="A55" s="8" t="s">
        <v>83</v>
      </c>
      <c r="B55" s="27">
        <f>IF(OR(-67420.08925="",-67420.08925=0),"-",-67420.08925)</f>
        <v>-67420.08925</v>
      </c>
      <c r="C55" s="27">
        <f>IF(OR(-73088.51527="",-73088.51527=0),"-",-73088.51527)</f>
        <v>-73088.51527</v>
      </c>
      <c r="D55" s="27">
        <f>IF(OR(-67420.08925="",-73088.51527="",-67420.08925=0,-73088.51527=0),"-",-73088.51527/-67420.08925*100)</f>
        <v>108.40762164965541</v>
      </c>
    </row>
    <row r="56" spans="1:4" ht="25.5">
      <c r="A56" s="8" t="s">
        <v>84</v>
      </c>
      <c r="B56" s="27">
        <f>IF(OR(-160207.80907="",-160207.80907=0),"-",-160207.80907)</f>
        <v>-160207.80907</v>
      </c>
      <c r="C56" s="27">
        <f>IF(OR(-178144.7432="",-178144.7432=0),"-",-178144.7432)</f>
        <v>-178144.7432</v>
      </c>
      <c r="D56" s="27">
        <f>IF(OR(-160207.80907="",-178144.7432="",-160207.80907=0,-178144.7432=0),"-",-178144.7432/-160207.80907*100)</f>
        <v>111.19604233658971</v>
      </c>
    </row>
    <row r="57" spans="1:4" ht="15.75">
      <c r="A57" s="8" t="s">
        <v>85</v>
      </c>
      <c r="B57" s="27">
        <f>IF(OR(-59796.58403="",-59796.58403=0),"-",-59796.58403)</f>
        <v>-59796.58403</v>
      </c>
      <c r="C57" s="27">
        <f>IF(OR(-76317.33463="",-76317.33463=0),"-",-76317.33463)</f>
        <v>-76317.33463</v>
      </c>
      <c r="D57" s="27">
        <f>IF(OR(-59796.58403="",-76317.33463="",-59796.58403=0,-76317.33463=0),"-",-76317.33463/-59796.58403*100)</f>
        <v>127.62825145950063</v>
      </c>
    </row>
    <row r="58" spans="1:4" ht="15.75">
      <c r="A58" s="8" t="s">
        <v>86</v>
      </c>
      <c r="B58" s="27">
        <f>IF(OR(-82449.96869="",-82449.96869=0),"-",-82449.96869)</f>
        <v>-82449.96869</v>
      </c>
      <c r="C58" s="27">
        <f>IF(OR(-98917.14533="",-98917.14533=0),"-",-98917.14533)</f>
        <v>-98917.14533</v>
      </c>
      <c r="D58" s="27">
        <f>IF(OR(-82449.96869="",-98917.14533="",-82449.96869=0,-98917.14533=0),"-",-98917.14533/-82449.96869*100)</f>
        <v>119.97232612896947</v>
      </c>
    </row>
    <row r="59" spans="1:4" ht="15.75">
      <c r="A59" s="8" t="s">
        <v>87</v>
      </c>
      <c r="B59" s="27">
        <f>IF(OR(-47839.39729="",-47839.39729=0),"-",-47839.39729)</f>
        <v>-47839.39729</v>
      </c>
      <c r="C59" s="27">
        <f>IF(OR(-74735.52793="",-74735.52793=0),"-",-74735.52793)</f>
        <v>-74735.52793</v>
      </c>
      <c r="D59" s="27" t="s">
        <v>215</v>
      </c>
    </row>
    <row r="60" spans="1:4" ht="15.75">
      <c r="A60" s="8" t="s">
        <v>88</v>
      </c>
      <c r="B60" s="27">
        <f>IF(OR(-85937.62362="",-85937.62362=0),"-",-85937.62362)</f>
        <v>-85937.62362</v>
      </c>
      <c r="C60" s="27">
        <f>IF(OR(-101755.6257="",-101755.6257=0),"-",-101755.6257)</f>
        <v>-101755.6257</v>
      </c>
      <c r="D60" s="27">
        <f>IF(OR(-85937.62362="",-101755.6257="",-85937.62362=0,-101755.6257=0),"-",-101755.6257/-85937.62362*100)</f>
        <v>118.40637594302612</v>
      </c>
    </row>
    <row r="61" spans="1:4" ht="15.75">
      <c r="A61" s="9" t="s">
        <v>89</v>
      </c>
      <c r="B61" s="26">
        <f>IF(-478925.31267="","-",-478925.31267)</f>
        <v>-478925.31267</v>
      </c>
      <c r="C61" s="26">
        <f>IF(-572675.71244="","-",-572675.71244)</f>
        <v>-572675.71244</v>
      </c>
      <c r="D61" s="26">
        <f>IF(-478925.31267="","-",-572675.71244/-478925.31267*100)</f>
        <v>119.57516073797463</v>
      </c>
    </row>
    <row r="62" spans="1:4" ht="15.75">
      <c r="A62" s="8" t="s">
        <v>90</v>
      </c>
      <c r="B62" s="27">
        <f>IF(OR(-8675.34318="",-8675.34318=0),"-",-8675.34318)</f>
        <v>-8675.34318</v>
      </c>
      <c r="C62" s="27">
        <f>IF(OR(-13113.25505="",-13113.25505=0),"-",-13113.25505)</f>
        <v>-13113.25505</v>
      </c>
      <c r="D62" s="27">
        <f>IF(OR(-8675.34318="",-13113.25505="",-8675.34318=0,-13113.25505=0),"-",-13113.25505/-8675.34318*100)</f>
        <v>151.15546184076143</v>
      </c>
    </row>
    <row r="63" spans="1:4" ht="15.75">
      <c r="A63" s="8" t="s">
        <v>91</v>
      </c>
      <c r="B63" s="27">
        <f>IF(OR(-106882.15405="",-106882.15405=0),"-",-106882.15405)</f>
        <v>-106882.15405</v>
      </c>
      <c r="C63" s="27">
        <f>IF(OR(-133800.27997="",-133800.27997=0),"-",-133800.27997)</f>
        <v>-133800.27997</v>
      </c>
      <c r="D63" s="27">
        <f>IF(OR(-106882.15405="",-133800.27997="",-106882.15405=0,-133800.27997=0),"-",-133800.27997/-106882.15405*100)</f>
        <v>125.1848647318687</v>
      </c>
    </row>
    <row r="64" spans="1:4" ht="15.75">
      <c r="A64" s="8" t="s">
        <v>92</v>
      </c>
      <c r="B64" s="27">
        <f>IF(OR(-4158.71298="",-4158.71298=0),"-",-4158.71298)</f>
        <v>-4158.71298</v>
      </c>
      <c r="C64" s="27">
        <f>IF(OR(-7818.57714="",-7818.57714=0),"-",-7818.57714)</f>
        <v>-7818.57714</v>
      </c>
      <c r="D64" s="27" t="s">
        <v>216</v>
      </c>
    </row>
    <row r="65" spans="1:4" ht="25.5">
      <c r="A65" s="8" t="s">
        <v>93</v>
      </c>
      <c r="B65" s="27">
        <f>IF(OR(-79150.46124="",-79150.46124=0),"-",-79150.46124)</f>
        <v>-79150.46124</v>
      </c>
      <c r="C65" s="27">
        <f>IF(OR(-108242.3486="",-108242.3486=0),"-",-108242.3486)</f>
        <v>-108242.3486</v>
      </c>
      <c r="D65" s="27">
        <f>IF(OR(-79150.46124="",-108242.3486="",-79150.46124=0,-108242.3486=0),"-",-108242.3486/-79150.46124*100)</f>
        <v>136.75517097972124</v>
      </c>
    </row>
    <row r="66" spans="1:4" ht="25.5">
      <c r="A66" s="8" t="s">
        <v>94</v>
      </c>
      <c r="B66" s="27">
        <f>IF(OR(-28538.78136="",-28538.78136=0),"-",-28538.78136)</f>
        <v>-28538.78136</v>
      </c>
      <c r="C66" s="27">
        <f>IF(OR(-39507.40742="",-39507.40742=0),"-",-39507.40742)</f>
        <v>-39507.40742</v>
      </c>
      <c r="D66" s="27">
        <f>IF(OR(-28538.78136="",-39507.40742="",-28538.78136=0,-39507.40742=0),"-",-39507.40742/-28538.78136*100)</f>
        <v>138.43410803578894</v>
      </c>
    </row>
    <row r="67" spans="1:4" ht="25.5">
      <c r="A67" s="8" t="s">
        <v>95</v>
      </c>
      <c r="B67" s="27">
        <f>IF(OR(-71576.63574="",-71576.63574=0),"-",-71576.63574)</f>
        <v>-71576.63574</v>
      </c>
      <c r="C67" s="27">
        <f>IF(OR(-101453.83463="",-101453.83463=0),"-",-101453.83463)</f>
        <v>-101453.83463</v>
      </c>
      <c r="D67" s="27">
        <f>IF(OR(-71576.63574="",-101453.83463="",-71576.63574=0,-101453.83463=0),"-",-101453.83463/-71576.63574*100)</f>
        <v>141.74155236707134</v>
      </c>
    </row>
    <row r="68" spans="1:4" ht="38.25">
      <c r="A68" s="8" t="s">
        <v>96</v>
      </c>
      <c r="B68" s="27">
        <f>IF(OR(-14785.29378="",-14785.29378=0),"-",-14785.29378)</f>
        <v>-14785.29378</v>
      </c>
      <c r="C68" s="27">
        <f>IF(OR(23382.54452="",23382.54452=0),"-",23382.54452)</f>
        <v>23382.54452</v>
      </c>
      <c r="D68" s="27" t="s">
        <v>33</v>
      </c>
    </row>
    <row r="69" spans="1:4" ht="15.75">
      <c r="A69" s="8" t="s">
        <v>97</v>
      </c>
      <c r="B69" s="27">
        <f>IF(OR(-164663.30819="",-164663.30819=0),"-",-164663.30819)</f>
        <v>-164663.30819</v>
      </c>
      <c r="C69" s="27">
        <f>IF(OR(-205333.576="",-205333.576=0),"-",-205333.576)</f>
        <v>-205333.576</v>
      </c>
      <c r="D69" s="27">
        <f>IF(OR(-164663.30819="",-205333.576="",-164663.30819=0,-205333.576=0),"-",-205333.576/-164663.30819*100)</f>
        <v>124.69904695651553</v>
      </c>
    </row>
    <row r="70" spans="1:4" ht="15.75">
      <c r="A70" s="8" t="s">
        <v>98</v>
      </c>
      <c r="B70" s="27">
        <f>IF(OR(-494.62215="",-494.62215=0),"-",-494.62215)</f>
        <v>-494.62215</v>
      </c>
      <c r="C70" s="27">
        <f>IF(OR(13211.02185="",13211.02185=0),"-",13211.02185)</f>
        <v>13211.02185</v>
      </c>
      <c r="D70" s="27" t="s">
        <v>33</v>
      </c>
    </row>
    <row r="71" spans="1:4" ht="15.75">
      <c r="A71" s="9" t="s">
        <v>99</v>
      </c>
      <c r="B71" s="26">
        <f>IF(72621.13974="","-",72621.13974)</f>
        <v>72621.13974</v>
      </c>
      <c r="C71" s="26">
        <f>IF(23088.83325="","-",23088.83325)</f>
        <v>23088.83325</v>
      </c>
      <c r="D71" s="26">
        <f>IF(72621.13974="","-",23088.83325/72621.13974*100)</f>
        <v>31.793542944469355</v>
      </c>
    </row>
    <row r="72" spans="1:4" ht="25.5">
      <c r="A72" s="8" t="s">
        <v>100</v>
      </c>
      <c r="B72" s="27">
        <f>IF(OR(-24900.55289="",-24900.55289=0),"-",-24900.55289)</f>
        <v>-24900.55289</v>
      </c>
      <c r="C72" s="27">
        <f>IF(OR(-28700.41632="",-28700.41632=0),"-",-28700.41632)</f>
        <v>-28700.41632</v>
      </c>
      <c r="D72" s="27">
        <f>IF(OR(-24900.55289="",-28700.41632="",-24900.55289=0,-28700.41632=0),"-",-28700.41632/-24900.55289*100)</f>
        <v>115.26015685991462</v>
      </c>
    </row>
    <row r="73" spans="1:4" ht="15.75">
      <c r="A73" s="8" t="s">
        <v>101</v>
      </c>
      <c r="B73" s="27">
        <f>IF(OR(74950.72717="",74950.72717=0),"-",74950.72717)</f>
        <v>74950.72717</v>
      </c>
      <c r="C73" s="27">
        <f>IF(OR(80672.09149="",80672.09149=0),"-",80672.09149)</f>
        <v>80672.09149</v>
      </c>
      <c r="D73" s="27">
        <f>IF(OR(74950.72717="",80672.09149="",74950.72717=0,80672.09149=0),"-",80672.09149/74950.72717*100)</f>
        <v>107.63350074912957</v>
      </c>
    </row>
    <row r="74" spans="1:4" ht="15.75">
      <c r="A74" s="8" t="s">
        <v>102</v>
      </c>
      <c r="B74" s="27">
        <f>IF(OR(9147.57103="",9147.57103=0),"-",9147.57103)</f>
        <v>9147.57103</v>
      </c>
      <c r="C74" s="27">
        <f>IF(OR(-1455.9061="",-1455.9061=0),"-",-1455.9061)</f>
        <v>-1455.9061</v>
      </c>
      <c r="D74" s="27" t="s">
        <v>33</v>
      </c>
    </row>
    <row r="75" spans="1:4" ht="15.75">
      <c r="A75" s="8" t="s">
        <v>103</v>
      </c>
      <c r="B75" s="27">
        <f>IF(OR(130787.40069="",130787.40069=0),"-",130787.40069)</f>
        <v>130787.40069</v>
      </c>
      <c r="C75" s="27">
        <f>IF(OR(134256.35211="",134256.35211=0),"-",134256.35211)</f>
        <v>134256.35211</v>
      </c>
      <c r="D75" s="27">
        <f>IF(OR(130787.40069="",134256.35211="",130787.40069=0,134256.35211=0),"-",134256.35211/130787.40069*100)</f>
        <v>102.65235902059275</v>
      </c>
    </row>
    <row r="76" spans="1:4" ht="15.75">
      <c r="A76" s="8" t="s">
        <v>104</v>
      </c>
      <c r="B76" s="27">
        <f>IF(OR(2811.07901="",2811.07901=0),"-",2811.07901)</f>
        <v>2811.07901</v>
      </c>
      <c r="C76" s="27">
        <f>IF(OR(-8108.56386="",-8108.56386=0),"-",-8108.56386)</f>
        <v>-8108.56386</v>
      </c>
      <c r="D76" s="27" t="s">
        <v>33</v>
      </c>
    </row>
    <row r="77" spans="1:4" ht="15.75">
      <c r="A77" s="8" t="s">
        <v>105</v>
      </c>
      <c r="B77" s="27">
        <f>IF(OR(-12144.40511="",-12144.40511=0),"-",-12144.40511)</f>
        <v>-12144.40511</v>
      </c>
      <c r="C77" s="27">
        <f>IF(OR(-23089.71539="",-23089.71539=0),"-",-23089.71539)</f>
        <v>-23089.71539</v>
      </c>
      <c r="D77" s="27" t="s">
        <v>216</v>
      </c>
    </row>
    <row r="78" spans="1:4" ht="25.5">
      <c r="A78" s="8" t="s">
        <v>106</v>
      </c>
      <c r="B78" s="27">
        <f>IF(OR(-4961.65926="",-4961.65926=0),"-",-4961.65926)</f>
        <v>-4961.65926</v>
      </c>
      <c r="C78" s="27">
        <f>IF(OR(-6586.19106="",-6586.19106=0),"-",-6586.19106)</f>
        <v>-6586.19106</v>
      </c>
      <c r="D78" s="27">
        <f>IF(OR(-4961.65926="",-6586.19106="",-4961.65926=0,-6586.19106=0),"-",-6586.19106/-4961.65926*100)</f>
        <v>132.74170423383728</v>
      </c>
    </row>
    <row r="79" spans="1:4" ht="15.75">
      <c r="A79" s="11" t="s">
        <v>107</v>
      </c>
      <c r="B79" s="27">
        <f>IF(OR(-103069.0209="",-103069.0209=0),"-",-103069.0209)</f>
        <v>-103069.0209</v>
      </c>
      <c r="C79" s="27">
        <f>IF(OR(-123898.81762="",-123898.81762=0),"-",-123898.81762)</f>
        <v>-123898.81762</v>
      </c>
      <c r="D79" s="27">
        <f>IF(OR(-103069.0209="",-123898.81762="",-103069.0209=0,-123898.81762=0),"-",-123898.81762/-103069.0209*100)</f>
        <v>120.20956106705385</v>
      </c>
    </row>
    <row r="80" spans="1:4" ht="15.75">
      <c r="A80" s="81" t="s">
        <v>27</v>
      </c>
      <c r="B80" s="81"/>
      <c r="C80" s="81"/>
      <c r="D80" s="81"/>
    </row>
    <row r="81" spans="2:4" ht="15.75">
      <c r="B81" s="21"/>
      <c r="C81" s="47"/>
      <c r="D81" s="22"/>
    </row>
    <row r="82" spans="2:4" ht="15.75">
      <c r="B82" s="21"/>
      <c r="C82" s="21"/>
      <c r="D82" s="22"/>
    </row>
    <row r="83" spans="2:4" ht="15.75">
      <c r="B83" s="21"/>
      <c r="C83" s="21"/>
      <c r="D83" s="22"/>
    </row>
    <row r="84" ht="15.75">
      <c r="C84" s="21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2018-01-02T14:23:55Z</cp:lastPrinted>
  <dcterms:created xsi:type="dcterms:W3CDTF">2016-09-01T07:59:47Z</dcterms:created>
  <dcterms:modified xsi:type="dcterms:W3CDTF">2018-01-05T08:10:44Z</dcterms:modified>
  <cp:category/>
  <cp:version/>
  <cp:contentType/>
  <cp:contentStatus/>
</cp:coreProperties>
</file>