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172" activeTab="0"/>
  </bookViews>
  <sheets>
    <sheet name="Export_Tari" sheetId="1" r:id="rId1"/>
    <sheet name="Import_Tari" sheetId="2" r:id="rId2"/>
    <sheet name="Balanta Comerciala_Tari" sheetId="3" r:id="rId3"/>
    <sheet name="Export_Grupe_Marfuri_CSCI" sheetId="4" r:id="rId4"/>
    <sheet name="Import_Grupe_Marfuri_CSCI" sheetId="5" r:id="rId5"/>
    <sheet name="Balanta_Comerciala_Gr_Marf_CSCI" sheetId="6" r:id="rId6"/>
  </sheets>
  <definedNames>
    <definedName name="_xlnm.Print_Titles" localSheetId="2">'Balanta Comerciala_Tari'!$3:$4</definedName>
    <definedName name="_xlnm.Print_Titles" localSheetId="5">'Balanta_Comerciala_Gr_Marf_CSCI'!$4:$5</definedName>
    <definedName name="_xlnm.Print_Titles" localSheetId="3">'Export_Grupe_Marfuri_CSCI'!$4:$6</definedName>
    <definedName name="_xlnm.Print_Titles" localSheetId="0">'Export_Tari'!$3:$5</definedName>
    <definedName name="_xlnm.Print_Titles" localSheetId="4">'Import_Grupe_Marfuri_CSCI'!$4:$6</definedName>
    <definedName name="_xlnm.Print_Titles" localSheetId="1">'Import_Tari'!$3:$5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<sst xmlns="http://schemas.openxmlformats.org/spreadsheetml/2006/main" count="675" uniqueCount="266">
  <si>
    <t>Structura, %</t>
  </si>
  <si>
    <t>Gradul de influenţă a ţărilor, grupelor de ţări  la creşterea (+),  scăderea (-) exporturilor, %</t>
  </si>
  <si>
    <t>2016¹</t>
  </si>
  <si>
    <t xml:space="preserve">      din care:</t>
  </si>
  <si>
    <t>Ţările Uniunii Europene (UE-28)</t>
  </si>
  <si>
    <t>România</t>
  </si>
  <si>
    <t>Italia</t>
  </si>
  <si>
    <t>Germania</t>
  </si>
  <si>
    <t>Polonia</t>
  </si>
  <si>
    <t>Bulgaria</t>
  </si>
  <si>
    <t>Republica Cehă</t>
  </si>
  <si>
    <t>Austria</t>
  </si>
  <si>
    <t>Grecia</t>
  </si>
  <si>
    <t>Olanda</t>
  </si>
  <si>
    <t>Ţările CSI</t>
  </si>
  <si>
    <t>Belarus</t>
  </si>
  <si>
    <t>Ucraina</t>
  </si>
  <si>
    <t>Kazahstan</t>
  </si>
  <si>
    <t>Azerbaidjan</t>
  </si>
  <si>
    <t>Uzbekistan</t>
  </si>
  <si>
    <t>Kîrgîzstan</t>
  </si>
  <si>
    <t>Turkmenistan</t>
  </si>
  <si>
    <t>Armenia</t>
  </si>
  <si>
    <t>Tadjikistan</t>
  </si>
  <si>
    <t>Celelalte ţări ale lumii</t>
  </si>
  <si>
    <t>Statele Unite ale Americii</t>
  </si>
  <si>
    <t>de 2,3 ori</t>
  </si>
  <si>
    <t>de 2,0 ori</t>
  </si>
  <si>
    <t>¹ În preţuri curente</t>
  </si>
  <si>
    <t xml:space="preserve">IMPORT – total      </t>
  </si>
  <si>
    <t xml:space="preserve">EXPORT – total      </t>
  </si>
  <si>
    <t xml:space="preserve">  din care:</t>
  </si>
  <si>
    <t>x</t>
  </si>
  <si>
    <t>de 3,2 ori</t>
  </si>
  <si>
    <t>conform Clasificării Standard de Comerţ Internaţional</t>
  </si>
  <si>
    <t>Produse alimentare şi animale vii</t>
  </si>
  <si>
    <t>Animale vii</t>
  </si>
  <si>
    <t>Carne şi preparate din carne</t>
  </si>
  <si>
    <t>Produse lactate şi ouă de păsări</t>
  </si>
  <si>
    <t>Peşte, crustacee, moluşte</t>
  </si>
  <si>
    <t>Cereale şi preparate pe bază de cereale</t>
  </si>
  <si>
    <t>Legume şi fructe</t>
  </si>
  <si>
    <t>Zahăr, preparate pe bază de zahăr; miere</t>
  </si>
  <si>
    <t>Cafea, ceai, cacao, condimente şi înlocuitori ai acestora</t>
  </si>
  <si>
    <t>Hrană destinată animalelor (exclusiv cereale nemăcinate)</t>
  </si>
  <si>
    <t>Produse şi preparate alimentare diverse</t>
  </si>
  <si>
    <t>Băuturi şi tutun</t>
  </si>
  <si>
    <t>Băuturi (alcoolice şi nealcoolice)</t>
  </si>
  <si>
    <t>Tutun brut şi prelucrat</t>
  </si>
  <si>
    <t>Materiale brute necomestibile, exclusiv combustibili</t>
  </si>
  <si>
    <t>Piei crude, piei tăbăcite şi blănuri brute</t>
  </si>
  <si>
    <t>Seminţe şi fructe oleaginoase</t>
  </si>
  <si>
    <t>Cauciuc brut (inclusiv cauciuc sintetic şi regenerat)</t>
  </si>
  <si>
    <t>Lemn şi plută</t>
  </si>
  <si>
    <t>Pastă de hîrtie şi deşeuri de hîrtie</t>
  </si>
  <si>
    <t>Fibre textile (cu excepţia lînii în fuior şi a lînii pieptănate) şi deşeurile lor (neprelucrate în fire sau ţesături)</t>
  </si>
  <si>
    <t>Îngrăşăminte naturale şi minerale naturale (exclusiv cărbune, petrol şi pietre preţioase)</t>
  </si>
  <si>
    <t>Minereuri metalifere şi deşeuri de metale</t>
  </si>
  <si>
    <t>Alte materii brute de origine animală sau vegetală</t>
  </si>
  <si>
    <t>Combustibili minerali, lubrifianţi şi materiale derivate</t>
  </si>
  <si>
    <t>Cărbune, cocs şi brichete</t>
  </si>
  <si>
    <t>Petrol, produse petroliere şi produse înrudite</t>
  </si>
  <si>
    <t>Gaz şi produse industriale obţinute din gaz</t>
  </si>
  <si>
    <t>Energie electrică</t>
  </si>
  <si>
    <t>Uleiuri, grăsimi şi ceruri de origine animală sau vegetală</t>
  </si>
  <si>
    <t>Uleiuri şi grăsimi de origine animală</t>
  </si>
  <si>
    <t>Grăsimi şi uleiuri vegetale fixate, brute, rafinate sau fracţionate</t>
  </si>
  <si>
    <t>Alte uleiuri şi grăsimi animale sau vegetale prelucrate; ceară de origine animală sau vegetală</t>
  </si>
  <si>
    <t>Produse chimice şi produse derivate nespecificate în altă parte</t>
  </si>
  <si>
    <t>Produse chimice organice</t>
  </si>
  <si>
    <t>Produse chimice anorganice</t>
  </si>
  <si>
    <t>Produse tanante şi colorante</t>
  </si>
  <si>
    <t>Produse medicinale şi farmaceutice</t>
  </si>
  <si>
    <t>Uleiuri esenţiale, rezinoide şi substanţe parfumate, preparate pentru toaletă, produse pentru înfrumuseţare</t>
  </si>
  <si>
    <t>Îngrăşăminte minerale sau chimice</t>
  </si>
  <si>
    <t>Materiale plastice sub forme primare</t>
  </si>
  <si>
    <t>Materiale plastice prelucrate</t>
  </si>
  <si>
    <t>Alte materiale şi produse chimice</t>
  </si>
  <si>
    <t>Mărfuri manufacturate, clasificate mai ales după materia primă</t>
  </si>
  <si>
    <t>Piele, altă piele şi blană prelucrate</t>
  </si>
  <si>
    <t>Cauciuc prelucrat</t>
  </si>
  <si>
    <t>Articole din lemn (exclusiv mobilă)</t>
  </si>
  <si>
    <t>Hîrtie, carton şi articole din pastă de celuloză, din hîrtie sau din carton</t>
  </si>
  <si>
    <t>Fire, ţesături, articole textile necuprinse în altă parte şi produse conexe</t>
  </si>
  <si>
    <t>Articole din minerale nemetalice</t>
  </si>
  <si>
    <t>Fier şi oţel</t>
  </si>
  <si>
    <t>Metale neferoase</t>
  </si>
  <si>
    <t>Articole prelucrate din metal</t>
  </si>
  <si>
    <t>Maşini şi echipamente pentru transport</t>
  </si>
  <si>
    <t>Maşini  generatoare de putere şi echipamentele lor</t>
  </si>
  <si>
    <t>Maşini şi aparate specializate pentru industriile specifice</t>
  </si>
  <si>
    <t>Maşini şi aparate pentru prelucrarea metalelor</t>
  </si>
  <si>
    <t>Maşini şi aparate industriale cu aplicaţii generale; părţi şi piese detaşate ale acestor maşini</t>
  </si>
  <si>
    <t>Maşini şi aparate de birou sau pentru prelucrarea automată a datelor</t>
  </si>
  <si>
    <t>Aparate şi echipamente de telecomunicaţii şi pentru înregistrarea şi reproducerea sunetului şi imaginii</t>
  </si>
  <si>
    <t>Maşini şi aparate electrice şi părţi ale acestora (inclusiv echivalente neelectrice ale maşinilor şi aparatelor de uz casnic)</t>
  </si>
  <si>
    <t>Vehicule rutiere (inclusiv vehicule cu pernă de aer)</t>
  </si>
  <si>
    <t>Alte echipamente de transport</t>
  </si>
  <si>
    <t>Articole manufacturate diverse</t>
  </si>
  <si>
    <t>Construcţii prefabricate; alte instalaţii şi accesorii pentru instalaţii sanitare, de încălzire şi de iluminat</t>
  </si>
  <si>
    <t>Mobilă şi părţile ei</t>
  </si>
  <si>
    <t>Articole de voiaj; sacoşe şi similare</t>
  </si>
  <si>
    <t>Îmbrăcăminte şi accesorii</t>
  </si>
  <si>
    <t>Încălţăminte</t>
  </si>
  <si>
    <t>Instrumente şi aparate, profesionale, ştiinţifice şi de control</t>
  </si>
  <si>
    <t>Aparate fotografice, echipamente şi furnituri de optică; ceasuri şi orologii</t>
  </si>
  <si>
    <t>Alte articole diverse</t>
  </si>
  <si>
    <t xml:space="preserve">       din care:</t>
  </si>
  <si>
    <t>Instrumente şi aparate profesionale, ştiinţifice şi de control</t>
  </si>
  <si>
    <t xml:space="preserve">    din care:</t>
  </si>
  <si>
    <t xml:space="preserve">Grăsimi şi uleiuri vegetale fixate, brute, rafinate sau fracţionate </t>
  </si>
  <si>
    <t>Alte uleiuri si grasimi animale sau vegetale prelucrate</t>
  </si>
  <si>
    <t>Maşini generatoare de putere şi echipamentele lor</t>
  </si>
  <si>
    <t>Coreea de Sud</t>
  </si>
  <si>
    <r>
      <t xml:space="preserve"> </t>
    </r>
    <r>
      <rPr>
        <b/>
        <sz val="9"/>
        <color indexed="8"/>
        <rFont val="Times New Roman"/>
        <family val="1"/>
      </rPr>
      <t>¹ În preţuri curente</t>
    </r>
  </si>
  <si>
    <t>Arabia Saudită</t>
  </si>
  <si>
    <t>Hong Kong, RAS a Chinei</t>
  </si>
  <si>
    <t>Africa de Sud</t>
  </si>
  <si>
    <t>de 2,4 ori</t>
  </si>
  <si>
    <t>Spania</t>
  </si>
  <si>
    <t>Belgia</t>
  </si>
  <si>
    <t>Ungaria</t>
  </si>
  <si>
    <t>Lituania</t>
  </si>
  <si>
    <t>Slovacia</t>
  </si>
  <si>
    <t>Letonia</t>
  </si>
  <si>
    <t>Estonia</t>
  </si>
  <si>
    <t>Cipru</t>
  </si>
  <si>
    <t>Danemarca</t>
  </si>
  <si>
    <t>Finlanda</t>
  </si>
  <si>
    <t>Suedia</t>
  </si>
  <si>
    <t>Portugalia</t>
  </si>
  <si>
    <t>Slovenia</t>
  </si>
  <si>
    <t>Irlanda</t>
  </si>
  <si>
    <t>Luxemburg</t>
  </si>
  <si>
    <t>Malta</t>
  </si>
  <si>
    <t>Turcia</t>
  </si>
  <si>
    <t>Irak</t>
  </si>
  <si>
    <t>Georgia</t>
  </si>
  <si>
    <t>China</t>
  </si>
  <si>
    <t>Liban</t>
  </si>
  <si>
    <t>Malaysia</t>
  </si>
  <si>
    <t>Israel</t>
  </si>
  <si>
    <t>Siria</t>
  </si>
  <si>
    <t>Egipt</t>
  </si>
  <si>
    <t>Myanmar</t>
  </si>
  <si>
    <t>Macedonia</t>
  </si>
  <si>
    <t>Indonezia</t>
  </si>
  <si>
    <t>Serbia</t>
  </si>
  <si>
    <t>Iordania</t>
  </si>
  <si>
    <t>Canada</t>
  </si>
  <si>
    <t>India</t>
  </si>
  <si>
    <t>Taiwan,  provincie a Chinei</t>
  </si>
  <si>
    <t>Bangladesh</t>
  </si>
  <si>
    <t>Vietnam</t>
  </si>
  <si>
    <t>Iran</t>
  </si>
  <si>
    <t>Pakistan</t>
  </si>
  <si>
    <t>Emiratele Arabe Unite</t>
  </si>
  <si>
    <t>Japonia</t>
  </si>
  <si>
    <t>Nigeria</t>
  </si>
  <si>
    <t>Norvegia</t>
  </si>
  <si>
    <t>Cote D'Ivoire</t>
  </si>
  <si>
    <t>Cambodjia</t>
  </si>
  <si>
    <t>Ecuador</t>
  </si>
  <si>
    <t>Islanda</t>
  </si>
  <si>
    <t>Argentina</t>
  </si>
  <si>
    <t>Thailanda</t>
  </si>
  <si>
    <t>Brazilia</t>
  </si>
  <si>
    <t>Mexic</t>
  </si>
  <si>
    <t>Maroc</t>
  </si>
  <si>
    <t>Singapore</t>
  </si>
  <si>
    <t>Filipine</t>
  </si>
  <si>
    <t>Chile</t>
  </si>
  <si>
    <t>Costa Rica</t>
  </si>
  <si>
    <t>Sri Lanka</t>
  </si>
  <si>
    <t>ins.Faroe</t>
  </si>
  <si>
    <t>Uruguay</t>
  </si>
  <si>
    <t>Tunisia</t>
  </si>
  <si>
    <t>Columbia</t>
  </si>
  <si>
    <t>Australia</t>
  </si>
  <si>
    <t>Noua Zeelandă</t>
  </si>
  <si>
    <t>de 2,1 ori</t>
  </si>
  <si>
    <t>de 2,8 ori</t>
  </si>
  <si>
    <t>2017¹</t>
  </si>
  <si>
    <t>Algeria</t>
  </si>
  <si>
    <t>Mongolia</t>
  </si>
  <si>
    <t>de 7,0 ori</t>
  </si>
  <si>
    <t>de 2,5 ori</t>
  </si>
  <si>
    <t>Madagascar</t>
  </si>
  <si>
    <t>Peru</t>
  </si>
  <si>
    <t>Kenya</t>
  </si>
  <si>
    <t>de 2,2 ori</t>
  </si>
  <si>
    <t>mii dolari        SUA</t>
  </si>
  <si>
    <t>mii dolari         SUA</t>
  </si>
  <si>
    <t>EXPORT - total</t>
  </si>
  <si>
    <t xml:space="preserve">IMPORT - total </t>
  </si>
  <si>
    <t>de 2,6 ori</t>
  </si>
  <si>
    <t>BALANŢA COMERCIALĂ – total, mii dolari SUA</t>
  </si>
  <si>
    <t>Franța</t>
  </si>
  <si>
    <t>Croația</t>
  </si>
  <si>
    <t>San Marino</t>
  </si>
  <si>
    <t>Oman</t>
  </si>
  <si>
    <t>Rep.Yemen</t>
  </si>
  <si>
    <t>Ghana</t>
  </si>
  <si>
    <t>Elveția</t>
  </si>
  <si>
    <t>Bosnia și Herțegovina</t>
  </si>
  <si>
    <t>de 3,1 ori</t>
  </si>
  <si>
    <t>Regatul Unit al Marii Britanii și Irlandei de Nord</t>
  </si>
  <si>
    <t>Federația Rusă</t>
  </si>
  <si>
    <t>Albania</t>
  </si>
  <si>
    <t>de 3,0 ori</t>
  </si>
  <si>
    <t>de 1,8 ori</t>
  </si>
  <si>
    <t>de 1,7 ori</t>
  </si>
  <si>
    <t>de 1,6 ori</t>
  </si>
  <si>
    <t>de 1,9 ori</t>
  </si>
  <si>
    <t>mii dolari            SUA</t>
  </si>
  <si>
    <t>Gradul de influenţă a grupelor de mărfuri  la creşterea (+),  scăderea (-) exporturilor, %</t>
  </si>
  <si>
    <t>Gradul de influenţă a grupelor de mărfuri  la creşterea (+),  scăderea (-) importurilor, %</t>
  </si>
  <si>
    <t>Gradul de influenţă a ţărilor, grupelor de ţări  la creşterea (+),  scăderea (-) importurilor, %</t>
  </si>
  <si>
    <t>Panama</t>
  </si>
  <si>
    <t>ins.Virgine Britanice</t>
  </si>
  <si>
    <t>ins.Seychelles</t>
  </si>
  <si>
    <t>de 11,6 ori</t>
  </si>
  <si>
    <t>Guatemala</t>
  </si>
  <si>
    <t>Qatar</t>
  </si>
  <si>
    <t>Afganistan</t>
  </si>
  <si>
    <t>de 28,6 ori</t>
  </si>
  <si>
    <t>de 2,9 ori</t>
  </si>
  <si>
    <t>de 4,7 ori</t>
  </si>
  <si>
    <t xml:space="preserve">. </t>
  </si>
  <si>
    <t>Croatia</t>
  </si>
  <si>
    <t>Arabia Saudita</t>
  </si>
  <si>
    <t>Gibraltar</t>
  </si>
  <si>
    <t>Ianuarie-mai 2017</t>
  </si>
  <si>
    <t>în % faţă de ianuarie-mai 2016¹</t>
  </si>
  <si>
    <t>ianuarie-mai</t>
  </si>
  <si>
    <t>Ianuarie-mai</t>
  </si>
  <si>
    <t>Ianuarie-mai 2017 în % faţă de              ianuarie-mai 2016</t>
  </si>
  <si>
    <t>de 8,4 ori</t>
  </si>
  <si>
    <t>de 3,7 ori</t>
  </si>
  <si>
    <t>de 3,9 ori</t>
  </si>
  <si>
    <t>de 5,3 ori</t>
  </si>
  <si>
    <t>de 26,7 ori</t>
  </si>
  <si>
    <t>de 4,0 ori</t>
  </si>
  <si>
    <t>Jamaica</t>
  </si>
  <si>
    <t>Rep.Dominicană</t>
  </si>
  <si>
    <t>de 3,5 ori</t>
  </si>
  <si>
    <t>de 4,3 ori</t>
  </si>
  <si>
    <t>de 4,2 ori</t>
  </si>
  <si>
    <t>de 3,4 ori</t>
  </si>
  <si>
    <t>de 58,9 ori</t>
  </si>
  <si>
    <t>de 14,0 ori</t>
  </si>
  <si>
    <t>de 4,1 ori</t>
  </si>
  <si>
    <t>de 59,3 ori</t>
  </si>
  <si>
    <t>de 111,7 ori</t>
  </si>
  <si>
    <t>de 4,4 ori</t>
  </si>
  <si>
    <t>de 113,0 ori</t>
  </si>
  <si>
    <t>de 68,3 ori</t>
  </si>
  <si>
    <t>de 6,8 ori</t>
  </si>
  <si>
    <t>de 4850,7 ori</t>
  </si>
  <si>
    <t>de 25,3 ori</t>
  </si>
  <si>
    <r>
      <rPr>
        <b/>
        <sz val="12"/>
        <color indexed="8"/>
        <rFont val="Times New Roman"/>
        <family val="1"/>
      </rPr>
      <t>Anexa 1</t>
    </r>
    <r>
      <rPr>
        <b/>
        <i/>
        <sz val="12"/>
        <color indexed="8"/>
        <rFont val="Times New Roman"/>
        <family val="1"/>
      </rPr>
      <t>. Exporturile structurate pe principalele ţări de destinaţie a mărfurilor şi grupe de ţări</t>
    </r>
  </si>
  <si>
    <r>
      <rPr>
        <b/>
        <sz val="12"/>
        <color indexed="8"/>
        <rFont val="Times New Roman"/>
        <family val="1"/>
      </rPr>
      <t>Anexa 2.</t>
    </r>
    <r>
      <rPr>
        <b/>
        <i/>
        <sz val="12"/>
        <color indexed="8"/>
        <rFont val="Times New Roman"/>
        <family val="1"/>
      </rPr>
      <t xml:space="preserve"> Importurile structurate pe principalele ţări de origine a mărfurilor şi grupe de ţări</t>
    </r>
  </si>
  <si>
    <r>
      <rPr>
        <b/>
        <sz val="12"/>
        <color indexed="8"/>
        <rFont val="Times New Roman"/>
        <family val="1"/>
      </rPr>
      <t>Anexa 3.</t>
    </r>
    <r>
      <rPr>
        <b/>
        <i/>
        <sz val="12"/>
        <color indexed="8"/>
        <rFont val="Times New Roman"/>
        <family val="1"/>
      </rPr>
      <t xml:space="preserve"> Balanţa comercială structurată pe principalele ţări şi grupe de ţări</t>
    </r>
  </si>
  <si>
    <r>
      <rPr>
        <b/>
        <sz val="12"/>
        <color indexed="8"/>
        <rFont val="Times New Roman"/>
        <family val="1"/>
      </rPr>
      <t xml:space="preserve">Anexa 4. </t>
    </r>
    <r>
      <rPr>
        <b/>
        <i/>
        <sz val="12"/>
        <color indexed="8"/>
        <rFont val="Times New Roman"/>
        <family val="1"/>
      </rPr>
      <t xml:space="preserve">Exporturile structurate pe grupe de mărfuri, </t>
    </r>
  </si>
  <si>
    <r>
      <rPr>
        <b/>
        <sz val="12"/>
        <color indexed="8"/>
        <rFont val="Times New Roman"/>
        <family val="1"/>
      </rPr>
      <t>Anexa 5.</t>
    </r>
    <r>
      <rPr>
        <b/>
        <i/>
        <sz val="12"/>
        <color indexed="8"/>
        <rFont val="Times New Roman"/>
        <family val="1"/>
      </rPr>
      <t xml:space="preserve"> Importurile structurate pe grupe de mărfuri, </t>
    </r>
  </si>
  <si>
    <r>
      <rPr>
        <b/>
        <sz val="12"/>
        <color indexed="8"/>
        <rFont val="Times New Roman"/>
        <family val="1"/>
      </rPr>
      <t xml:space="preserve">Anexa 6. </t>
    </r>
    <r>
      <rPr>
        <b/>
        <i/>
        <sz val="12"/>
        <color indexed="8"/>
        <rFont val="Times New Roman"/>
        <family val="1"/>
      </rPr>
      <t xml:space="preserve">Balanţa comercială structurată pe grupe de mărfuri, 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</si>
</sst>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52">
    <font>
      <sz val="12"/>
      <color indexed="8"/>
      <name val="Times New Roman"/>
      <family val="2"/>
    </font>
    <font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6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2"/>
    </font>
    <font>
      <sz val="10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165" fontId="14" fillId="0" borderId="0" xfId="0" applyNumberFormat="1" applyFont="1" applyFill="1" applyAlignment="1" applyProtection="1">
      <alignment horizontal="right"/>
      <protection/>
    </xf>
    <xf numFmtId="165" fontId="11" fillId="0" borderId="0" xfId="0" applyNumberFormat="1" applyFont="1" applyFill="1" applyAlignment="1" applyProtection="1">
      <alignment horizontal="right"/>
      <protection/>
    </xf>
    <xf numFmtId="0" fontId="16" fillId="0" borderId="0" xfId="0" applyFont="1" applyAlignment="1">
      <alignment/>
    </xf>
    <xf numFmtId="0" fontId="9" fillId="0" borderId="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" fontId="11" fillId="0" borderId="0" xfId="0" applyNumberFormat="1" applyFont="1" applyFill="1" applyAlignment="1" applyProtection="1">
      <alignment horizontal="right"/>
      <protection/>
    </xf>
    <xf numFmtId="164" fontId="11" fillId="0" borderId="0" xfId="0" applyNumberFormat="1" applyFont="1" applyFill="1" applyAlignment="1" applyProtection="1">
      <alignment horizontal="right"/>
      <protection/>
    </xf>
    <xf numFmtId="4" fontId="5" fillId="0" borderId="0" xfId="0" applyNumberFormat="1" applyFont="1" applyAlignment="1">
      <alignment horizontal="right" vertical="top" wrapText="1" indent="1"/>
    </xf>
    <xf numFmtId="0" fontId="4" fillId="0" borderId="0" xfId="0" applyFont="1" applyBorder="1" applyAlignment="1">
      <alignment horizontal="right" vertical="top" wrapText="1"/>
    </xf>
    <xf numFmtId="4" fontId="5" fillId="0" borderId="0" xfId="0" applyNumberFormat="1" applyFont="1" applyBorder="1" applyAlignment="1">
      <alignment horizontal="right" vertical="top" wrapText="1"/>
    </xf>
    <xf numFmtId="4" fontId="5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4" fontId="5" fillId="0" borderId="0" xfId="0" applyNumberFormat="1" applyFont="1" applyAlignment="1">
      <alignment horizontal="right" vertical="top" wrapText="1"/>
    </xf>
    <xf numFmtId="2" fontId="5" fillId="0" borderId="0" xfId="0" applyNumberFormat="1" applyFont="1" applyAlignment="1">
      <alignment horizontal="right" vertical="top" wrapText="1" indent="1"/>
    </xf>
    <xf numFmtId="0" fontId="17" fillId="0" borderId="0" xfId="0" applyFont="1" applyAlignment="1">
      <alignment/>
    </xf>
    <xf numFmtId="4" fontId="15" fillId="0" borderId="13" xfId="0" applyNumberFormat="1" applyFont="1" applyFill="1" applyBorder="1" applyAlignment="1" applyProtection="1">
      <alignment horizontal="right" vertical="top"/>
      <protection/>
    </xf>
    <xf numFmtId="4" fontId="14" fillId="0" borderId="0" xfId="0" applyNumberFormat="1" applyFont="1" applyFill="1" applyAlignment="1" applyProtection="1">
      <alignment horizontal="right" vertical="top"/>
      <protection/>
    </xf>
    <xf numFmtId="4" fontId="11" fillId="0" borderId="0" xfId="0" applyNumberFormat="1" applyFont="1" applyFill="1" applyAlignment="1" applyProtection="1">
      <alignment horizontal="right" vertical="top"/>
      <protection/>
    </xf>
    <xf numFmtId="164" fontId="15" fillId="0" borderId="13" xfId="0" applyNumberFormat="1" applyFont="1" applyFill="1" applyBorder="1" applyAlignment="1" applyProtection="1">
      <alignment horizontal="right" vertical="top"/>
      <protection/>
    </xf>
    <xf numFmtId="164" fontId="14" fillId="0" borderId="0" xfId="0" applyNumberFormat="1" applyFont="1" applyFill="1" applyAlignment="1" applyProtection="1">
      <alignment horizontal="right" vertical="top"/>
      <protection/>
    </xf>
    <xf numFmtId="164" fontId="11" fillId="0" borderId="0" xfId="0" applyNumberFormat="1" applyFont="1" applyFill="1" applyAlignment="1" applyProtection="1">
      <alignment horizontal="right" vertical="top"/>
      <protection/>
    </xf>
    <xf numFmtId="4" fontId="14" fillId="0" borderId="13" xfId="0" applyNumberFormat="1" applyFont="1" applyFill="1" applyBorder="1" applyAlignment="1" applyProtection="1">
      <alignment horizontal="right" vertical="top"/>
      <protection/>
    </xf>
    <xf numFmtId="4" fontId="14" fillId="0" borderId="0" xfId="0" applyNumberFormat="1" applyFont="1" applyFill="1" applyBorder="1" applyAlignment="1" applyProtection="1">
      <alignment horizontal="right" vertical="top"/>
      <protection/>
    </xf>
    <xf numFmtId="4" fontId="11" fillId="0" borderId="0" xfId="0" applyNumberFormat="1" applyFont="1" applyFill="1" applyBorder="1" applyAlignment="1" applyProtection="1">
      <alignment horizontal="right" vertical="top"/>
      <protection/>
    </xf>
    <xf numFmtId="4" fontId="11" fillId="0" borderId="14" xfId="0" applyNumberFormat="1" applyFont="1" applyFill="1" applyBorder="1" applyAlignment="1" applyProtection="1">
      <alignment horizontal="right" vertical="top"/>
      <protection/>
    </xf>
    <xf numFmtId="0" fontId="9" fillId="0" borderId="13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9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38" fontId="11" fillId="0" borderId="16" xfId="0" applyNumberFormat="1" applyFont="1" applyFill="1" applyBorder="1" applyAlignment="1" applyProtection="1">
      <alignment horizontal="left" vertical="top" wrapText="1"/>
      <protection/>
    </xf>
    <xf numFmtId="0" fontId="14" fillId="0" borderId="16" xfId="0" applyFont="1" applyBorder="1" applyAlignment="1">
      <alignment horizontal="left" vertical="top" wrapText="1"/>
    </xf>
    <xf numFmtId="38" fontId="11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 2" xfId="61"/>
    <cellStyle name="Обычный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92"/>
  <sheetViews>
    <sheetView tabSelected="1" zoomScalePageLayoutView="0" workbookViewId="0" topLeftCell="A1">
      <selection activeCell="A1" sqref="A1:G1"/>
    </sheetView>
  </sheetViews>
  <sheetFormatPr defaultColWidth="9.00390625" defaultRowHeight="15.75"/>
  <cols>
    <col min="1" max="1" width="32.125" style="0" customWidth="1"/>
    <col min="2" max="2" width="11.375" style="0" customWidth="1"/>
    <col min="3" max="3" width="10.125" style="0" customWidth="1"/>
    <col min="4" max="4" width="8.25390625" style="0" customWidth="1"/>
    <col min="5" max="5" width="8.125" style="0" customWidth="1"/>
    <col min="6" max="6" width="9.75390625" style="0" customWidth="1"/>
    <col min="7" max="7" width="10.00390625" style="0" customWidth="1"/>
  </cols>
  <sheetData>
    <row r="1" spans="1:7" ht="15.75">
      <c r="A1" s="35" t="s">
        <v>260</v>
      </c>
      <c r="B1" s="35"/>
      <c r="C1" s="35"/>
      <c r="D1" s="35"/>
      <c r="E1" s="35"/>
      <c r="F1" s="35"/>
      <c r="G1" s="35"/>
    </row>
    <row r="3" spans="1:7" ht="55.5" customHeight="1">
      <c r="A3" s="36"/>
      <c r="B3" s="46" t="s">
        <v>232</v>
      </c>
      <c r="C3" s="40"/>
      <c r="D3" s="39" t="s">
        <v>0</v>
      </c>
      <c r="E3" s="40"/>
      <c r="F3" s="41" t="s">
        <v>1</v>
      </c>
      <c r="G3" s="42"/>
    </row>
    <row r="4" spans="1:7" ht="21.75" customHeight="1">
      <c r="A4" s="37"/>
      <c r="B4" s="43" t="s">
        <v>191</v>
      </c>
      <c r="C4" s="43" t="s">
        <v>233</v>
      </c>
      <c r="D4" s="45" t="s">
        <v>234</v>
      </c>
      <c r="E4" s="45"/>
      <c r="F4" s="45" t="s">
        <v>234</v>
      </c>
      <c r="G4" s="39"/>
    </row>
    <row r="5" spans="1:7" ht="23.25" customHeight="1">
      <c r="A5" s="38"/>
      <c r="B5" s="44"/>
      <c r="C5" s="44"/>
      <c r="D5" s="11">
        <v>2016</v>
      </c>
      <c r="E5" s="11">
        <v>2017</v>
      </c>
      <c r="F5" s="11" t="s">
        <v>2</v>
      </c>
      <c r="G5" s="12" t="s">
        <v>182</v>
      </c>
    </row>
    <row r="6" spans="1:7" ht="15.75" customHeight="1">
      <c r="A6" s="52" t="s">
        <v>30</v>
      </c>
      <c r="B6" s="24">
        <f>IF(857186.04228="","-",857186.04228)</f>
        <v>857186.04228</v>
      </c>
      <c r="C6" s="24">
        <f>IF(747953.45327="","-",857186.04228/747953.45327*100)</f>
        <v>114.60419609434823</v>
      </c>
      <c r="D6" s="24">
        <v>100</v>
      </c>
      <c r="E6" s="24">
        <v>100</v>
      </c>
      <c r="F6" s="24">
        <f>IF(811971.85724="","-",(747953.45327-811971.85724)/811971.85724*100)</f>
        <v>-7.88431315681396</v>
      </c>
      <c r="G6" s="24">
        <f>IF(747953.45327="","-",(857186.04228-747953.45327)/747953.45327*100)</f>
        <v>14.604196094348222</v>
      </c>
    </row>
    <row r="7" spans="1:7" ht="13.5" customHeight="1">
      <c r="A7" s="53" t="s">
        <v>3</v>
      </c>
      <c r="B7" s="17"/>
      <c r="C7" s="18"/>
      <c r="D7" s="19"/>
      <c r="E7" s="19"/>
      <c r="F7" s="19"/>
      <c r="G7" s="19"/>
    </row>
    <row r="8" spans="1:7" ht="15">
      <c r="A8" s="54" t="s">
        <v>4</v>
      </c>
      <c r="B8" s="25">
        <f>IF(542031.80231="","-",542031.80231)</f>
        <v>542031.80231</v>
      </c>
      <c r="C8" s="25">
        <f>IF(469550.33363="","-",542031.80231/469550.33363*100)</f>
        <v>115.43635761466939</v>
      </c>
      <c r="D8" s="25">
        <f>IF(469550.33363="","-",469550.33363/747953.45327*100)</f>
        <v>62.778015340013326</v>
      </c>
      <c r="E8" s="25">
        <f>IF(542031.80231="","-",542031.80231/857186.04228*100)</f>
        <v>63.233857712879704</v>
      </c>
      <c r="F8" s="25">
        <f>IF(811971.85724="","-",(469550.33363-524162.32328)/811971.85724*100)</f>
        <v>-6.725847597185621</v>
      </c>
      <c r="G8" s="25">
        <f>IF(747953.45327="","-",(542031.80231-469550.33363)/747953.45327*100)</f>
        <v>9.690638951276465</v>
      </c>
    </row>
    <row r="9" spans="1:7" s="9" customFormat="1" ht="15">
      <c r="A9" s="55" t="s">
        <v>5</v>
      </c>
      <c r="B9" s="26">
        <f>IF(208611.28832="","-",208611.28832)</f>
        <v>208611.28832</v>
      </c>
      <c r="C9" s="26">
        <f>IF(OR(176553.61336="",208611.28832=""),"-",208611.28832/176553.61336*100)</f>
        <v>118.15747316065013</v>
      </c>
      <c r="D9" s="26">
        <f>IF(176553.61336="","-",176553.61336/747953.45327*100)</f>
        <v>23.604893137149105</v>
      </c>
      <c r="E9" s="26">
        <f>IF(208611.28832="","-",208611.28832/857186.04228*100)</f>
        <v>24.336757486755374</v>
      </c>
      <c r="F9" s="26">
        <f>IF(OR(811971.85724="",185287.56344="",176553.61336=""),"-",(176553.61336-185287.56344)/811971.85724*100)</f>
        <v>-1.07564689614833</v>
      </c>
      <c r="G9" s="26">
        <f>IF(OR(747953.45327="",208611.28832="",176553.61336=""),"-",(208611.28832-176553.61336)/747953.45327*100)</f>
        <v>4.286052135977994</v>
      </c>
    </row>
    <row r="10" spans="1:7" s="9" customFormat="1" ht="15">
      <c r="A10" s="55" t="s">
        <v>6</v>
      </c>
      <c r="B10" s="26">
        <f>IF(76041.18143="","-",76041.18143)</f>
        <v>76041.18143</v>
      </c>
      <c r="C10" s="26">
        <f>IF(OR(74264.79649="",76041.18143=""),"-",76041.18143/74264.79649*100)</f>
        <v>102.39196096126003</v>
      </c>
      <c r="D10" s="26">
        <f>IF(74264.79649="","-",74264.79649/747953.45327*100)</f>
        <v>9.929066597034817</v>
      </c>
      <c r="E10" s="26">
        <f>IF(76041.18143="","-",76041.18143/857186.04228*100)</f>
        <v>8.871024221036153</v>
      </c>
      <c r="F10" s="26">
        <f>IF(OR(811971.85724="",88647.66887="",74264.79649=""),"-",(74264.79649-88647.66887)/811971.85724*100)</f>
        <v>-1.771351094468876</v>
      </c>
      <c r="G10" s="26">
        <f>IF(OR(747953.45327="",76041.18143="",74264.79649=""),"-",(76041.18143-74264.79649)/747953.45327*100)</f>
        <v>0.23749939681858184</v>
      </c>
    </row>
    <row r="11" spans="1:7" s="9" customFormat="1" ht="15">
      <c r="A11" s="55" t="s">
        <v>7</v>
      </c>
      <c r="B11" s="26">
        <f>IF(58189.68374="","-",58189.68374)</f>
        <v>58189.68374</v>
      </c>
      <c r="C11" s="26">
        <f>IF(OR(48283.82621="",58189.68374=""),"-",58189.68374/48283.82621*100)</f>
        <v>120.51589177484946</v>
      </c>
      <c r="D11" s="26">
        <f>IF(48283.82621="","-",48283.82621/747953.45327*100)</f>
        <v>6.455458691835234</v>
      </c>
      <c r="E11" s="26">
        <f>IF(58189.68374="","-",58189.68374/857186.04228*100)</f>
        <v>6.788454415942569</v>
      </c>
      <c r="F11" s="26">
        <f>IF(OR(811971.85724="",49072.78025="",48283.82621=""),"-",(48283.82621-49072.78025)/811971.85724*100)</f>
        <v>-0.09716519519306538</v>
      </c>
      <c r="G11" s="26">
        <f>IF(OR(747953.45327="",58189.68374="",48283.82621=""),"-",(58189.68374-48283.82621)/747953.45327*100)</f>
        <v>1.3243949187870296</v>
      </c>
    </row>
    <row r="12" spans="1:7" s="9" customFormat="1" ht="15.75" customHeight="1">
      <c r="A12" s="55" t="s">
        <v>206</v>
      </c>
      <c r="B12" s="26">
        <f>IF(48626.77875="","-",48626.77875)</f>
        <v>48626.77875</v>
      </c>
      <c r="C12" s="26">
        <f>IF(OR(48353.76968="",48626.77875=""),"-",48626.77875/48353.76968*100)</f>
        <v>100.56460762378352</v>
      </c>
      <c r="D12" s="26">
        <f>IF(48353.76968="","-",48353.76968/747953.45327*100)</f>
        <v>6.464810005034499</v>
      </c>
      <c r="E12" s="26">
        <f>IF(48626.77875="","-",48626.77875/857186.04228*100)</f>
        <v>5.672838374812926</v>
      </c>
      <c r="F12" s="26">
        <f>IF(OR(811971.85724="",70407.21304="",48353.76968=""),"-",(48353.76968-70407.21304)/811971.85724*100)</f>
        <v>-2.716035434400717</v>
      </c>
      <c r="G12" s="26">
        <f>IF(OR(747953.45327="",48626.77875="",48353.76968=""),"-",(48626.77875-48353.76968)/747953.45327*100)</f>
        <v>0.036500810151544</v>
      </c>
    </row>
    <row r="13" spans="1:7" s="9" customFormat="1" ht="15">
      <c r="A13" s="55" t="s">
        <v>9</v>
      </c>
      <c r="B13" s="26">
        <f>IF(29759.89045="","-",29759.89045)</f>
        <v>29759.89045</v>
      </c>
      <c r="C13" s="26">
        <f>IF(OR(20634.8873="",29759.89045=""),"-",29759.89045/20634.8873*100)</f>
        <v>144.22124054925177</v>
      </c>
      <c r="D13" s="26">
        <f>IF(20634.8873="","-",20634.8873/747953.45327*100)</f>
        <v>2.758846450910243</v>
      </c>
      <c r="E13" s="26">
        <f>IF(29759.89045="","-",29759.89045/857186.04228*100)</f>
        <v>3.4718123000279704</v>
      </c>
      <c r="F13" s="26">
        <f>IF(OR(811971.85724="",9930.73389="",20634.8873=""),"-",(20634.8873-9930.73389)/811971.85724*100)</f>
        <v>1.3182911839315263</v>
      </c>
      <c r="G13" s="26">
        <f>IF(OR(747953.45327="",29759.89045="",20634.8873=""),"-",(29759.89045-20634.8873)/747953.45327*100)</f>
        <v>1.2199961254415133</v>
      </c>
    </row>
    <row r="14" spans="1:7" s="9" customFormat="1" ht="15">
      <c r="A14" s="55" t="s">
        <v>8</v>
      </c>
      <c r="B14" s="26">
        <f>IF(28064.10865="","-",28064.10865)</f>
        <v>28064.10865</v>
      </c>
      <c r="C14" s="26">
        <f>IF(OR(25293.65386="",28064.10865=""),"-",28064.10865/25293.65386*100)</f>
        <v>110.95316163229887</v>
      </c>
      <c r="D14" s="26">
        <f>IF(25293.65386="","-",25293.65386/747953.45327*100)</f>
        <v>3.3817149649377134</v>
      </c>
      <c r="E14" s="26">
        <f>IF(28064.10865="","-",28064.10865/857186.04228*100)</f>
        <v>3.27398105729221</v>
      </c>
      <c r="F14" s="26">
        <f>IF(OR(811971.85724="",22355.02881="",25293.65386=""),"-",(25293.65386-22355.02881)/811971.85724*100)</f>
        <v>0.36191218005865067</v>
      </c>
      <c r="G14" s="26">
        <f>IF(OR(747953.45327="",28064.10865="",25293.65386=""),"-",(28064.10865-25293.65386)/747953.45327*100)</f>
        <v>0.37040470605326653</v>
      </c>
    </row>
    <row r="15" spans="1:7" s="9" customFormat="1" ht="15">
      <c r="A15" s="55" t="s">
        <v>197</v>
      </c>
      <c r="B15" s="26">
        <f>IF(15320.85343="","-",15320.85343)</f>
        <v>15320.85343</v>
      </c>
      <c r="C15" s="26">
        <f>IF(OR(20282.65242="",15320.85343=""),"-",15320.85343/20282.65242*100)</f>
        <v>75.53673510123683</v>
      </c>
      <c r="D15" s="26">
        <f>IF(20282.65242="","-",20282.65242/747953.45327*100)</f>
        <v>2.711753295786745</v>
      </c>
      <c r="E15" s="26">
        <f>IF(15320.85343="","-",15320.85343/857186.04228*100)</f>
        <v>1.7873428490795977</v>
      </c>
      <c r="F15" s="26">
        <f>IF(OR(811971.85724="",20969.04042="",20282.65242=""),"-",(20282.65242-20969.04042)/811971.85724*100)</f>
        <v>-0.08453347168128789</v>
      </c>
      <c r="G15" s="26">
        <f>IF(OR(747953.45327="",15320.85343="",20282.65242=""),"-",(15320.85343-20282.65242)/747953.45327*100)</f>
        <v>-0.6633833921492523</v>
      </c>
    </row>
    <row r="16" spans="1:7" s="9" customFormat="1" ht="15">
      <c r="A16" s="55" t="s">
        <v>11</v>
      </c>
      <c r="B16" s="26">
        <f>IF(12690.35739="","-",12690.35739)</f>
        <v>12690.35739</v>
      </c>
      <c r="C16" s="26">
        <f>IF(OR(8866.73893="",12690.35739=""),"-",12690.35739/8866.73893*100)</f>
        <v>143.12316501237058</v>
      </c>
      <c r="D16" s="26">
        <f>IF(8866.73893="","-",8866.73893/747953.45327*100)</f>
        <v>1.1854666745952223</v>
      </c>
      <c r="E16" s="26">
        <f>IF(12690.35739="","-",12690.35739/857186.04228*100)</f>
        <v>1.4804671056291758</v>
      </c>
      <c r="F16" s="26">
        <f>IF(OR(811971.85724="",6822.72695="",8866.73893=""),"-",(8866.73893-6822.72695)/811971.85724*100)</f>
        <v>0.25173433805302897</v>
      </c>
      <c r="G16" s="26">
        <f>IF(OR(747953.45327="",12690.35739="",8866.73893=""),"-",(12690.35739-8866.73893)/747953.45327*100)</f>
        <v>0.5112107502523597</v>
      </c>
    </row>
    <row r="17" spans="1:7" s="9" customFormat="1" ht="15">
      <c r="A17" s="55" t="s">
        <v>10</v>
      </c>
      <c r="B17" s="26">
        <f>IF(11560.58506="","-",11560.58506)</f>
        <v>11560.58506</v>
      </c>
      <c r="C17" s="26">
        <f>IF(OR(12435.1661="",11560.58506=""),"-",11560.58506/12435.1661*100)</f>
        <v>92.96687287514398</v>
      </c>
      <c r="D17" s="26">
        <f>IF(12435.1661="","-",12435.1661/747953.45327*100)</f>
        <v>1.6625588190861778</v>
      </c>
      <c r="E17" s="26">
        <f>IF(11560.58506="","-",11560.58506/857186.04228*100)</f>
        <v>1.3486669742370503</v>
      </c>
      <c r="F17" s="26">
        <f>IF(OR(811971.85724="",12081.55228="",12435.1661=""),"-",(12435.1661-12081.55228)/811971.85724*100)</f>
        <v>0.04355000938111091</v>
      </c>
      <c r="G17" s="26">
        <f>IF(OR(747953.45327="",11560.58506="",12435.1661=""),"-",(11560.58506-12435.1661)/747953.45327*100)</f>
        <v>-0.11692987527183597</v>
      </c>
    </row>
    <row r="18" spans="1:7" s="9" customFormat="1" ht="15">
      <c r="A18" s="55" t="s">
        <v>12</v>
      </c>
      <c r="B18" s="26">
        <f>IF(11452.49214="","-",11452.49214)</f>
        <v>11452.49214</v>
      </c>
      <c r="C18" s="26" t="s">
        <v>211</v>
      </c>
      <c r="D18" s="26">
        <f>IF(6689.56905="","-",6689.56905/747953.45327*100)</f>
        <v>0.8943830689936215</v>
      </c>
      <c r="E18" s="26">
        <f>IF(11452.49214="","-",11452.49214/857186.04228*100)</f>
        <v>1.3360567689060714</v>
      </c>
      <c r="F18" s="26">
        <f>IF(OR(811971.85724="",11330.01784="",6689.56905=""),"-",(6689.56905-11330.01784)/811971.85724*100)</f>
        <v>-0.5715036486330328</v>
      </c>
      <c r="G18" s="26">
        <f>IF(OR(747953.45327="",11452.49214="",6689.56905=""),"-",(11452.49214-6689.56905)/747953.45327*100)</f>
        <v>0.6367940503753053</v>
      </c>
    </row>
    <row r="19" spans="1:7" s="9" customFormat="1" ht="15">
      <c r="A19" s="55" t="s">
        <v>119</v>
      </c>
      <c r="B19" s="26">
        <f>IF(9925.63687="","-",9925.63687)</f>
        <v>9925.63687</v>
      </c>
      <c r="C19" s="26" t="s">
        <v>237</v>
      </c>
      <c r="D19" s="26">
        <f>IF(1176.02012="","-",1176.02012/747953.45327*100)</f>
        <v>0.15723172543137845</v>
      </c>
      <c r="E19" s="26">
        <f>IF(9925.63687="","-",9925.63687/857186.04228*100)</f>
        <v>1.157932628440745</v>
      </c>
      <c r="F19" s="26">
        <f>IF(OR(811971.85724="",2905.50065="",1176.02012=""),"-",(1176.02012-2905.50065)/811971.85724*100)</f>
        <v>-0.21299759524655615</v>
      </c>
      <c r="G19" s="26">
        <f>IF(OR(747953.45327="",9925.63687="",1176.02012=""),"-",(9925.63687-1176.02012)/747953.45327*100)</f>
        <v>1.1698076547072935</v>
      </c>
    </row>
    <row r="20" spans="1:7" s="9" customFormat="1" ht="15">
      <c r="A20" s="55" t="s">
        <v>13</v>
      </c>
      <c r="B20" s="26">
        <f>IF(9610.33651="","-",9610.33651)</f>
        <v>9610.33651</v>
      </c>
      <c r="C20" s="26">
        <f>IF(OR(8134.74117="",9610.33651=""),"-",9610.33651/8134.74117*100)</f>
        <v>118.13942581777313</v>
      </c>
      <c r="D20" s="26">
        <f>IF(8134.74117="","-",8134.74117/747953.45327*100)</f>
        <v>1.0875999214169656</v>
      </c>
      <c r="E20" s="26">
        <f>IF(9610.33651="","-",9610.33651/857186.04228*100)</f>
        <v>1.1211494396756383</v>
      </c>
      <c r="F20" s="26">
        <f>IF(OR(811971.85724="",15086.00949="",8134.74117=""),"-",(8134.74117-15086.00949)/811971.85724*100)</f>
        <v>-0.8560971981994896</v>
      </c>
      <c r="G20" s="26">
        <f>IF(OR(747953.45327="",9610.33651="",8134.74117=""),"-",(9610.33651-8134.74117)/747953.45327*100)</f>
        <v>0.19728438093958917</v>
      </c>
    </row>
    <row r="21" spans="1:7" s="9" customFormat="1" ht="15">
      <c r="A21" s="55" t="s">
        <v>120</v>
      </c>
      <c r="B21" s="26">
        <f>IF(4832.40137="","-",4832.40137)</f>
        <v>4832.40137</v>
      </c>
      <c r="C21" s="26">
        <f>IF(OR(3835.69213="",4832.40137=""),"-",4832.40137/3835.69213*100)</f>
        <v>125.98512096954974</v>
      </c>
      <c r="D21" s="26">
        <f>IF(3835.69213="","-",3835.69213/747953.45327*100)</f>
        <v>0.5128249777082549</v>
      </c>
      <c r="E21" s="26">
        <f>IF(4832.40137="","-",4832.40137/857186.04228*100)</f>
        <v>0.5637517565202601</v>
      </c>
      <c r="F21" s="26">
        <f>IF(OR(811971.85724="",4353.90565="",3835.69213=""),"-",(3835.69213-4353.90565)/811971.85724*100)</f>
        <v>-0.06382161098064115</v>
      </c>
      <c r="G21" s="26">
        <f>IF(OR(747953.45327="",4832.40137="",3835.69213=""),"-",(4832.40137-3835.69213)/747953.45327*100)</f>
        <v>0.1332581908195566</v>
      </c>
    </row>
    <row r="22" spans="1:7" s="9" customFormat="1" ht="15">
      <c r="A22" s="55" t="s">
        <v>122</v>
      </c>
      <c r="B22" s="26">
        <f>IF(3712.95067="","-",3712.95067)</f>
        <v>3712.95067</v>
      </c>
      <c r="C22" s="26">
        <f>IF(OR(3556.04763="",3712.95067=""),"-",3712.95067/3556.04763*100)</f>
        <v>104.41228735735466</v>
      </c>
      <c r="D22" s="26">
        <f>IF(3556.04763="","-",3556.04763/747953.45327*100)</f>
        <v>0.47543702277905253</v>
      </c>
      <c r="E22" s="26">
        <f>IF(3712.95067="","-",3712.95067/857186.04228*100)</f>
        <v>0.4331557546275542</v>
      </c>
      <c r="F22" s="26">
        <f>IF(OR(811971.85724="",3991.99804="",3556.04763=""),"-",(3556.04763-3991.99804)/811971.85724*100)</f>
        <v>-0.05369033496824055</v>
      </c>
      <c r="G22" s="26">
        <f>IF(OR(747953.45327="",3712.95067="",3556.04763=""),"-",(3712.95067-3556.04763)/747953.45327*100)</f>
        <v>0.020977647648263546</v>
      </c>
    </row>
    <row r="23" spans="1:7" s="9" customFormat="1" ht="15">
      <c r="A23" s="55" t="s">
        <v>123</v>
      </c>
      <c r="B23" s="26">
        <f>IF(3381.77866="","-",3381.77866)</f>
        <v>3381.77866</v>
      </c>
      <c r="C23" s="26">
        <f>IF(OR(2872.40197="",3381.77866=""),"-",3381.77866/2872.40197*100)</f>
        <v>117.73347516538573</v>
      </c>
      <c r="D23" s="26">
        <f>IF(2872.40197="","-",2872.40197/747953.45327*100)</f>
        <v>0.3840348563726873</v>
      </c>
      <c r="E23" s="26">
        <f>IF(3381.77866="","-",3381.77866/857186.04228*100)</f>
        <v>0.394520966650941</v>
      </c>
      <c r="F23" s="26">
        <f>IF(OR(811971.85724="",2925.07418="",2872.40197=""),"-",(2872.40197-2925.07418)/811971.85724*100)</f>
        <v>-0.006486950197884936</v>
      </c>
      <c r="G23" s="26">
        <f>IF(OR(747953.45327="",3381.77866="",2872.40197=""),"-",(3381.77866-2872.40197)/747953.45327*100)</f>
        <v>0.06810272588127521</v>
      </c>
    </row>
    <row r="24" spans="1:7" s="9" customFormat="1" ht="15">
      <c r="A24" s="55" t="s">
        <v>126</v>
      </c>
      <c r="B24" s="26">
        <f>IF(3237.26658="","-",3237.26658)</f>
        <v>3237.26658</v>
      </c>
      <c r="C24" s="26" t="s">
        <v>238</v>
      </c>
      <c r="D24" s="26">
        <f>IF(870.40596="","-",870.40596/747953.45327*100)</f>
        <v>0.11637167476059457</v>
      </c>
      <c r="E24" s="26">
        <f>IF(3237.26658="","-",3237.26658/857186.04228*100)</f>
        <v>0.377662073380162</v>
      </c>
      <c r="F24" s="26">
        <f>IF(OR(811971.85724="",3352.10996="",870.40596=""),"-",(870.40596-3352.10996)/811971.85724*100)</f>
        <v>-0.3056391644453837</v>
      </c>
      <c r="G24" s="26">
        <f>IF(OR(747953.45327="",3237.26658="",870.40596=""),"-",(3237.26658-870.40596)/747953.45327*100)</f>
        <v>0.31644490838998757</v>
      </c>
    </row>
    <row r="25" spans="1:7" s="9" customFormat="1" ht="15">
      <c r="A25" s="55" t="s">
        <v>121</v>
      </c>
      <c r="B25" s="26">
        <f>IF(2261.64776="","-",2261.64776)</f>
        <v>2261.64776</v>
      </c>
      <c r="C25" s="26">
        <f>IF(OR(1644.00906="",2261.64776=""),"-",2261.64776/1644.00906*100)</f>
        <v>137.56905694911435</v>
      </c>
      <c r="D25" s="26">
        <f>IF(1644.00906="","-",1644.00906/747953.45327*100)</f>
        <v>0.2198009853170017</v>
      </c>
      <c r="E25" s="26">
        <f>IF(2261.64776="","-",2261.64776/857186.04228*100)</f>
        <v>0.26384561208956686</v>
      </c>
      <c r="F25" s="26">
        <f>IF(OR(811971.85724="",2569.21992="",1644.00906=""),"-",(1644.00906-2569.21992)/811971.85724*100)</f>
        <v>-0.11394617334951906</v>
      </c>
      <c r="G25" s="26">
        <f>IF(OR(747953.45327="",2261.64776="",1644.00906=""),"-",(2261.64776-1644.00906)/747953.45327*100)</f>
        <v>0.08257715734845887</v>
      </c>
    </row>
    <row r="26" spans="1:7" s="9" customFormat="1" ht="15">
      <c r="A26" s="55" t="s">
        <v>124</v>
      </c>
      <c r="B26" s="26">
        <f>IF(1915.25399="","-",1915.25399)</f>
        <v>1915.25399</v>
      </c>
      <c r="C26" s="26">
        <f>IF(OR(2130.17383="",1915.25399=""),"-",1915.25399/2130.17383*100)</f>
        <v>89.91069005856671</v>
      </c>
      <c r="D26" s="26">
        <f>IF(2130.17383="","-",2130.17383/747953.45327*100)</f>
        <v>0.28480032021872875</v>
      </c>
      <c r="E26" s="26">
        <f>IF(1915.25399="","-",1915.25399/857186.04228*100)</f>
        <v>0.2234350415816012</v>
      </c>
      <c r="F26" s="26">
        <f>IF(OR(811971.85724="",7058.30761="",2130.17383=""),"-",(2130.17383-7058.30761)/811971.85724*100)</f>
        <v>-0.6069340625611558</v>
      </c>
      <c r="G26" s="26">
        <f>IF(OR(747953.45327="",1915.25399="",2130.17383=""),"-",(1915.25399-2130.17383)/747953.45327*100)</f>
        <v>-0.028734387021062045</v>
      </c>
    </row>
    <row r="27" spans="1:7" s="9" customFormat="1" ht="15">
      <c r="A27" s="55" t="s">
        <v>125</v>
      </c>
      <c r="B27" s="26">
        <f>IF(1122.86065="","-",1122.86065)</f>
        <v>1122.86065</v>
      </c>
      <c r="C27" s="26">
        <f>IF(OR(1790.26739="",1122.86065=""),"-",1122.86065/1790.26739*100)</f>
        <v>62.72027610356016</v>
      </c>
      <c r="D27" s="26">
        <f>IF(1790.26739="","-",1790.26739/747953.45327*100)</f>
        <v>0.2393554548311899</v>
      </c>
      <c r="E27" s="26">
        <f>IF(1122.86065="","-",1122.86065/857186.04228*100)</f>
        <v>0.1309938093501081</v>
      </c>
      <c r="F27" s="26">
        <f>IF(OR(811971.85724="",1679.56796="",1790.26739=""),"-",(1790.26739-1679.56796)/811971.85724*100)</f>
        <v>0.013633407243482788</v>
      </c>
      <c r="G27" s="26">
        <f>IF(OR(747953.45327="",1122.86065="",1790.26739=""),"-",(1122.86065-1790.26739)/747953.45327*100)</f>
        <v>-0.08923105269213538</v>
      </c>
    </row>
    <row r="28" spans="1:7" s="9" customFormat="1" ht="15">
      <c r="A28" s="55" t="s">
        <v>127</v>
      </c>
      <c r="B28" s="26">
        <f>IF(670.76797="","-",670.76797)</f>
        <v>670.76797</v>
      </c>
      <c r="C28" s="26">
        <f>IF(OR(581.21141="",670.76797=""),"-",670.76797/581.21141*100)</f>
        <v>115.40860321376003</v>
      </c>
      <c r="D28" s="26">
        <f>IF(581.21141="","-",581.21141/747953.45327*100)</f>
        <v>0.07770689572445778</v>
      </c>
      <c r="E28" s="26">
        <f>IF(670.76797="","-",670.76797/857186.04228*100)</f>
        <v>0.07825232060660332</v>
      </c>
      <c r="F28" s="26">
        <f>IF(OR(811971.85724="",1029.40824="",581.21141=""),"-",(581.21141-1029.40824)/811971.85724*100)</f>
        <v>-0.055198567044365356</v>
      </c>
      <c r="G28" s="26">
        <f>IF(OR(747953.45327="",670.76797="",581.21141=""),"-",(670.76797-581.21141)/747953.45327*100)</f>
        <v>0.011973547231911958</v>
      </c>
    </row>
    <row r="29" spans="1:7" s="9" customFormat="1" ht="15">
      <c r="A29" s="55" t="s">
        <v>129</v>
      </c>
      <c r="B29" s="26">
        <f>IF(662.34347="","-",662.34347)</f>
        <v>662.34347</v>
      </c>
      <c r="C29" s="26" t="s">
        <v>186</v>
      </c>
      <c r="D29" s="26">
        <f>IF(267.28274="","-",267.28274/747953.45327*100)</f>
        <v>0.035735210370573006</v>
      </c>
      <c r="E29" s="26">
        <f>IF(662.34347="","-",662.34347/857186.04228*100)</f>
        <v>0.07726951178979247</v>
      </c>
      <c r="F29" s="26">
        <f>IF(OR(811971.85724="",1202.11424="",267.28274=""),"-",(267.28274-1202.11424)/811971.85724*100)</f>
        <v>-0.11513102229646435</v>
      </c>
      <c r="G29" s="26">
        <f>IF(OR(747953.45327="",662.34347="",267.28274=""),"-",(662.34347-267.28274)/747953.45327*100)</f>
        <v>0.05281889244214626</v>
      </c>
    </row>
    <row r="30" spans="1:7" s="9" customFormat="1" ht="15">
      <c r="A30" s="55" t="s">
        <v>132</v>
      </c>
      <c r="B30" s="26">
        <f>IF(152.98353="","-",152.98353)</f>
        <v>152.98353</v>
      </c>
      <c r="C30" s="26">
        <f>IF(OR(164.27991="",152.98353=""),"-",152.98353/164.27991*100)</f>
        <v>93.12369966601516</v>
      </c>
      <c r="D30" s="26">
        <f>IF(164.27991="","-",164.27991/747953.45327*100)</f>
        <v>0.021963921589208492</v>
      </c>
      <c r="E30" s="26">
        <f>IF(152.98353="","-",152.98353/857186.04228*100)</f>
        <v>0.017847179311632783</v>
      </c>
      <c r="F30" s="26">
        <f>IF(OR(811971.85724="",40.84512="",164.27991=""),"-",(164.27991-40.84512)/811971.85724*100)</f>
        <v>0.015201855692335349</v>
      </c>
      <c r="G30" s="26">
        <f>IF(OR(747953.45327="",152.98353="",164.27991=""),"-",(152.98353-164.27991)/747953.45327*100)</f>
        <v>-0.0015103052135949126</v>
      </c>
    </row>
    <row r="31" spans="1:7" s="9" customFormat="1" ht="15">
      <c r="A31" s="55" t="s">
        <v>198</v>
      </c>
      <c r="B31" s="26">
        <f>IF(76.57058="","-",76.57058)</f>
        <v>76.57058</v>
      </c>
      <c r="C31" s="26">
        <f>IF(OR(100.98878="",76.57058=""),"-",76.57058/100.98878*100)</f>
        <v>75.8208783193539</v>
      </c>
      <c r="D31" s="26">
        <f>IF(100.98878="","-",100.98878/747953.45327*100)</f>
        <v>0.013502014003476304</v>
      </c>
      <c r="E31" s="26">
        <f>IF(76.57058="","-",76.57058/857186.04228*100)</f>
        <v>0.008932784275900309</v>
      </c>
      <c r="F31" s="26">
        <f>IF(OR(811971.85724="",104.89025="",100.98878=""),"-",(100.98878-104.89025)/811971.85724*100)</f>
        <v>-0.00048049325419499174</v>
      </c>
      <c r="G31" s="26">
        <f>IF(OR(747953.45327="",76.57058="",100.98878=""),"-",(76.57058-100.98878)/747953.45327*100)</f>
        <v>-0.003264668395238412</v>
      </c>
    </row>
    <row r="32" spans="1:7" s="9" customFormat="1" ht="15">
      <c r="A32" s="55" t="s">
        <v>131</v>
      </c>
      <c r="B32" s="26">
        <f>IF(53.31802="","-",53.31802)</f>
        <v>53.31802</v>
      </c>
      <c r="C32" s="26">
        <f>IF(OR(362.3335="",53.31802=""),"-",53.31802/362.3335*100)</f>
        <v>14.715178143892297</v>
      </c>
      <c r="D32" s="26">
        <f>IF(362.3335="","-",362.3335/747953.45327*100)</f>
        <v>0.04844332202972035</v>
      </c>
      <c r="E32" s="26">
        <f>IF(53.31802="","-",53.31802/857186.04228*100)</f>
        <v>0.006220122280360656</v>
      </c>
      <c r="F32" s="26">
        <f>IF(OR(811971.85724="",178.36789="",362.3335=""),"-",(362.3335-178.36789)/811971.85724*100)</f>
        <v>0.02265664854756463</v>
      </c>
      <c r="G32" s="26">
        <f>IF(OR(747953.45327="",53.31802="",362.3335=""),"-",(53.31802-362.3335)/747953.45327*100)</f>
        <v>-0.04131480089422757</v>
      </c>
    </row>
    <row r="33" spans="1:7" s="9" customFormat="1" ht="15">
      <c r="A33" s="55" t="s">
        <v>130</v>
      </c>
      <c r="B33" s="26">
        <f>IF(45.43539="","-",45.43539)</f>
        <v>45.43539</v>
      </c>
      <c r="C33" s="26">
        <f>IF(OR(264.23755="",45.43539=""),"-",45.43539/264.23755*100)</f>
        <v>17.19490284405074</v>
      </c>
      <c r="D33" s="26">
        <f>IF(264.23755="","-",264.23755/747953.45327*100)</f>
        <v>0.03532807407262738</v>
      </c>
      <c r="E33" s="26">
        <f>IF(45.43539="","-",45.43539/857186.04228*100)</f>
        <v>0.005300528445277521</v>
      </c>
      <c r="F33" s="26">
        <f>IF(OR(811971.85724="",72.05506="",264.23755=""),"-",(264.23755-72.05506)/811971.85724*100)</f>
        <v>0.023668614655347017</v>
      </c>
      <c r="G33" s="26">
        <f>IF(OR(747953.45327="",45.43539="",264.23755=""),"-",(45.43539-264.23755)/747953.45327*100)</f>
        <v>-0.02925344605916482</v>
      </c>
    </row>
    <row r="34" spans="1:7" s="9" customFormat="1" ht="15">
      <c r="A34" s="55" t="s">
        <v>128</v>
      </c>
      <c r="B34" s="26">
        <f>IF(21.23394="","-",21.23394)</f>
        <v>21.23394</v>
      </c>
      <c r="C34" s="26">
        <f>IF(OR(24.96638="",21.23394=""),"-",21.23394/24.96638*100)</f>
        <v>85.05013542211566</v>
      </c>
      <c r="D34" s="26">
        <f>IF(24.96638="","-",24.96638/747953.45327*100)</f>
        <v>0.003337959052244326</v>
      </c>
      <c r="E34" s="26">
        <f>IF(21.23394="","-",21.23394/857186.04228*100)</f>
        <v>0.002477168193677135</v>
      </c>
      <c r="F34" s="26">
        <f>IF(OR(811971.85724="",62.28984="",24.96638=""),"-",(24.96638-62.28984)/811971.85724*100)</f>
        <v>-0.004596644534807818</v>
      </c>
      <c r="G34" s="26">
        <f>IF(OR(747953.45327="",21.23394="",24.96638=""),"-",(21.23394-24.96638)/747953.45327*100)</f>
        <v>-0.0004990203579757584</v>
      </c>
    </row>
    <row r="35" spans="1:7" s="9" customFormat="1" ht="15">
      <c r="A35" s="55" t="s">
        <v>133</v>
      </c>
      <c r="B35" s="26">
        <f>IF(16.01366="","-",16.01366)</f>
        <v>16.01366</v>
      </c>
      <c r="C35" s="26">
        <f>IF(OR(89.31444="",16.01366=""),"-",16.01366/89.31444*100)</f>
        <v>17.929530767925097</v>
      </c>
      <c r="D35" s="26">
        <f>IF(89.31444="","-",89.31444/747953.45327*100)</f>
        <v>0.011941176233564206</v>
      </c>
      <c r="E35" s="26">
        <f>IF(16.01366="","-",16.01366/857186.04228*100)</f>
        <v>0.0018681662101503438</v>
      </c>
      <c r="F35" s="26">
        <f>IF(OR(811971.85724="",353.0227="",89.31444=""),"-",(89.31444-353.0227)/811971.85724*100)</f>
        <v>-0.032477512323688076</v>
      </c>
      <c r="G35" s="26">
        <f>IF(OR(747953.45327="",16.01366="",89.31444=""),"-",(16.01366-89.31444)/747953.45327*100)</f>
        <v>-0.009800179366715152</v>
      </c>
    </row>
    <row r="36" spans="1:7" s="9" customFormat="1" ht="15">
      <c r="A36" s="55" t="s">
        <v>134</v>
      </c>
      <c r="B36" s="26">
        <f>IF(15.78333="","-",15.78333)</f>
        <v>15.78333</v>
      </c>
      <c r="C36" s="26">
        <f>IF(OR(27.28626="",15.78333=""),"-",15.78333/27.28626*100)</f>
        <v>57.84350805130495</v>
      </c>
      <c r="D36" s="26">
        <f>IF(27.28626="","-",27.28626/747953.45327*100)</f>
        <v>0.0036481227382140404</v>
      </c>
      <c r="E36" s="26">
        <f>IF(15.78333="","-",15.78333/857186.04228*100)</f>
        <v>0.0018412957306232444</v>
      </c>
      <c r="F36" s="26">
        <f>IF(OR(811971.85724="",293.31069="",27.28626=""),"-",(27.28626-293.31069)/811971.85724*100)</f>
        <v>-0.03276276482096958</v>
      </c>
      <c r="G36" s="26">
        <f>IF(OR(747953.45327="",15.78333="",27.28626=""),"-",(15.78333-27.28626)/747953.45327*100)</f>
        <v>-0.0015379205684137155</v>
      </c>
    </row>
    <row r="37" spans="1:7" s="9" customFormat="1" ht="15">
      <c r="A37" s="56" t="s">
        <v>14</v>
      </c>
      <c r="B37" s="25">
        <f>IF(177815.41113="","-",177815.41113)</f>
        <v>177815.41113</v>
      </c>
      <c r="C37" s="25">
        <f>IF(153379.8824="","-",177815.41113/153379.8824*100)</f>
        <v>115.9313779275658</v>
      </c>
      <c r="D37" s="25">
        <f>IF(153379.8824="","-",153379.8824/747953.45327*100)</f>
        <v>20.506607961957247</v>
      </c>
      <c r="E37" s="25">
        <f>IF(177815.41113="","-",177815.41113/857186.04228*100)</f>
        <v>20.744086156260177</v>
      </c>
      <c r="F37" s="25">
        <f>IF(811971.85724="","-",(153379.8824-182405.59067)/811971.85724*100)</f>
        <v>-3.574718509168807</v>
      </c>
      <c r="G37" s="25">
        <f>IF(747953.45327="","-",(177815.41113-153379.8824)/747953.45327*100)</f>
        <v>3.266985214543709</v>
      </c>
    </row>
    <row r="38" spans="1:7" s="23" customFormat="1" ht="16.5" customHeight="1">
      <c r="A38" s="55" t="s">
        <v>207</v>
      </c>
      <c r="B38" s="26">
        <f>IF(97956.85586="","-",97956.85586)</f>
        <v>97956.85586</v>
      </c>
      <c r="C38" s="26">
        <f>IF(OR(77271.93417="",97956.85586=""),"-",97956.85586/77271.93417*100)</f>
        <v>126.76899693554029</v>
      </c>
      <c r="D38" s="26">
        <f>IF(77271.93417="","-",77271.93417/747953.45327*100)</f>
        <v>10.331115369836521</v>
      </c>
      <c r="E38" s="26">
        <f>IF(97956.85586="","-",97956.85586/857186.04228*100)</f>
        <v>11.427724091195872</v>
      </c>
      <c r="F38" s="26">
        <f>IF(OR(811971.85724="",89948.52468="",77271.93417=""),"-",(77271.93417-89948.52468)/811971.85724*100)</f>
        <v>-1.5612105760770356</v>
      </c>
      <c r="G38" s="26">
        <f>IF(OR(747953.45327="",97956.85586="",77271.93417=""),"-",(97956.85586-77271.93417)/747953.45327*100)</f>
        <v>2.7655359567586695</v>
      </c>
    </row>
    <row r="39" spans="1:7" s="23" customFormat="1" ht="16.5" customHeight="1">
      <c r="A39" s="55" t="s">
        <v>15</v>
      </c>
      <c r="B39" s="26">
        <f>IF(48148.69356="","-",48148.69356)</f>
        <v>48148.69356</v>
      </c>
      <c r="C39" s="26">
        <f>IF(OR(46852.8="",48148.69356=""),"-",48148.69356/46852.8*100)</f>
        <v>102.7658828501178</v>
      </c>
      <c r="D39" s="26">
        <f>IF(46852.8="","-",46852.8/747953.45327*100)</f>
        <v>6.264133121541568</v>
      </c>
      <c r="E39" s="26">
        <f>IF(48148.69356="","-",48148.69356/857186.04228*100)</f>
        <v>5.617064579345101</v>
      </c>
      <c r="F39" s="26">
        <f>IF(OR(811971.85724="",48157.34572="",46852.8=""),"-",(46852.8-48157.34572)/811971.85724*100)</f>
        <v>-0.16066390828301838</v>
      </c>
      <c r="G39" s="26">
        <f>IF(OR(747953.45327="",48148.69356="",46852.8=""),"-",(48148.69356-46852.8)/747953.45327*100)</f>
        <v>0.17325858371726757</v>
      </c>
    </row>
    <row r="40" spans="1:7" s="23" customFormat="1" ht="16.5" customHeight="1">
      <c r="A40" s="55" t="s">
        <v>16</v>
      </c>
      <c r="B40" s="26">
        <f>IF(21516.30165="","-",21516.30165)</f>
        <v>21516.30165</v>
      </c>
      <c r="C40" s="26">
        <f>IF(OR(19500.26721="",21516.30165=""),"-",21516.30165/19500.26721*100)</f>
        <v>110.33849648463354</v>
      </c>
      <c r="D40" s="26">
        <f>IF(19500.26721="","-",19500.26721/747953.45327*100)</f>
        <v>2.607149833287914</v>
      </c>
      <c r="E40" s="26">
        <f>IF(21516.30165="","-",21516.30165/857186.04228*100)</f>
        <v>2.510108726545467</v>
      </c>
      <c r="F40" s="26">
        <f>IF(OR(811971.85724="",15501.03025="",19500.26721=""),"-",(19500.26721-15501.03025)/811971.85724*100)</f>
        <v>0.49253393751772856</v>
      </c>
      <c r="G40" s="26">
        <f>IF(OR(747953.45327="",21516.30165="",19500.26721=""),"-",(21516.30165-19500.26721)/747953.45327*100)</f>
        <v>0.2695400938636005</v>
      </c>
    </row>
    <row r="41" spans="1:7" s="23" customFormat="1" ht="16.5" customHeight="1">
      <c r="A41" s="55" t="s">
        <v>17</v>
      </c>
      <c r="B41" s="26">
        <f>IF(4719.15547="","-",4719.15547)</f>
        <v>4719.15547</v>
      </c>
      <c r="C41" s="26">
        <f>IF(OR(4758.40169="",4719.15547=""),"-",4719.15547/4758.40169*100)</f>
        <v>99.175222636574</v>
      </c>
      <c r="D41" s="26">
        <f>IF(4758.40169="","-",4758.40169/747953.45327*100)</f>
        <v>0.6361895475175094</v>
      </c>
      <c r="E41" s="26">
        <f>IF(4719.15547="","-",4719.15547/857186.04228*100)</f>
        <v>0.5505404004768532</v>
      </c>
      <c r="F41" s="26">
        <f>IF(OR(811971.85724="",23071.45855="",4758.40169=""),"-",(4758.40169-23071.45855)/811971.85724*100)</f>
        <v>-2.2553807372398973</v>
      </c>
      <c r="G41" s="26">
        <f>IF(OR(747953.45327="",4719.15547="",4758.40169=""),"-",(4719.15547-4758.40169)/747953.45327*100)</f>
        <v>-0.0052471473764066825</v>
      </c>
    </row>
    <row r="42" spans="1:7" s="23" customFormat="1" ht="16.5" customHeight="1">
      <c r="A42" s="55" t="s">
        <v>19</v>
      </c>
      <c r="B42" s="26">
        <f>IF(2282.09998="","-",2282.09998)</f>
        <v>2282.09998</v>
      </c>
      <c r="C42" s="26">
        <f>IF(OR(2050.80104="",2282.09998=""),"-",2282.09998/2050.80104*100)</f>
        <v>111.2784680468077</v>
      </c>
      <c r="D42" s="26">
        <f>IF(2050.80104="","-",2050.80104/747953.45327*100)</f>
        <v>0.27418832429131</v>
      </c>
      <c r="E42" s="26">
        <f>IF(2282.09998="","-",2282.09998/857186.04228*100)</f>
        <v>0.26623158421127807</v>
      </c>
      <c r="F42" s="26">
        <f>IF(OR(811971.85724="",2740.47215="",2050.80104=""),"-",(2050.80104-2740.47215)/811971.85724*100)</f>
        <v>-0.08493780958668737</v>
      </c>
      <c r="G42" s="26">
        <f>IF(OR(747953.45327="",2282.09998="",2050.80104=""),"-",(2282.09998-2050.80104)/747953.45327*100)</f>
        <v>0.030924242543272897</v>
      </c>
    </row>
    <row r="43" spans="1:7" s="23" customFormat="1" ht="16.5" customHeight="1">
      <c r="A43" s="55" t="s">
        <v>18</v>
      </c>
      <c r="B43" s="26">
        <f>IF(2084.34082="","-",2084.34082)</f>
        <v>2084.34082</v>
      </c>
      <c r="C43" s="26">
        <f>IF(OR(1565.61177="",2084.34082=""),"-",2084.34082/1565.61177*100)</f>
        <v>133.13267439219624</v>
      </c>
      <c r="D43" s="26">
        <f>IF(1565.61177="","-",1565.61177/747953.45327*100)</f>
        <v>0.20931941194405282</v>
      </c>
      <c r="E43" s="26">
        <f>IF(2084.34082="","-",2084.34082/857186.04228*100)</f>
        <v>0.24316084457650902</v>
      </c>
      <c r="F43" s="26">
        <f>IF(OR(811971.85724="",1315.60005="",1565.61177=""),"-",(1565.61177-1315.60005)/811971.85724*100)</f>
        <v>0.030790687850909382</v>
      </c>
      <c r="G43" s="26">
        <f>IF(OR(747953.45327="",2084.34082="",1565.61177=""),"-",(2084.34082-1565.61177)/747953.45327*100)</f>
        <v>0.0693531191990829</v>
      </c>
    </row>
    <row r="44" spans="1:7" s="23" customFormat="1" ht="16.5" customHeight="1">
      <c r="A44" s="55" t="s">
        <v>20</v>
      </c>
      <c r="B44" s="26">
        <f>IF(370.51621="","-",370.51621)</f>
        <v>370.51621</v>
      </c>
      <c r="C44" s="26">
        <f>IF(OR(417.73311="",370.51621=""),"-",370.51621/417.73311*100)</f>
        <v>88.6968739442272</v>
      </c>
      <c r="D44" s="26">
        <f>IF(417.73311="","-",417.73311/747953.45327*100)</f>
        <v>0.05585014791678548</v>
      </c>
      <c r="E44" s="26">
        <f>IF(370.51621="","-",370.51621/857186.04228*100)</f>
        <v>0.043224713390628305</v>
      </c>
      <c r="F44" s="26">
        <f>IF(OR(811971.85724="",563.50876="",417.73311=""),"-",(417.73311-563.50876)/811971.85724*100)</f>
        <v>-0.0179532884914892</v>
      </c>
      <c r="G44" s="26">
        <f>IF(OR(747953.45327="",370.51621="",417.73311=""),"-",(370.51621-417.73311)/747953.45327*100)</f>
        <v>-0.006312812621369824</v>
      </c>
    </row>
    <row r="45" spans="1:7" s="23" customFormat="1" ht="16.5" customHeight="1">
      <c r="A45" s="55" t="s">
        <v>22</v>
      </c>
      <c r="B45" s="26">
        <f>IF(280.0313="","-",280.0313)</f>
        <v>280.0313</v>
      </c>
      <c r="C45" s="26">
        <f>IF(OR(338.57644="",280.0313=""),"-",280.0313/338.57644*100)</f>
        <v>82.70844244212621</v>
      </c>
      <c r="D45" s="26">
        <f>IF(338.57644="","-",338.57644/747953.45327*100)</f>
        <v>0.045267046835570784</v>
      </c>
      <c r="E45" s="26">
        <f>IF(280.0313="","-",280.0313/857186.04228*100)</f>
        <v>0.03266867239871921</v>
      </c>
      <c r="F45" s="26">
        <f>IF(OR(811971.85724="",376.77854="",338.57644=""),"-",(338.57644-376.77854)/811971.85724*100)</f>
        <v>-0.004704855181785983</v>
      </c>
      <c r="G45" s="26">
        <f>IF(OR(747953.45327="",280.0313="",338.57644=""),"-",(280.0313-338.57644)/747953.45327*100)</f>
        <v>-0.007827377458322408</v>
      </c>
    </row>
    <row r="46" spans="1:7" s="23" customFormat="1" ht="16.5" customHeight="1">
      <c r="A46" s="55" t="s">
        <v>23</v>
      </c>
      <c r="B46" s="26">
        <f>IF(258.5789="","-",258.5789)</f>
        <v>258.5789</v>
      </c>
      <c r="C46" s="26">
        <f>IF(OR(239.61437="",258.5789=""),"-",258.5789/239.61437*100)</f>
        <v>107.91460462074957</v>
      </c>
      <c r="D46" s="26">
        <f>IF(239.61437="","-",239.61437/747953.45327*100)</f>
        <v>0.032036000228680375</v>
      </c>
      <c r="E46" s="26">
        <f>IF(258.5789="","-",258.5789/857186.04228*100)</f>
        <v>0.03016601848908024</v>
      </c>
      <c r="F46" s="26">
        <f>IF(OR(811971.85724="",224.05183="",239.61437=""),"-",(239.61437-224.05183)/811971.85724*100)</f>
        <v>0.0019166353933619262</v>
      </c>
      <c r="G46" s="26">
        <f>IF(OR(747953.45327="",258.5789="",239.61437=""),"-",(258.5789-239.61437)/747953.45327*100)</f>
        <v>0.0025355227544024794</v>
      </c>
    </row>
    <row r="47" spans="1:7" s="23" customFormat="1" ht="16.5" customHeight="1">
      <c r="A47" s="55" t="s">
        <v>21</v>
      </c>
      <c r="B47" s="26">
        <f>IF(198.83738="","-",198.83738)</f>
        <v>198.83738</v>
      </c>
      <c r="C47" s="26">
        <f>IF(OR(384.1426="",198.83738=""),"-",198.83738/384.1426*100)</f>
        <v>51.76134591685483</v>
      </c>
      <c r="D47" s="26">
        <f>IF(384.1426="","-",384.1426/747953.45327*100)</f>
        <v>0.05135915855733475</v>
      </c>
      <c r="E47" s="26">
        <f>IF(198.83738="","-",198.83738/857186.04228*100)</f>
        <v>0.0231965256306693</v>
      </c>
      <c r="F47" s="26">
        <f>IF(OR(811971.85724="",506.82014="",384.1426=""),"-",(384.1426-506.82014)/811971.85724*100)</f>
        <v>-0.015108595070892874</v>
      </c>
      <c r="G47" s="26">
        <f>IF(OR(747953.45327="",198.83738="",384.1426=""),"-",(198.83738-384.1426)/747953.45327*100)</f>
        <v>-0.024774966836486757</v>
      </c>
    </row>
    <row r="48" spans="1:7" s="9" customFormat="1" ht="15">
      <c r="A48" s="56" t="s">
        <v>24</v>
      </c>
      <c r="B48" s="25">
        <f>IF(137338.82884="","-",137338.82884)</f>
        <v>137338.82884</v>
      </c>
      <c r="C48" s="25">
        <f>IF(125023.23724="","-",137338.82884/125023.23724*100)</f>
        <v>109.85064206612924</v>
      </c>
      <c r="D48" s="25">
        <f>IF(125023.23724="","-",125023.23724/747953.45327*100)</f>
        <v>16.715376698029427</v>
      </c>
      <c r="E48" s="25">
        <f>IF(137338.82884="","-",137338.82884/857186.04228*100)</f>
        <v>16.022056130860125</v>
      </c>
      <c r="F48" s="25">
        <f>IF(811971.85724="","-",(125023.23724-105403.94329)/811971.85724*100)</f>
        <v>2.4162529495404663</v>
      </c>
      <c r="G48" s="25">
        <f>IF(747953.45327="","-",(137338.82884-125023.23724)/747953.45327*100)</f>
        <v>1.6465719285280518</v>
      </c>
    </row>
    <row r="49" spans="1:7" s="9" customFormat="1" ht="15">
      <c r="A49" s="55" t="s">
        <v>135</v>
      </c>
      <c r="B49" s="26">
        <f>IF(43151.5009="","-",43151.5009)</f>
        <v>43151.5009</v>
      </c>
      <c r="C49" s="26">
        <f>IF(OR(28459.28728="",43151.5009=""),"-",43151.5009/28459.28728*100)</f>
        <v>151.62537443558918</v>
      </c>
      <c r="D49" s="26">
        <f>IF(28459.28728="","-",28459.28728/747953.45327*100)</f>
        <v>3.8049543264461168</v>
      </c>
      <c r="E49" s="26">
        <f>IF(43151.5009="","-",43151.5009/857186.04228*100)</f>
        <v>5.034088140915452</v>
      </c>
      <c r="F49" s="26">
        <f>IF(OR(811971.85724="",28547.58676="",28459.28728=""),"-",(28459.28728-28547.58676)/811971.85724*100)</f>
        <v>-0.010874697098510223</v>
      </c>
      <c r="G49" s="26">
        <f>IF(OR(747953.45327="",43151.5009="",28459.28728=""),"-",(43151.5009-28459.28728)/747953.45327*100)</f>
        <v>1.9643219181309572</v>
      </c>
    </row>
    <row r="50" spans="1:7" s="9" customFormat="1" ht="15">
      <c r="A50" s="55" t="s">
        <v>199</v>
      </c>
      <c r="B50" s="26">
        <f>IF(11514.30684="","-",11514.30684)</f>
        <v>11514.30684</v>
      </c>
      <c r="C50" s="26" t="str">
        <f>IF(OR(""="",11514.30684=""),"-",11514.30684/""*100)</f>
        <v>-</v>
      </c>
      <c r="D50" s="26" t="str">
        <f>IF(""="","-",""/747953.45327*100)</f>
        <v>-</v>
      </c>
      <c r="E50" s="26">
        <f>IF(11514.30684="","-",11514.30684/857186.04228*100)</f>
        <v>1.3432681205789918</v>
      </c>
      <c r="F50" s="26" t="str">
        <f>IF(OR(811971.85724="",0.16492="",""=""),"-",(""-0.16492)/811971.85724*100)</f>
        <v>-</v>
      </c>
      <c r="G50" s="26" t="str">
        <f>IF(OR(747953.45327="",11514.30684="",""=""),"-",(11514.30684-"")/747953.45327*100)</f>
        <v>-</v>
      </c>
    </row>
    <row r="51" spans="1:7" s="9" customFormat="1" ht="15">
      <c r="A51" s="55" t="s">
        <v>203</v>
      </c>
      <c r="B51" s="26">
        <f>IF(10844.81202="","-",10844.81202)</f>
        <v>10844.81202</v>
      </c>
      <c r="C51" s="26">
        <f>IF(OR(13262.37079="",10844.81202=""),"-",10844.81202/13262.37079*100)</f>
        <v>81.77129256691516</v>
      </c>
      <c r="D51" s="26">
        <f>IF(13262.37079="","-",13262.37079/747953.45327*100)</f>
        <v>1.7731545635651318</v>
      </c>
      <c r="E51" s="26">
        <f>IF(10844.81202="","-",10844.81202/857186.04228*100)</f>
        <v>1.2651643266558859</v>
      </c>
      <c r="F51" s="26">
        <f>IF(OR(811971.85724="",18390.1="",13262.37079=""),"-",(13262.37079-18390.1)/811971.85724*100)</f>
        <v>-0.6315156325035487</v>
      </c>
      <c r="G51" s="26">
        <f>IF(OR(747953.45327="",10844.81202="",13262.37079=""),"-",(10844.81202-13262.37079)/747953.45327*100)</f>
        <v>-0.32322315772868004</v>
      </c>
    </row>
    <row r="52" spans="1:7" s="9" customFormat="1" ht="15">
      <c r="A52" s="55" t="s">
        <v>136</v>
      </c>
      <c r="B52" s="26">
        <f>IF(8190.61844="","-",8190.61844)</f>
        <v>8190.61844</v>
      </c>
      <c r="C52" s="26">
        <f>IF(OR(21706.23868="",8190.61844=""),"-",8190.61844/21706.23868*100)</f>
        <v>37.73393705260777</v>
      </c>
      <c r="D52" s="26">
        <f>IF(21706.23868="","-",21706.23868/747953.45327*100)</f>
        <v>2.9020841584595733</v>
      </c>
      <c r="E52" s="26">
        <f>IF(8190.61844="","-",8190.61844/857186.04228*100)</f>
        <v>0.9555240094920412</v>
      </c>
      <c r="F52" s="26">
        <f>IF(OR(811971.85724="",4834.35134="",21706.23868=""),"-",(21706.23868-4834.35134)/811971.85724*100)</f>
        <v>2.077890654652709</v>
      </c>
      <c r="G52" s="26">
        <f>IF(OR(747953.45327="",8190.61844="",21706.23868=""),"-",(8190.61844-21706.23868)/747953.45327*100)</f>
        <v>-1.8070135488927357</v>
      </c>
    </row>
    <row r="53" spans="1:7" s="9" customFormat="1" ht="15">
      <c r="A53" s="55" t="s">
        <v>25</v>
      </c>
      <c r="B53" s="26">
        <f>IF(6781.09898="","-",6781.09898)</f>
        <v>6781.09898</v>
      </c>
      <c r="C53" s="26">
        <f>IF(OR(7469.88237="",6781.09898=""),"-",6781.09898/7469.88237*100)</f>
        <v>90.77919362202755</v>
      </c>
      <c r="D53" s="26">
        <f>IF(7469.88237="","-",7469.88237/747953.45327*100)</f>
        <v>0.9987095236130268</v>
      </c>
      <c r="E53" s="26">
        <f>IF(6781.09898="","-",6781.09898/857186.04228*100)</f>
        <v>0.7910883571976026</v>
      </c>
      <c r="F53" s="26">
        <f>IF(OR(811971.85724="",10985.56814="",7469.88237=""),"-",(7469.88237-10985.56814)/811971.85724*100)</f>
        <v>-0.43298123434354996</v>
      </c>
      <c r="G53" s="26">
        <f>IF(OR(747953.45327="",6781.09898="",7469.88237=""),"-",(6781.09898-7469.88237)/747953.45327*100)</f>
        <v>-0.09208907145072835</v>
      </c>
    </row>
    <row r="54" spans="1:7" s="9" customFormat="1" ht="15">
      <c r="A54" s="55" t="s">
        <v>137</v>
      </c>
      <c r="B54" s="26">
        <f>IF(6685.68895="","-",6685.68895)</f>
        <v>6685.68895</v>
      </c>
      <c r="C54" s="26">
        <f>IF(OR(4883.11163="",6685.68895=""),"-",6685.68895/4883.11163*100)</f>
        <v>136.91452206264634</v>
      </c>
      <c r="D54" s="26">
        <f>IF(4883.11163="","-",4883.11163/747953.45327*100)</f>
        <v>0.6528630369512138</v>
      </c>
      <c r="E54" s="26">
        <f>IF(6685.68895="","-",6685.68895/857186.04228*100)</f>
        <v>0.7799577478206438</v>
      </c>
      <c r="F54" s="26">
        <f>IF(OR(811971.85724="",7595.72534="",4883.11163=""),"-",(4883.11163-7595.72534)/811971.85724*100)</f>
        <v>-0.33407730647470135</v>
      </c>
      <c r="G54" s="26">
        <f>IF(OR(747953.45327="",6685.68895="",4883.11163=""),"-",(6685.68895-4883.11163)/747953.45327*100)</f>
        <v>0.24100126981421877</v>
      </c>
    </row>
    <row r="55" spans="1:7" s="9" customFormat="1" ht="15">
      <c r="A55" s="55" t="s">
        <v>139</v>
      </c>
      <c r="B55" s="26">
        <f>IF(4887.67584="","-",4887.67584)</f>
        <v>4887.67584</v>
      </c>
      <c r="C55" s="26">
        <f>IF(OR(6573.71341="",4887.67584=""),"-",4887.67584/6573.71341*100)</f>
        <v>74.35182423019563</v>
      </c>
      <c r="D55" s="26">
        <f>IF(6573.71341="","-",6573.71341/747953.45327*100)</f>
        <v>0.878893383172467</v>
      </c>
      <c r="E55" s="26">
        <f>IF(4887.67584="","-",4887.67584/857186.04228*100)</f>
        <v>0.5702001198012321</v>
      </c>
      <c r="F55" s="26">
        <f>IF(OR(811971.85724="",4252.27826="",6573.71341=""),"-",(6573.71341-4252.27826)/811971.85724*100)</f>
        <v>0.2859009372431781</v>
      </c>
      <c r="G55" s="26">
        <f>IF(OR(747953.45327="",4887.67584="",6573.71341=""),"-",(4887.67584-6573.71341)/747953.45327*100)</f>
        <v>-0.22542011974525453</v>
      </c>
    </row>
    <row r="56" spans="1:7" s="9" customFormat="1" ht="15">
      <c r="A56" s="55" t="s">
        <v>138</v>
      </c>
      <c r="B56" s="26">
        <f>IF(4710.37529="","-",4710.37529)</f>
        <v>4710.37529</v>
      </c>
      <c r="C56" s="26">
        <f>IF(OR(5073.67981="",4710.37529=""),"-",4710.37529/5073.67981*100)</f>
        <v>92.83942752390597</v>
      </c>
      <c r="D56" s="26">
        <f>IF(5073.67981="","-",5073.67981/747953.45327*100)</f>
        <v>0.6783416518525621</v>
      </c>
      <c r="E56" s="26">
        <f>IF(4710.37529="","-",4710.37529/857186.04228*100)</f>
        <v>0.5495160977506158</v>
      </c>
      <c r="F56" s="26">
        <f>IF(OR(811971.85724="",2614.74176="",5073.67981=""),"-",(5073.67981-2614.74176)/811971.85724*100)</f>
        <v>0.3028353788465349</v>
      </c>
      <c r="G56" s="26">
        <f>IF(OR(747953.45327="",4710.37529="",5073.67981=""),"-",(4710.37529-5073.67981)/747953.45327*100)</f>
        <v>-0.04857314561643613</v>
      </c>
    </row>
    <row r="57" spans="1:7" s="9" customFormat="1" ht="15">
      <c r="A57" s="55" t="s">
        <v>142</v>
      </c>
      <c r="B57" s="26">
        <f>IF(3580.22734="","-",3580.22734)</f>
        <v>3580.22734</v>
      </c>
      <c r="C57" s="26">
        <f>IF(OR(3259.28604="",3580.22734=""),"-",3580.22734/3259.28604*100)</f>
        <v>109.84698170277807</v>
      </c>
      <c r="D57" s="26">
        <f>IF(3259.28604="","-",3259.28604/747953.45327*100)</f>
        <v>0.4357605444230025</v>
      </c>
      <c r="E57" s="26">
        <f>IF(3580.22734="","-",3580.22734/857186.04228*100)</f>
        <v>0.4176721462329315</v>
      </c>
      <c r="F57" s="26">
        <f>IF(OR(811971.85724="",1466.69165="",3259.28604=""),"-",(3259.28604-1466.69165)/811971.85724*100)</f>
        <v>0.2207705075017336</v>
      </c>
      <c r="G57" s="26">
        <f>IF(OR(747953.45327="",3580.22734="",3259.28604=""),"-",(3580.22734-3259.28604)/747953.45327*100)</f>
        <v>0.04290926107725916</v>
      </c>
    </row>
    <row r="58" spans="1:7" s="9" customFormat="1" ht="15">
      <c r="A58" s="55" t="s">
        <v>147</v>
      </c>
      <c r="B58" s="26">
        <f>IF(2629.28099="","-",2629.28099)</f>
        <v>2629.28099</v>
      </c>
      <c r="C58" s="26" t="s">
        <v>181</v>
      </c>
      <c r="D58" s="26">
        <f>IF(929.07527="","-",929.07527/747953.45327*100)</f>
        <v>0.12421565351936649</v>
      </c>
      <c r="E58" s="26">
        <f>IF(2629.28099="","-",2629.28099/857186.04228*100)</f>
        <v>0.30673399475876495</v>
      </c>
      <c r="F58" s="26">
        <f>IF(OR(811971.85724="",964.12426="",929.07527=""),"-",(929.07527-964.12426)/811971.85724*100)</f>
        <v>-0.0043165276835007765</v>
      </c>
      <c r="G58" s="26">
        <f>IF(OR(747953.45327="",2629.28099="",929.07527=""),"-",(2629.28099-929.07527)/747953.45327*100)</f>
        <v>0.2273143753219963</v>
      </c>
    </row>
    <row r="59" spans="1:7" s="9" customFormat="1" ht="15">
      <c r="A59" s="55" t="s">
        <v>149</v>
      </c>
      <c r="B59" s="26">
        <f>IF(2158.94454="","-",2158.94454)</f>
        <v>2158.94454</v>
      </c>
      <c r="C59" s="26" t="s">
        <v>190</v>
      </c>
      <c r="D59" s="26">
        <f>IF(973.56712="","-",973.56712/747953.45327*100)</f>
        <v>0.13016413197153284</v>
      </c>
      <c r="E59" s="26">
        <f>IF(2158.94454="","-",2158.94454/857186.04228*100)</f>
        <v>0.2518641734129847</v>
      </c>
      <c r="F59" s="26">
        <f>IF(OR(811971.85724="",1365.66147="",973.56712=""),"-",(973.56712-1365.66147)/811971.85724*100)</f>
        <v>-0.048289155160226936</v>
      </c>
      <c r="G59" s="26">
        <f>IF(OR(747953.45327="",2158.94454="",973.56712=""),"-",(2158.94454-973.56712)/747953.45327*100)</f>
        <v>0.15848277921809345</v>
      </c>
    </row>
    <row r="60" spans="1:7" s="9" customFormat="1" ht="15">
      <c r="A60" s="55" t="s">
        <v>140</v>
      </c>
      <c r="B60" s="26">
        <f>IF(2145.9951="","-",2145.9951)</f>
        <v>2145.9951</v>
      </c>
      <c r="C60" s="26">
        <f>IF(OR(2208.39847="",2145.9951=""),"-",2145.9951/2208.39847*100)</f>
        <v>97.17427036616267</v>
      </c>
      <c r="D60" s="26">
        <f>IF(2208.39847="","-",2208.39847/747953.45327*100)</f>
        <v>0.2952588106044617</v>
      </c>
      <c r="E60" s="26">
        <f>IF(2145.9951="","-",2145.9951/857186.04228*100)</f>
        <v>0.2503534815256605</v>
      </c>
      <c r="F60" s="26">
        <f>IF(OR(811971.85724="",791.64792="",2208.39847=""),"-",(2208.39847-791.64792)/811971.85724*100)</f>
        <v>0.1744827160408888</v>
      </c>
      <c r="G60" s="26">
        <f>IF(OR(747953.45327="",2145.9951="",2208.39847=""),"-",(2145.9951-2208.39847)/747953.45327*100)</f>
        <v>-0.008343215707765883</v>
      </c>
    </row>
    <row r="61" spans="1:7" s="9" customFormat="1" ht="15">
      <c r="A61" s="55" t="s">
        <v>145</v>
      </c>
      <c r="B61" s="26">
        <f>IF(1813.16707="","-",1813.16707)</f>
        <v>1813.16707</v>
      </c>
      <c r="C61" s="26">
        <f>IF(OR(1230.89586="",1813.16707=""),"-",1813.16707/1230.89586*100)</f>
        <v>147.30466881251837</v>
      </c>
      <c r="D61" s="26">
        <f>IF(1230.89586="","-",1230.89586/747953.45327*100)</f>
        <v>0.16456851086369206</v>
      </c>
      <c r="E61" s="26">
        <f>IF(1813.16707="","-",1813.16707/857186.04228*100)</f>
        <v>0.211525500949271</v>
      </c>
      <c r="F61" s="26">
        <f>IF(OR(811971.85724="",545.32574="",1230.89586=""),"-",(1230.89586-545.32574)/811971.85724*100)</f>
        <v>0.0844327440522808</v>
      </c>
      <c r="G61" s="26">
        <f>IF(OR(747953.45327="",1813.16707="",1230.89586=""),"-",(1813.16707-1230.89586)/747953.45327*100)</f>
        <v>0.07784858903376286</v>
      </c>
    </row>
    <row r="62" spans="1:7" s="9" customFormat="1" ht="15">
      <c r="A62" s="55" t="s">
        <v>156</v>
      </c>
      <c r="B62" s="26">
        <f>IF(1747.30038="","-",1747.30038)</f>
        <v>1747.30038</v>
      </c>
      <c r="C62" s="26" t="s">
        <v>226</v>
      </c>
      <c r="D62" s="26">
        <f>IF(607.66396="","-",607.66396/747953.45327*100)</f>
        <v>0.0812435529702197</v>
      </c>
      <c r="E62" s="26">
        <f>IF(1747.30038="","-",1747.30038/857186.04228*100)</f>
        <v>0.2038414409259879</v>
      </c>
      <c r="F62" s="26">
        <f>IF(OR(811971.85724="",354.07126="",607.66396=""),"-",(607.66396-354.07126)/811971.85724*100)</f>
        <v>0.03123171052528781</v>
      </c>
      <c r="G62" s="26">
        <f>IF(OR(747953.45327="",1747.30038="",607.66396=""),"-",(1747.30038-607.66396)/747953.45327*100)</f>
        <v>0.15236729171014443</v>
      </c>
    </row>
    <row r="63" spans="1:7" s="9" customFormat="1" ht="15">
      <c r="A63" s="55" t="s">
        <v>115</v>
      </c>
      <c r="B63" s="26">
        <f>IF(1614.45821="","-",1614.45821)</f>
        <v>1614.45821</v>
      </c>
      <c r="C63" s="26" t="s">
        <v>239</v>
      </c>
      <c r="D63" s="26">
        <f>IF(413.38412="","-",413.38412/747953.45327*100)</f>
        <v>0.05526869595864737</v>
      </c>
      <c r="E63" s="26">
        <f>IF(1614.45821="","-",1614.45821/857186.04228*100)</f>
        <v>0.18834396856320215</v>
      </c>
      <c r="F63" s="26">
        <f>IF(OR(811971.85724="",268.4787="",413.38412=""),"-",(413.38412-268.4787)/811971.85724*100)</f>
        <v>0.017846113594694367</v>
      </c>
      <c r="G63" s="26">
        <f>IF(OR(747953.45327="",1614.45821="",413.38412=""),"-",(1614.45821-413.38412)/747953.45327*100)</f>
        <v>0.1605813951054024</v>
      </c>
    </row>
    <row r="64" spans="1:7" s="9" customFormat="1" ht="15">
      <c r="A64" s="55" t="s">
        <v>141</v>
      </c>
      <c r="B64" s="26">
        <f>IF(1295.78675="","-",1295.78675)</f>
        <v>1295.78675</v>
      </c>
      <c r="C64" s="26">
        <f>IF(OR(2250.44463="",1295.78675=""),"-",1295.78675/2250.44463*100)</f>
        <v>57.57914381568232</v>
      </c>
      <c r="D64" s="26">
        <f>IF(2250.44463="","-",2250.44463/747953.45327*100)</f>
        <v>0.30088030480522737</v>
      </c>
      <c r="E64" s="26">
        <f>IF(1295.78675="","-",1295.78675/857186.04228*100)</f>
        <v>0.15116750461234538</v>
      </c>
      <c r="F64" s="26">
        <f>IF(OR(811971.85724="",656.47034="",2250.44463=""),"-",(2250.44463-656.47034)/811971.85724*100)</f>
        <v>0.19630905625450246</v>
      </c>
      <c r="G64" s="26">
        <f>IF(OR(747953.45327="",1295.78675="",2250.44463=""),"-",(1295.78675-2250.44463)/747953.45327*100)</f>
        <v>-0.12763600138836215</v>
      </c>
    </row>
    <row r="65" spans="1:7" s="9" customFormat="1" ht="15">
      <c r="A65" s="55" t="s">
        <v>148</v>
      </c>
      <c r="B65" s="26">
        <f>IF(1159.02821="","-",1159.02821)</f>
        <v>1159.02821</v>
      </c>
      <c r="C65" s="26">
        <f>IF(OR(1877.03021="",1159.02821=""),"-",1159.02821/1877.03021*100)</f>
        <v>61.74797847286645</v>
      </c>
      <c r="D65" s="26">
        <f>IF(1877.03021="","-",1877.03021/747953.45327*100)</f>
        <v>0.25095548416733093</v>
      </c>
      <c r="E65" s="26">
        <f>IF(1159.02821="","-",1159.02821/857186.04228*100)</f>
        <v>0.1352131454353993</v>
      </c>
      <c r="F65" s="26">
        <f>IF(OR(811971.85724="",476.98519="",1877.03021=""),"-",(1877.03021-476.98519)/811971.85724*100)</f>
        <v>0.17242531345346607</v>
      </c>
      <c r="G65" s="26">
        <f>IF(OR(747953.45327="",1159.02821="",1877.03021=""),"-",(1159.02821-1877.03021)/747953.45327*100)</f>
        <v>-0.09599554582720965</v>
      </c>
    </row>
    <row r="66" spans="1:7" s="9" customFormat="1" ht="15">
      <c r="A66" s="55" t="s">
        <v>146</v>
      </c>
      <c r="B66" s="26">
        <f>IF(1086.09662="","-",1086.09662)</f>
        <v>1086.09662</v>
      </c>
      <c r="C66" s="26">
        <f>IF(OR(2258.31355="",1086.09662=""),"-",1086.09662/2258.31355*100)</f>
        <v>48.09326056605382</v>
      </c>
      <c r="D66" s="26">
        <f>IF(2258.31355="","-",2258.31355/747953.45327*100)</f>
        <v>0.3019323649254925</v>
      </c>
      <c r="E66" s="26">
        <f>IF(1086.09662="","-",1086.09662/857186.04228*100)</f>
        <v>0.12670488860401047</v>
      </c>
      <c r="F66" s="26">
        <f>IF(OR(811971.85724="",3454.94559="",2258.31355=""),"-",(2258.31355-3454.94559)/811971.85724*100)</f>
        <v>-0.1473735855904552</v>
      </c>
      <c r="G66" s="26">
        <f>IF(OR(747953.45327="",1086.09662="",2258.31355=""),"-",(1086.09662-2258.31355)/747953.45327*100)</f>
        <v>-0.1567232459286269</v>
      </c>
    </row>
    <row r="67" spans="1:7" s="9" customFormat="1" ht="15">
      <c r="A67" s="55" t="s">
        <v>231</v>
      </c>
      <c r="B67" s="26">
        <f>IF(939.07711="","-",939.07711)</f>
        <v>939.07711</v>
      </c>
      <c r="C67" s="26" t="s">
        <v>240</v>
      </c>
      <c r="D67" s="26">
        <f>IF(178.17723="","-",178.17723/747953.45327*100)</f>
        <v>0.023821967693446917</v>
      </c>
      <c r="E67" s="26">
        <f>IF(939.07711="","-",939.07711/857186.04228*100)</f>
        <v>0.10955347657110476</v>
      </c>
      <c r="F67" s="26" t="str">
        <f>IF(OR(811971.85724="",""="",178.17723=""),"-",(178.17723-"")/811971.85724*100)</f>
        <v>-</v>
      </c>
      <c r="G67" s="26">
        <f>IF(OR(747953.45327="",939.07711="",178.17723=""),"-",(939.07711-178.17723)/747953.45327*100)</f>
        <v>0.1017309134242778</v>
      </c>
    </row>
    <row r="68" spans="1:7" s="9" customFormat="1" ht="15">
      <c r="A68" s="55" t="s">
        <v>218</v>
      </c>
      <c r="B68" s="26">
        <f>IF(736.69009="","-",736.69009)</f>
        <v>736.69009</v>
      </c>
      <c r="C68" s="26" t="s">
        <v>241</v>
      </c>
      <c r="D68" s="26">
        <f>IF(27.55442="","-",27.55442/747953.45327*100)</f>
        <v>0.0036839752366319063</v>
      </c>
      <c r="E68" s="26">
        <f>IF(736.69009="","-",736.69009/857186.04228*100)</f>
        <v>0.08594284713741991</v>
      </c>
      <c r="F68" s="26">
        <f>IF(OR(811971.85724="",228.93655="",27.55442=""),"-",(27.55442-228.93655)/811971.85724*100)</f>
        <v>-0.024801614514636573</v>
      </c>
      <c r="G68" s="26">
        <f>IF(OR(747953.45327="",736.69009="",27.55442=""),"-",(736.69009-27.55442)/747953.45327*100)</f>
        <v>0.09481013382580274</v>
      </c>
    </row>
    <row r="69" spans="1:7" s="9" customFormat="1" ht="15">
      <c r="A69" s="55" t="s">
        <v>204</v>
      </c>
      <c r="B69" s="26">
        <f>IF(483.0084="","-",483.0084)</f>
        <v>483.0084</v>
      </c>
      <c r="C69" s="26">
        <f>IF(OR(389.78164="",483.0084=""),"-",483.0084/389.78164*100)</f>
        <v>123.91768888857875</v>
      </c>
      <c r="D69" s="26">
        <f>IF(389.78164="","-",389.78164/747953.45327*100)</f>
        <v>0.05211308782597393</v>
      </c>
      <c r="E69" s="26">
        <f>IF(483.0084="","-",483.0084/857186.04228*100)</f>
        <v>0.05634814103076881</v>
      </c>
      <c r="F69" s="26">
        <f>IF(OR(811971.85724="",331.24753="",389.78164=""),"-",(389.78164-331.24753)/811971.85724*100)</f>
        <v>0.007208884086077219</v>
      </c>
      <c r="G69" s="26">
        <f>IF(OR(747953.45327="",483.0084="",389.78164=""),"-",(483.0084-389.78164)/747953.45327*100)</f>
        <v>0.01246424621644825</v>
      </c>
    </row>
    <row r="70" spans="1:7" s="9" customFormat="1" ht="15">
      <c r="A70" s="55" t="s">
        <v>144</v>
      </c>
      <c r="B70" s="26">
        <f>IF(459.50868="","-",459.50868)</f>
        <v>459.50868</v>
      </c>
      <c r="C70" s="26">
        <f>IF(OR(1686.00911="",459.50868=""),"-",459.50868/1686.00911*100)</f>
        <v>27.254222843434107</v>
      </c>
      <c r="D70" s="26">
        <f>IF(1686.00911="","-",1686.00911/747953.45327*100)</f>
        <v>0.22541631469563866</v>
      </c>
      <c r="E70" s="26">
        <f>IF(459.50868="","-",459.50868/857186.04228*100)</f>
        <v>0.05360664515462343</v>
      </c>
      <c r="F70" s="26" t="str">
        <f>IF(OR(811971.85724="",""="",1686.00911=""),"-",(1686.00911-"")/811971.85724*100)</f>
        <v>-</v>
      </c>
      <c r="G70" s="26">
        <f>IF(OR(747953.45327="",459.50868="",1686.00911=""),"-",(459.50868-1686.00911)/747953.45327*100)</f>
        <v>-0.16398084996303264</v>
      </c>
    </row>
    <row r="71" spans="1:7" s="9" customFormat="1" ht="15">
      <c r="A71" s="55" t="s">
        <v>200</v>
      </c>
      <c r="B71" s="26">
        <f>IF(415.34253="","-",415.34253)</f>
        <v>415.34253</v>
      </c>
      <c r="C71" s="26" t="s">
        <v>186</v>
      </c>
      <c r="D71" s="26">
        <f>IF(166.55493="","-",166.55493/747953.45327*100)</f>
        <v>0.02226808757574867</v>
      </c>
      <c r="E71" s="26">
        <f>IF(415.34253="","-",415.34253/857186.04228*100)</f>
        <v>0.048454187249158245</v>
      </c>
      <c r="F71" s="26" t="str">
        <f>IF(OR(811971.85724="",""="",166.55493=""),"-",(166.55493-"")/811971.85724*100)</f>
        <v>-</v>
      </c>
      <c r="G71" s="26">
        <f>IF(OR(747953.45327="",415.34253="",166.55493=""),"-",(415.34253-166.55493)/747953.45327*100)</f>
        <v>0.03326244419519932</v>
      </c>
    </row>
    <row r="72" spans="1:7" s="9" customFormat="1" ht="15">
      <c r="A72" s="55" t="s">
        <v>157</v>
      </c>
      <c r="B72" s="26">
        <f>IF(401.52824="","-",401.52824)</f>
        <v>401.52824</v>
      </c>
      <c r="C72" s="26" t="s">
        <v>26</v>
      </c>
      <c r="D72" s="26">
        <f>IF(172.25054="","-",172.25054/747953.45327*100)</f>
        <v>0.02302958014926366</v>
      </c>
      <c r="E72" s="26">
        <f>IF(401.52824="","-",401.52824/857186.04228*100)</f>
        <v>0.0468426012784796</v>
      </c>
      <c r="F72" s="26">
        <f>IF(OR(811971.85724="",366.80796="",172.25054=""),"-",(172.25054-366.80796)/811971.85724*100)</f>
        <v>-0.023961103856644298</v>
      </c>
      <c r="G72" s="26">
        <f>IF(OR(747953.45327="",401.52824="",172.25054=""),"-",(401.52824-172.25054)/747953.45327*100)</f>
        <v>0.03065400647561876</v>
      </c>
    </row>
    <row r="73" spans="1:7" s="9" customFormat="1" ht="15">
      <c r="A73" s="55" t="s">
        <v>168</v>
      </c>
      <c r="B73" s="26">
        <f>IF(307.58063="","-",307.58063)</f>
        <v>307.58063</v>
      </c>
      <c r="C73" s="26" t="str">
        <f>IF(OR(""="",307.58063=""),"-",307.58063/""*100)</f>
        <v>-</v>
      </c>
      <c r="D73" s="26" t="str">
        <f>IF(""="","-",""/747953.45327*100)</f>
        <v>-</v>
      </c>
      <c r="E73" s="26">
        <f>IF(307.58063="","-",307.58063/857186.04228*100)</f>
        <v>0.035882598972549376</v>
      </c>
      <c r="F73" s="26" t="str">
        <f>IF(OR(811971.85724="",14.5143="",""=""),"-",(""-14.5143)/811971.85724*100)</f>
        <v>-</v>
      </c>
      <c r="G73" s="26" t="str">
        <f>IF(OR(747953.45327="",307.58063="",""=""),"-",(307.58063-"")/747953.45327*100)</f>
        <v>-</v>
      </c>
    </row>
    <row r="74" spans="1:7" s="9" customFormat="1" ht="15">
      <c r="A74" s="55" t="s">
        <v>153</v>
      </c>
      <c r="B74" s="26">
        <f>IF(291.285="","-",291.285)</f>
        <v>291.285</v>
      </c>
      <c r="C74" s="26">
        <f>IF(OR(356.87102="",291.285=""),"-",291.285/356.87102*100)</f>
        <v>81.62192603927325</v>
      </c>
      <c r="D74" s="26">
        <f>IF(356.87102="","-",356.87102/747953.45327*100)</f>
        <v>0.047712998508100325</v>
      </c>
      <c r="E74" s="26">
        <f>IF(291.285="","-",291.285/857186.04228*100)</f>
        <v>0.033981537919728716</v>
      </c>
      <c r="F74" s="26">
        <f>IF(OR(811971.85724="",216.56="",356.87102=""),"-",(356.87102-216.56)/811971.85724*100)</f>
        <v>0.01728028117586929</v>
      </c>
      <c r="G74" s="26">
        <f>IF(OR(747953.45327="",291.285="",356.87102=""),"-",(291.285-356.87102)/747953.45327*100)</f>
        <v>-0.00876873015469913</v>
      </c>
    </row>
    <row r="75" spans="1:7" s="9" customFormat="1" ht="15">
      <c r="A75" s="55" t="s">
        <v>219</v>
      </c>
      <c r="B75" s="26">
        <f>IF(266.17125="","-",266.17125)</f>
        <v>266.17125</v>
      </c>
      <c r="C75" s="26" t="s">
        <v>221</v>
      </c>
      <c r="D75" s="26">
        <f>IF(22.87527="","-",22.87527/747953.45327*100)</f>
        <v>0.0030583814941947153</v>
      </c>
      <c r="E75" s="26">
        <f>IF(266.17125="","-",266.17125/857186.04228*100)</f>
        <v>0.031051748030336578</v>
      </c>
      <c r="F75" s="26">
        <f>IF(OR(811971.85724="",481.91312="",22.87527=""),"-",(22.87527-481.91312)/811971.85724*100)</f>
        <v>-0.056533714303883695</v>
      </c>
      <c r="G75" s="26">
        <f>IF(OR(747953.45327="",266.17125="",22.87527=""),"-",(266.17125-22.87527)/747953.45327*100)</f>
        <v>0.03252822470921513</v>
      </c>
    </row>
    <row r="76" spans="1:7" ht="15">
      <c r="A76" s="55" t="s">
        <v>158</v>
      </c>
      <c r="B76" s="26">
        <f>IF(248.42403="","-",248.42403)</f>
        <v>248.42403</v>
      </c>
      <c r="C76" s="26">
        <f>IF(OR(401.69221="",248.42403=""),"-",248.42403/401.69221*100)</f>
        <v>61.844373332507494</v>
      </c>
      <c r="D76" s="26">
        <f>IF(401.69221="","-",401.69221/747953.45327*100)</f>
        <v>0.05370550911207506</v>
      </c>
      <c r="E76" s="26">
        <f>IF(248.42403="","-",248.42403/857186.04228*100)</f>
        <v>0.028981343342832012</v>
      </c>
      <c r="F76" s="26">
        <f>IF(OR(811971.85724="",306.8925="",401.69221=""),"-",(401.69221-306.8925)/811971.85724*100)</f>
        <v>0.01167524578034475</v>
      </c>
      <c r="G76" s="26">
        <f>IF(OR(747953.45327="",248.42403="",401.69221=""),"-",(248.42403-401.69221)/747953.45327*100)</f>
        <v>-0.020491673556679534</v>
      </c>
    </row>
    <row r="77" spans="1:7" ht="15">
      <c r="A77" s="55" t="s">
        <v>151</v>
      </c>
      <c r="B77" s="26">
        <f>IF(224.26461="","-",224.26461)</f>
        <v>224.26461</v>
      </c>
      <c r="C77" s="26">
        <f>IF(OR(506.49287="",224.26461=""),"-",224.26461/506.49287*100)</f>
        <v>44.277940181073035</v>
      </c>
      <c r="D77" s="26">
        <f>IF(506.49287="","-",506.49287/747953.45327*100)</f>
        <v>0.06771716445530784</v>
      </c>
      <c r="E77" s="26">
        <f>IF(224.26461="","-",224.26461/857186.04228*100)</f>
        <v>0.026162886344192702</v>
      </c>
      <c r="F77" s="26">
        <f>IF(OR(811971.85724="",575.06141="",506.49287=""),"-",(506.49287-575.06141)/811971.85724*100)</f>
        <v>-0.008444694158868215</v>
      </c>
      <c r="G77" s="26">
        <f>IF(OR(747953.45327="",224.26461="",506.49287=""),"-",(224.26461-506.49287)/747953.45327*100)</f>
        <v>-0.037733398885467784</v>
      </c>
    </row>
    <row r="78" spans="1:7" ht="15">
      <c r="A78" s="55" t="s">
        <v>165</v>
      </c>
      <c r="B78" s="26">
        <f>IF(196.74905="","-",196.74905)</f>
        <v>196.74905</v>
      </c>
      <c r="C78" s="26" t="s">
        <v>26</v>
      </c>
      <c r="D78" s="26">
        <f>IF(86.25611="","-",86.25611/747953.45327*100)</f>
        <v>0.011532283141804392</v>
      </c>
      <c r="E78" s="26">
        <f>IF(196.74905="","-",196.74905/857186.04228*100)</f>
        <v>0.022952899405206586</v>
      </c>
      <c r="F78" s="26" t="str">
        <f>IF(OR(811971.85724="",""="",86.25611=""),"-",(86.25611-"")/811971.85724*100)</f>
        <v>-</v>
      </c>
      <c r="G78" s="26">
        <f>IF(OR(747953.45327="",196.74905="",86.25611=""),"-",(196.74905-86.25611)/747953.45327*100)</f>
        <v>0.01477270270187705</v>
      </c>
    </row>
    <row r="79" spans="1:7" ht="15">
      <c r="A79" s="55" t="s">
        <v>183</v>
      </c>
      <c r="B79" s="26">
        <f>IF(186.33116="","-",186.33116)</f>
        <v>186.33116</v>
      </c>
      <c r="C79" s="26" t="str">
        <f>IF(OR(""="",186.33116=""),"-",186.33116/""*100)</f>
        <v>-</v>
      </c>
      <c r="D79" s="26" t="str">
        <f>IF(""="","-",""/747953.45327*100)</f>
        <v>-</v>
      </c>
      <c r="E79" s="26">
        <f>IF(186.33116="","-",186.33116/857186.04228*100)</f>
        <v>0.021737540138239312</v>
      </c>
      <c r="F79" s="26" t="str">
        <f>IF(OR(811971.85724="",161.962="",""=""),"-",(""-161.962)/811971.85724*100)</f>
        <v>-</v>
      </c>
      <c r="G79" s="26" t="str">
        <f>IF(OR(747953.45327="",186.33116="",""=""),"-",(186.33116-"")/747953.45327*100)</f>
        <v>-</v>
      </c>
    </row>
    <row r="80" spans="1:7" ht="15">
      <c r="A80" s="55" t="s">
        <v>150</v>
      </c>
      <c r="B80" s="26">
        <f>IF(178.53634="","-",178.53634)</f>
        <v>178.53634</v>
      </c>
      <c r="C80" s="26" t="s">
        <v>242</v>
      </c>
      <c r="D80" s="26">
        <f>IF(44.32277="","-",44.32277/747953.45327*100)</f>
        <v>0.005925872767379301</v>
      </c>
      <c r="E80" s="26">
        <f>IF(178.53634="","-",178.53634/857186.04228*100)</f>
        <v>0.02082819028703702</v>
      </c>
      <c r="F80" s="26">
        <f>IF(OR(811971.85724="",43.89661="",44.32277=""),"-",(44.32277-43.89661)/811971.85724*100)</f>
        <v>5.248457766117292E-05</v>
      </c>
      <c r="G80" s="26">
        <f>IF(OR(747953.45327="",178.53634="",44.32277=""),"-",(178.53634-44.32277)/747953.45327*100)</f>
        <v>0.01794410727208059</v>
      </c>
    </row>
    <row r="81" spans="1:7" ht="15">
      <c r="A81" s="55" t="s">
        <v>160</v>
      </c>
      <c r="B81" s="26">
        <f>IF(164.58614="","-",164.58614)</f>
        <v>164.58614</v>
      </c>
      <c r="C81" s="26">
        <f>IF(OR(153.70082="",164.58614=""),"-",164.58614/153.70082*100)</f>
        <v>107.08214829302798</v>
      </c>
      <c r="D81" s="26">
        <f>IF(153.70082="","-",153.70082/747953.45327*100)</f>
        <v>0.020549516728351314</v>
      </c>
      <c r="E81" s="26">
        <f>IF(164.58614="","-",164.58614/857186.04228*100)</f>
        <v>0.019200748948527312</v>
      </c>
      <c r="F81" s="26">
        <f>IF(OR(811971.85724="",176.07805="",153.70082=""),"-",(153.70082-176.07805)/811971.85724*100)</f>
        <v>-0.0027559120184365957</v>
      </c>
      <c r="G81" s="26">
        <f>IF(OR(747953.45327="",164.58614="",153.70082=""),"-",(164.58614-153.70082)/747953.45327*100)</f>
        <v>0.0014553472482024318</v>
      </c>
    </row>
    <row r="82" spans="1:7" ht="15">
      <c r="A82" s="55" t="s">
        <v>113</v>
      </c>
      <c r="B82" s="26">
        <f>IF(125.14039="","-",125.14039)</f>
        <v>125.14039</v>
      </c>
      <c r="C82" s="26">
        <f>IF(OR(256.88377="",125.14039=""),"-",125.14039/256.88377*100)</f>
        <v>48.71479035051532</v>
      </c>
      <c r="D82" s="26">
        <f>IF(256.88377="","-",256.88377/747953.45327*100)</f>
        <v>0.03434488722218237</v>
      </c>
      <c r="E82" s="26">
        <f>IF(125.14039="","-",125.14039/857186.04228*100)</f>
        <v>0.014598976631390698</v>
      </c>
      <c r="F82" s="26">
        <f>IF(OR(811971.85724="",72.05287="",256.88377=""),"-",(256.88377-72.05287)/811971.85724*100)</f>
        <v>0.022763215048889104</v>
      </c>
      <c r="G82" s="26">
        <f>IF(OR(747953.45327="",125.14039="",256.88377=""),"-",(125.14039-256.88377)/747953.45327*100)</f>
        <v>-0.0176138474157753</v>
      </c>
    </row>
    <row r="83" spans="1:7" ht="15">
      <c r="A83" s="55" t="s">
        <v>202</v>
      </c>
      <c r="B83" s="26">
        <f>IF(124.25417="","-",124.25417)</f>
        <v>124.25417</v>
      </c>
      <c r="C83" s="26">
        <f>IF(OR(250.2832="",124.25417=""),"-",124.25417/250.2832*100)</f>
        <v>49.64542965728423</v>
      </c>
      <c r="D83" s="26">
        <f>IF(250.2832="","-",250.2832/747953.45327*100)</f>
        <v>0.03346240316235982</v>
      </c>
      <c r="E83" s="26">
        <f>IF(124.25417="","-",124.25417/857186.04228*100)</f>
        <v>0.014495589506975702</v>
      </c>
      <c r="F83" s="26">
        <f>IF(OR(811971.85724="",138.666="",250.2832=""),"-",(250.2832-138.666)/811971.85724*100)</f>
        <v>0.013746437023002454</v>
      </c>
      <c r="G83" s="26">
        <f>IF(OR(747953.45327="",124.25417="",250.2832=""),"-",(124.25417-250.2832)/747953.45327*100)</f>
        <v>-0.016849849338753622</v>
      </c>
    </row>
    <row r="84" spans="1:7" ht="15">
      <c r="A84" s="55" t="s">
        <v>184</v>
      </c>
      <c r="B84" s="26">
        <f>IF(119.40201="","-",119.40201)</f>
        <v>119.40201</v>
      </c>
      <c r="C84" s="26" t="s">
        <v>180</v>
      </c>
      <c r="D84" s="26">
        <f>IF(55.7389="","-",55.7389/747953.45327*100)</f>
        <v>0.00745218833555931</v>
      </c>
      <c r="E84" s="26">
        <f>IF(119.40201="","-",119.40201/857186.04228*100)</f>
        <v>0.013929532693090366</v>
      </c>
      <c r="F84" s="26">
        <f>IF(OR(811971.85724="",158.4482="",55.7389=""),"-",(55.7389-158.4482)/811971.85724*100)</f>
        <v>-0.01264936698041759</v>
      </c>
      <c r="G84" s="26">
        <f>IF(OR(747953.45327="",119.40201="",55.7389=""),"-",(119.40201-55.7389)/747953.45327*100)</f>
        <v>0.008511640627056316</v>
      </c>
    </row>
    <row r="85" spans="1:7" ht="15">
      <c r="A85" s="55" t="s">
        <v>201</v>
      </c>
      <c r="B85" s="26">
        <f>IF(116.25016="","-",116.25016)</f>
        <v>116.25016</v>
      </c>
      <c r="C85" s="26" t="str">
        <f>IF(OR(""="",116.25016=""),"-",116.25016/""*100)</f>
        <v>-</v>
      </c>
      <c r="D85" s="26" t="str">
        <f>IF(""="","-",""/747953.45327*100)</f>
        <v>-</v>
      </c>
      <c r="E85" s="26">
        <f>IF(116.25016="","-",116.25016/857186.04228*100)</f>
        <v>0.013561835385325469</v>
      </c>
      <c r="F85" s="26" t="str">
        <f>IF(OR(811971.85724="",27.7076="",""=""),"-",(""-27.7076)/811971.85724*100)</f>
        <v>-</v>
      </c>
      <c r="G85" s="26" t="str">
        <f>IF(OR(747953.45327="",116.25016="",""=""),"-",(116.25016-"")/747953.45327*100)</f>
        <v>-</v>
      </c>
    </row>
    <row r="86" spans="1:7" ht="15">
      <c r="A86" s="55" t="s">
        <v>178</v>
      </c>
      <c r="B86" s="26">
        <f>IF(97.40323="","-",97.40323)</f>
        <v>97.40323</v>
      </c>
      <c r="C86" s="26">
        <f>IF(OR(87.9042="",97.40323=""),"-",97.40323/87.9042*100)</f>
        <v>110.80611620377638</v>
      </c>
      <c r="D86" s="26">
        <f>IF(87.9042="","-",87.9042/747953.45327*100)</f>
        <v>0.011752629741287912</v>
      </c>
      <c r="E86" s="26">
        <f>IF(97.40323="","-",97.40323/857186.04228*100)</f>
        <v>0.01136313766156533</v>
      </c>
      <c r="F86" s="26">
        <f>IF(OR(811971.85724="",19.64431="",87.9042=""),"-",(87.9042-19.64431)/811971.85724*100)</f>
        <v>0.008406681757668844</v>
      </c>
      <c r="G86" s="26">
        <f>IF(OR(747953.45327="",97.40323="",87.9042=""),"-",(97.40323-87.9042)/747953.45327*100)</f>
        <v>0.0012700028268431542</v>
      </c>
    </row>
    <row r="87" spans="1:7" ht="15">
      <c r="A87" s="55" t="s">
        <v>163</v>
      </c>
      <c r="B87" s="26">
        <f>IF(93.46454="","-",93.46454)</f>
        <v>93.46454</v>
      </c>
      <c r="C87" s="26" t="s">
        <v>185</v>
      </c>
      <c r="D87" s="26">
        <f>IF(13.3532="","-",13.3532/747953.45327*100)</f>
        <v>0.0017852982617595713</v>
      </c>
      <c r="E87" s="26">
        <f>IF(93.46454="","-",93.46454/857186.04228*100)</f>
        <v>0.01090364697859485</v>
      </c>
      <c r="F87" s="26" t="str">
        <f>IF(OR(811971.85724="",""="",13.3532=""),"-",(13.3532-"")/811971.85724*100)</f>
        <v>-</v>
      </c>
      <c r="G87" s="26">
        <f>IF(OR(747953.45327="",93.46454="",13.3532=""),"-",(93.46454-13.3532)/747953.45327*100)</f>
        <v>0.010710738703024745</v>
      </c>
    </row>
    <row r="88" spans="1:7" ht="15">
      <c r="A88" s="55" t="s">
        <v>169</v>
      </c>
      <c r="B88" s="26">
        <f>IF(68.25015="","-",68.25015)</f>
        <v>68.25015</v>
      </c>
      <c r="C88" s="26">
        <f>IF(OR(136.27003="",68.25015=""),"-",68.25015/136.27003*100)</f>
        <v>50.084490331439724</v>
      </c>
      <c r="D88" s="26">
        <f>IF(136.27003="","-",136.27003/747953.45327*100)</f>
        <v>0.018219052188907875</v>
      </c>
      <c r="E88" s="26">
        <f>IF(68.25015="","-",68.25015/857186.04228*100)</f>
        <v>0.00796211634739919</v>
      </c>
      <c r="F88" s="26">
        <f>IF(OR(811971.85724="",100.4686="",136.27003=""),"-",(136.27003-100.4686)/811971.85724*100)</f>
        <v>0.004409195919880007</v>
      </c>
      <c r="G88" s="26">
        <f>IF(OR(747953.45327="",68.25015="",136.27003=""),"-",(68.25015-136.27003)/747953.45327*100)</f>
        <v>-0.009094132756874354</v>
      </c>
    </row>
    <row r="89" spans="1:7" ht="15">
      <c r="A89" s="55" t="s">
        <v>116</v>
      </c>
      <c r="B89" s="26">
        <f>IF(53.90563="","-",53.90563)</f>
        <v>53.90563</v>
      </c>
      <c r="C89" s="26">
        <f>IF(OR(187.80524="",53.90563=""),"-",53.90563/187.80524*100)</f>
        <v>28.70294247380957</v>
      </c>
      <c r="D89" s="26">
        <f>IF(187.80524="","-",187.80524/747953.45327*100)</f>
        <v>0.025109214908886193</v>
      </c>
      <c r="E89" s="26">
        <f>IF(53.90563="","-",53.90563/857186.04228*100)</f>
        <v>0.006288673326576602</v>
      </c>
      <c r="F89" s="26">
        <f>IF(OR(811971.85724="",82.83968="",187.80524=""),"-",(187.80524-82.83968)/811971.85724*100)</f>
        <v>0.012927241143158808</v>
      </c>
      <c r="G89" s="26">
        <f>IF(OR(747953.45327="",53.90563="",187.80524=""),"-",(53.90563-187.80524)/747953.45327*100)</f>
        <v>-0.017902131397963372</v>
      </c>
    </row>
    <row r="90" spans="1:7" ht="15">
      <c r="A90" s="55" t="s">
        <v>143</v>
      </c>
      <c r="B90" s="26">
        <f>IF(51.02187="","-",51.02187)</f>
        <v>51.02187</v>
      </c>
      <c r="C90" s="26">
        <f>IF(OR(2034.99243="",51.02187=""),"-",51.02187/2034.99243*100)</f>
        <v>2.507226525653464</v>
      </c>
      <c r="D90" s="26">
        <f>IF(2034.99243="","-",2034.99243/747953.45327*100)</f>
        <v>0.27207474223204076</v>
      </c>
      <c r="E90" s="26">
        <f>IF(51.02187="","-",51.02187/857186.04228*100)</f>
        <v>0.005952251609730912</v>
      </c>
      <c r="F90" s="26">
        <f>IF(OR(811971.85724="",261.02927="",2034.99243=""),"-",(2034.99243-261.02927)/811971.85724*100)</f>
        <v>0.21847594152215274</v>
      </c>
      <c r="G90" s="26">
        <f>IF(OR(747953.45327="",51.02187="",2034.99243=""),"-",(51.02187-2034.99243)/747953.45327*100)</f>
        <v>-0.2652532121251957</v>
      </c>
    </row>
    <row r="91" spans="1:7" ht="15">
      <c r="A91" s="57" t="s">
        <v>220</v>
      </c>
      <c r="B91" s="26">
        <f>IF(45.4372="","-",45.4372)</f>
        <v>45.4372</v>
      </c>
      <c r="C91" s="26" t="s">
        <v>205</v>
      </c>
      <c r="D91" s="26">
        <f>IF(14.606="","-",14.606/747953.45327*100)</f>
        <v>0.0019527953158239447</v>
      </c>
      <c r="E91" s="26">
        <f>IF(45.4372="","-",45.4372/857186.04228*100)</f>
        <v>0.005300739601305585</v>
      </c>
      <c r="F91" s="26" t="str">
        <f>IF(OR(811971.85724="",""="",14.606=""),"-",(14.606-"")/811971.85724*100)</f>
        <v>-</v>
      </c>
      <c r="G91" s="26">
        <f>IF(OR(747953.45327="",45.4372="",14.606=""),"-",(45.4372-14.606)/747953.45327*100)</f>
        <v>0.004122074691307079</v>
      </c>
    </row>
    <row r="92" spans="1:7" ht="15">
      <c r="A92" s="34" t="s">
        <v>28</v>
      </c>
      <c r="B92" s="34"/>
      <c r="C92" s="34"/>
      <c r="D92" s="34"/>
      <c r="E92" s="34"/>
      <c r="F92" s="34"/>
      <c r="G92" s="34"/>
    </row>
  </sheetData>
  <sheetProtection/>
  <mergeCells count="10">
    <mergeCell ref="A92:G92"/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109"/>
  <sheetViews>
    <sheetView zoomScalePageLayoutView="0" workbookViewId="0" topLeftCell="A1">
      <selection activeCell="A1" sqref="A1:G1"/>
    </sheetView>
  </sheetViews>
  <sheetFormatPr defaultColWidth="9.00390625" defaultRowHeight="15.75"/>
  <cols>
    <col min="1" max="1" width="32.375" style="0" customWidth="1"/>
    <col min="2" max="2" width="11.75390625" style="0" customWidth="1"/>
    <col min="3" max="3" width="9.625" style="0" customWidth="1"/>
    <col min="4" max="5" width="8.25390625" style="0" customWidth="1"/>
    <col min="6" max="6" width="9.625" style="0" customWidth="1"/>
    <col min="7" max="7" width="10.00390625" style="0" customWidth="1"/>
  </cols>
  <sheetData>
    <row r="1" spans="1:7" ht="15.75">
      <c r="A1" s="35" t="s">
        <v>261</v>
      </c>
      <c r="B1" s="35"/>
      <c r="C1" s="35"/>
      <c r="D1" s="35"/>
      <c r="E1" s="35"/>
      <c r="F1" s="35"/>
      <c r="G1" s="35"/>
    </row>
    <row r="2" ht="15">
      <c r="A2" s="2"/>
    </row>
    <row r="3" spans="1:7" ht="56.25" customHeight="1">
      <c r="A3" s="36"/>
      <c r="B3" s="46" t="s">
        <v>232</v>
      </c>
      <c r="C3" s="40"/>
      <c r="D3" s="39" t="s">
        <v>0</v>
      </c>
      <c r="E3" s="40"/>
      <c r="F3" s="41" t="s">
        <v>217</v>
      </c>
      <c r="G3" s="42"/>
    </row>
    <row r="4" spans="1:7" ht="27" customHeight="1">
      <c r="A4" s="37"/>
      <c r="B4" s="43" t="s">
        <v>214</v>
      </c>
      <c r="C4" s="43" t="s">
        <v>233</v>
      </c>
      <c r="D4" s="45" t="s">
        <v>234</v>
      </c>
      <c r="E4" s="45"/>
      <c r="F4" s="45" t="s">
        <v>234</v>
      </c>
      <c r="G4" s="39"/>
    </row>
    <row r="5" spans="1:7" ht="22.5" customHeight="1">
      <c r="A5" s="38"/>
      <c r="B5" s="44"/>
      <c r="C5" s="44"/>
      <c r="D5" s="11">
        <v>2016</v>
      </c>
      <c r="E5" s="11">
        <v>2017</v>
      </c>
      <c r="F5" s="11" t="s">
        <v>2</v>
      </c>
      <c r="G5" s="12" t="s">
        <v>182</v>
      </c>
    </row>
    <row r="6" spans="1:7" s="3" customFormat="1" ht="13.5">
      <c r="A6" s="52" t="s">
        <v>29</v>
      </c>
      <c r="B6" s="24">
        <f>IF(1792653.68414="","-",1792653.68414)</f>
        <v>1792653.68414</v>
      </c>
      <c r="C6" s="24">
        <f>IF(1543712.83473="","-",1792653.68414/1543712.83473*100)</f>
        <v>116.12611126949272</v>
      </c>
      <c r="D6" s="24">
        <v>100</v>
      </c>
      <c r="E6" s="24">
        <v>100</v>
      </c>
      <c r="F6" s="24">
        <f>IF(1633636.53089="","-",(1543712.83473-1633636.53089)/1633636.53089*100)</f>
        <v>-5.50451060928528</v>
      </c>
      <c r="G6" s="24">
        <f>IF(1543712.83473="","-",(1792653.68414-1543712.83473)/1543712.83473*100)</f>
        <v>16.126111269492718</v>
      </c>
    </row>
    <row r="7" spans="1:7" ht="12.75" customHeight="1">
      <c r="A7" s="53" t="s">
        <v>3</v>
      </c>
      <c r="B7" s="20"/>
      <c r="C7" s="21"/>
      <c r="D7" s="19"/>
      <c r="E7" s="19"/>
      <c r="F7" s="16"/>
      <c r="G7" s="16"/>
    </row>
    <row r="8" spans="1:7" ht="15">
      <c r="A8" s="54" t="s">
        <v>4</v>
      </c>
      <c r="B8" s="25">
        <f>IF(877655.99247="","-",877655.99247)</f>
        <v>877655.99247</v>
      </c>
      <c r="C8" s="25">
        <f>IF(748200.45431="","-",877655.99247/748200.45431*100)</f>
        <v>117.30225334858766</v>
      </c>
      <c r="D8" s="25">
        <f>IF(748200.45431="","-",748200.45431/1543712.83473*100)</f>
        <v>48.46759303137247</v>
      </c>
      <c r="E8" s="25">
        <f>IF(877655.99247="","-",877655.99247/1792653.68414*100)</f>
        <v>48.958479835498345</v>
      </c>
      <c r="F8" s="25">
        <f>IF(1633636.53089="","-",(748200.45431-778472.81661)/1633636.53089*100)</f>
        <v>-1.8530659499581432</v>
      </c>
      <c r="G8" s="25">
        <f>IF(1543712.83473="","-",(877655.99247-748200.45431)/1543712.83473*100)</f>
        <v>8.385985738250486</v>
      </c>
    </row>
    <row r="9" spans="1:7" s="9" customFormat="1" ht="15">
      <c r="A9" s="55" t="s">
        <v>5</v>
      </c>
      <c r="B9" s="26">
        <f>IF(246409.60696="","-",246409.60696)</f>
        <v>246409.60696</v>
      </c>
      <c r="C9" s="26">
        <f>IF(OR(192949.74756="",246409.60696=""),"-",246409.60696/192949.74756*100)</f>
        <v>127.70662313687455</v>
      </c>
      <c r="D9" s="26">
        <f>IF(192949.74756="","-",192949.74756/1543712.83473*100)</f>
        <v>12.49906998368304</v>
      </c>
      <c r="E9" s="26">
        <f>IF(246409.60696="","-",246409.60696/1792653.68414*100)</f>
        <v>13.745522023581008</v>
      </c>
      <c r="F9" s="26">
        <f>IF(OR(1633636.53089="",225063.05858="",192949.74756=""),"-",(192949.74756-225063.05858)/1633636.53089*100)</f>
        <v>-1.9657561772632983</v>
      </c>
      <c r="G9" s="26">
        <f>IF(OR(1543712.83473="",246409.60696="",192949.74756=""),"-",(246409.60696-192949.74756)/1543712.83473*100)</f>
        <v>3.4630702159932683</v>
      </c>
    </row>
    <row r="10" spans="1:7" s="9" customFormat="1" ht="15">
      <c r="A10" s="55" t="s">
        <v>7</v>
      </c>
      <c r="B10" s="26">
        <f>IF(142466.89524="","-",142466.89524)</f>
        <v>142466.89524</v>
      </c>
      <c r="C10" s="26">
        <f>IF(OR(122176.25955="",142466.89524=""),"-",142466.89524/122176.25955*100)</f>
        <v>116.60767465359845</v>
      </c>
      <c r="D10" s="26">
        <f>IF(122176.25955="","-",122176.25955/1543712.83473*100)</f>
        <v>7.914442168343376</v>
      </c>
      <c r="E10" s="26">
        <f>IF(142466.89524="","-",142466.89524/1792653.68414*100)</f>
        <v>7.947262569476517</v>
      </c>
      <c r="F10" s="26">
        <f>IF(OR(1633636.53089="",132841.74264="",122176.25955=""),"-",(122176.25955-132841.74264)/1633636.53089*100)</f>
        <v>-0.6528675680501272</v>
      </c>
      <c r="G10" s="26">
        <f>IF(OR(1543712.83473="",142466.89524="",122176.25955=""),"-",(142466.89524-122176.25955)/1543712.83473*100)</f>
        <v>1.3144048059656708</v>
      </c>
    </row>
    <row r="11" spans="1:7" s="9" customFormat="1" ht="15">
      <c r="A11" s="55" t="s">
        <v>6</v>
      </c>
      <c r="B11" s="26">
        <f>IF(125994.33039="","-",125994.33039)</f>
        <v>125994.33039</v>
      </c>
      <c r="C11" s="26">
        <f>IF(OR(111100.66223="",125994.33039=""),"-",125994.33039/111100.66223*100)</f>
        <v>113.40556200211229</v>
      </c>
      <c r="D11" s="26">
        <f>IF(111100.66223="","-",111100.66223/1543712.83473*100)</f>
        <v>7.196977295938065</v>
      </c>
      <c r="E11" s="26">
        <f>IF(125994.33039="","-",125994.33039/1792653.68414*100)</f>
        <v>7.028369813126732</v>
      </c>
      <c r="F11" s="26">
        <f>IF(OR(1633636.53089="",107981.4239="",111100.66223=""),"-",(111100.66223-107981.4239)/1633636.53089*100)</f>
        <v>0.1909383312027588</v>
      </c>
      <c r="G11" s="26">
        <f>IF(OR(1543712.83473="",125994.33039="",111100.66223=""),"-",(125994.33039-111100.66223)/1543712.83473*100)</f>
        <v>0.9647952536849217</v>
      </c>
    </row>
    <row r="12" spans="1:7" s="9" customFormat="1" ht="15">
      <c r="A12" s="55" t="s">
        <v>8</v>
      </c>
      <c r="B12" s="26">
        <f>IF(56554.46031="","-",56554.46031)</f>
        <v>56554.46031</v>
      </c>
      <c r="C12" s="26">
        <f>IF(OR(45540.4897="",56554.46031=""),"-",56554.46031/45540.4897*100)</f>
        <v>124.18500697413451</v>
      </c>
      <c r="D12" s="26">
        <f>IF(45540.4897="","-",45540.4897/1543712.83473*100)</f>
        <v>2.950062257399393</v>
      </c>
      <c r="E12" s="26">
        <f>IF(56554.46031="","-",56554.46031/1792653.68414*100)</f>
        <v>3.154790064045817</v>
      </c>
      <c r="F12" s="26">
        <f>IF(OR(1633636.53089="",43376.72756="",45540.4897=""),"-",(45540.4897-43376.72756)/1633636.53089*100)</f>
        <v>0.1324506460945256</v>
      </c>
      <c r="G12" s="26">
        <f>IF(OR(1543712.83473="",56554.46031="",45540.4897=""),"-",(56554.46031-45540.4897)/1543712.83473*100)</f>
        <v>0.7134727626933529</v>
      </c>
    </row>
    <row r="13" spans="1:7" s="9" customFormat="1" ht="15">
      <c r="A13" s="55" t="s">
        <v>197</v>
      </c>
      <c r="B13" s="26">
        <f>IF(51455.8958="","-",51455.8958)</f>
        <v>51455.8958</v>
      </c>
      <c r="C13" s="26">
        <f>IF(OR(44273.35575="",51455.8958=""),"-",51455.8958/44273.35575*100)</f>
        <v>116.22316611950066</v>
      </c>
      <c r="D13" s="26">
        <f>IF(44273.35575="","-",44273.35575/1543712.83473*100)</f>
        <v>2.867978729848647</v>
      </c>
      <c r="E13" s="26">
        <f>IF(51455.8958="","-",51455.8958/1792653.68414*100)</f>
        <v>2.8703757036421247</v>
      </c>
      <c r="F13" s="26">
        <f>IF(OR(1633636.53089="",38217.64302="",44273.35575=""),"-",(44273.35575-38217.64302)/1633636.53089*100)</f>
        <v>0.3706891107963205</v>
      </c>
      <c r="G13" s="26">
        <f>IF(OR(1543712.83473="",51455.8958="",44273.35575=""),"-",(51455.8958-44273.35575)/1543712.83473*100)</f>
        <v>0.46527695361529103</v>
      </c>
    </row>
    <row r="14" spans="1:7" s="9" customFormat="1" ht="15">
      <c r="A14" s="55" t="s">
        <v>121</v>
      </c>
      <c r="B14" s="26">
        <f>IF(37240.0418599999="","-",37240.0418599999)</f>
        <v>37240.0418599999</v>
      </c>
      <c r="C14" s="26">
        <f>IF(OR(30430.34015="",37240.0418599999=""),"-",37240.0418599999/30430.34015*100)</f>
        <v>122.37800062842841</v>
      </c>
      <c r="D14" s="26">
        <f>IF(30430.34015="","-",30430.34015/1543712.83473*100)</f>
        <v>1.9712435801132897</v>
      </c>
      <c r="E14" s="26">
        <f>IF(37240.0418599999="","-",37240.0418599999/1792653.68414*100)</f>
        <v>2.0773695549492195</v>
      </c>
      <c r="F14" s="26">
        <f>IF(OR(1633636.53089="",27893.86556="",30430.34015=""),"-",(30430.34015-27893.86556)/1633636.53089*100)</f>
        <v>0.1552655405311081</v>
      </c>
      <c r="G14" s="26">
        <f>IF(OR(1543712.83473="",37240.0418599999="",30430.34015=""),"-",(37240.0418599999-30430.34015)/1543712.83473*100)</f>
        <v>0.4411249007456066</v>
      </c>
    </row>
    <row r="15" spans="1:7" s="9" customFormat="1" ht="15">
      <c r="A15" s="55" t="s">
        <v>11</v>
      </c>
      <c r="B15" s="26">
        <f>IF(28047.31991="","-",28047.31991)</f>
        <v>28047.31991</v>
      </c>
      <c r="C15" s="26">
        <f>IF(OR(30407.20505="",28047.31991=""),"-",28047.31991/30407.20505*100)</f>
        <v>92.23905934097023</v>
      </c>
      <c r="D15" s="26">
        <f>IF(30407.20505="","-",30407.20505/1543712.83473*100)</f>
        <v>1.9697449140738867</v>
      </c>
      <c r="E15" s="26">
        <f>IF(28047.31991="","-",28047.31991/1792653.68414*100)</f>
        <v>1.5645698975848368</v>
      </c>
      <c r="F15" s="26">
        <f>IF(OR(1633636.53089="",35956.17115="",30407.20505=""),"-",(30407.20505-35956.17115)/1633636.53089*100)</f>
        <v>-0.3396695651129289</v>
      </c>
      <c r="G15" s="26">
        <f>IF(OR(1543712.83473="",28047.31991="",30407.20505=""),"-",(28047.31991-30407.20505)/1543712.83473*100)</f>
        <v>-0.1528707339155312</v>
      </c>
    </row>
    <row r="16" spans="1:7" s="9" customFormat="1" ht="15">
      <c r="A16" s="55" t="s">
        <v>119</v>
      </c>
      <c r="B16" s="26">
        <f>IF(25162.85497="","-",25162.85497)</f>
        <v>25162.85497</v>
      </c>
      <c r="C16" s="26">
        <f>IF(OR(21883.86234="",25162.85497=""),"-",25162.85497/21883.86234*100)</f>
        <v>114.98361020123289</v>
      </c>
      <c r="D16" s="26">
        <f>IF(21883.86234="","-",21883.86234/1543712.83473*100)</f>
        <v>1.417612255833032</v>
      </c>
      <c r="E16" s="26">
        <f>IF(25162.85497="","-",25162.85497/1792653.68414*100)</f>
        <v>1.4036651469618082</v>
      </c>
      <c r="F16" s="26">
        <f>IF(OR(1633636.53089="",17714.13244="",21883.86234=""),"-",(21883.86234-17714.13244)/1633636.53089*100)</f>
        <v>0.25524220480845533</v>
      </c>
      <c r="G16" s="26">
        <f>IF(OR(1543712.83473="",25162.85497="",21883.86234=""),"-",(25162.85497-21883.86234)/1543712.83473*100)</f>
        <v>0.21240949457892577</v>
      </c>
    </row>
    <row r="17" spans="1:7" s="9" customFormat="1" ht="15">
      <c r="A17" s="55" t="s">
        <v>9</v>
      </c>
      <c r="B17" s="26">
        <f>IF(24853.73744="","-",24853.73744)</f>
        <v>24853.73744</v>
      </c>
      <c r="C17" s="26">
        <f>IF(OR(22178.19644="",24853.73744=""),"-",24853.73744/22178.19644*100)</f>
        <v>112.06383488954255</v>
      </c>
      <c r="D17" s="26">
        <f>IF(22178.19644="","-",22178.19644/1543712.83473*100)</f>
        <v>1.436678891374187</v>
      </c>
      <c r="E17" s="26">
        <f>IF(24853.73744="","-",24853.73744/1792653.68414*100)</f>
        <v>1.386421574891261</v>
      </c>
      <c r="F17" s="26">
        <f>IF(OR(1633636.53089="",26787.09593="",22178.19644=""),"-",(22178.19644-26787.09593)/1633636.53089*100)</f>
        <v>-0.2821251485781287</v>
      </c>
      <c r="G17" s="26">
        <f>IF(OR(1543712.83473="",24853.73744="",22178.19644=""),"-",(24853.73744-22178.19644)/1543712.83473*100)</f>
        <v>0.17331856934829212</v>
      </c>
    </row>
    <row r="18" spans="1:7" s="9" customFormat="1" ht="26.25">
      <c r="A18" s="55" t="s">
        <v>206</v>
      </c>
      <c r="B18" s="26">
        <f>IF(24443.37034="","-",24443.37034)</f>
        <v>24443.37034</v>
      </c>
      <c r="C18" s="26">
        <f>IF(OR(25509.10194="",24443.37034=""),"-",24443.37034/25509.10194*100)</f>
        <v>95.8221516284395</v>
      </c>
      <c r="D18" s="26">
        <f>IF(25509.10194="","-",25509.10194/1543712.83473*100)</f>
        <v>1.6524512439168533</v>
      </c>
      <c r="E18" s="26">
        <f>IF(24443.37034="","-",24443.37034/1792653.68414*100)</f>
        <v>1.36352997549141</v>
      </c>
      <c r="F18" s="26">
        <f>IF(OR(1633636.53089="",22102.95467="",25509.10194=""),"-",(25509.10194-22102.95467)/1633636.53089*100)</f>
        <v>0.20850092450762858</v>
      </c>
      <c r="G18" s="26">
        <f>IF(OR(1543712.83473="",24443.37034="",25509.10194=""),"-",(24443.37034-25509.10194)/1543712.83473*100)</f>
        <v>-0.06903690738481155</v>
      </c>
    </row>
    <row r="19" spans="1:7" s="9" customFormat="1" ht="15">
      <c r="A19" s="55" t="s">
        <v>10</v>
      </c>
      <c r="B19" s="26">
        <f>IF(24127.48666="","-",24127.48666)</f>
        <v>24127.48666</v>
      </c>
      <c r="C19" s="26">
        <f>IF(OR(20538.95414="",24127.48666=""),"-",24127.48666/20538.95414*100)</f>
        <v>117.47183666480497</v>
      </c>
      <c r="D19" s="26">
        <f>IF(20538.95414="","-",20538.95414/1543712.83473*100)</f>
        <v>1.3304905988938238</v>
      </c>
      <c r="E19" s="26">
        <f>IF(24127.48666="","-",24127.48666/1792653.68414*100)</f>
        <v>1.3459089657674073</v>
      </c>
      <c r="F19" s="26">
        <f>IF(OR(1633636.53089="",17571.9936="",20538.95414=""),"-",(20538.95414-17571.9936)/1633636.53089*100)</f>
        <v>0.18161693154496303</v>
      </c>
      <c r="G19" s="26">
        <f>IF(OR(1543712.83473="",24127.48666="",20538.95414=""),"-",(24127.48666-20538.95414)/1543712.83473*100)</f>
        <v>0.23246114427931422</v>
      </c>
    </row>
    <row r="20" spans="1:7" s="9" customFormat="1" ht="15">
      <c r="A20" s="55" t="s">
        <v>13</v>
      </c>
      <c r="B20" s="26">
        <f>IF(18288.43873="","-",18288.43873)</f>
        <v>18288.43873</v>
      </c>
      <c r="C20" s="26">
        <f>IF(OR(16156.19962="",18288.43873=""),"-",18288.43873/16156.19962*100)</f>
        <v>113.19765266678479</v>
      </c>
      <c r="D20" s="26">
        <f>IF(16156.19962="","-",16156.19962/1543712.83473*100)</f>
        <v>1.0465806370538966</v>
      </c>
      <c r="E20" s="26">
        <f>IF(18288.43873="","-",18288.43873/1792653.68414*100)</f>
        <v>1.020188053710643</v>
      </c>
      <c r="F20" s="26">
        <f>IF(OR(1633636.53089="",18864.55051="",16156.19962=""),"-",(16156.19962-18864.55051)/1633636.53089*100)</f>
        <v>-0.16578662626529908</v>
      </c>
      <c r="G20" s="26">
        <f>IF(OR(1543712.83473="",18288.43873="",16156.19962=""),"-",(18288.43873-16156.19962)/1543712.83473*100)</f>
        <v>0.1381240773561967</v>
      </c>
    </row>
    <row r="21" spans="1:7" s="9" customFormat="1" ht="15">
      <c r="A21" s="55" t="s">
        <v>120</v>
      </c>
      <c r="B21" s="26">
        <f>IF(14341.34102="","-",14341.34102)</f>
        <v>14341.34102</v>
      </c>
      <c r="C21" s="26">
        <f>IF(OR(12283.94429="",14341.34102=""),"-",14341.34102/12283.94429*100)</f>
        <v>116.74866542397841</v>
      </c>
      <c r="D21" s="26">
        <f>IF(12283.94429="","-",12283.94429/1543712.83473*100)</f>
        <v>0.7957402447942009</v>
      </c>
      <c r="E21" s="26">
        <f>IF(14341.34102="","-",14341.34102/1792653.68414*100)</f>
        <v>0.8000062224444681</v>
      </c>
      <c r="F21" s="26">
        <f>IF(OR(1633636.53089="",13269.84842="",12283.94429=""),"-",(12283.94429-13269.84842)/1633636.53089*100)</f>
        <v>-0.06035027445565773</v>
      </c>
      <c r="G21" s="26">
        <f>IF(OR(1543712.83473="",14341.34102="",12283.94429=""),"-",(14341.34102-12283.94429)/1543712.83473*100)</f>
        <v>0.1332758712445275</v>
      </c>
    </row>
    <row r="22" spans="1:7" s="9" customFormat="1" ht="15">
      <c r="A22" s="55" t="s">
        <v>12</v>
      </c>
      <c r="B22" s="26">
        <f>IF(8832.08108="","-",8832.08108)</f>
        <v>8832.08108</v>
      </c>
      <c r="C22" s="26">
        <f>IF(OR(7407.86013="",8832.08108=""),"-",8832.08108/7407.86013*100)</f>
        <v>119.22580779073107</v>
      </c>
      <c r="D22" s="26">
        <f>IF(7407.86013="","-",7407.86013/1543712.83473*100)</f>
        <v>0.47987293772132544</v>
      </c>
      <c r="E22" s="26">
        <f>IF(8832.08108="","-",8832.08108/1792653.68414*100)</f>
        <v>0.4926819473353585</v>
      </c>
      <c r="F22" s="26">
        <f>IF(OR(1633636.53089="",8938.64348="",7407.86013=""),"-",(7407.86013-8938.64348)/1633636.53089*100)</f>
        <v>-0.09370403520335302</v>
      </c>
      <c r="G22" s="26">
        <f>IF(OR(1543712.83473="",8832.08108="",7407.86013=""),"-",(8832.08108-7407.86013)/1543712.83473*100)</f>
        <v>0.09225944864603658</v>
      </c>
    </row>
    <row r="23" spans="1:7" s="9" customFormat="1" ht="15">
      <c r="A23" s="55" t="s">
        <v>123</v>
      </c>
      <c r="B23" s="26">
        <f>IF(8520.80934="","-",8520.80934)</f>
        <v>8520.80934</v>
      </c>
      <c r="C23" s="26">
        <f>IF(OR(6052.72843="",8520.80934=""),"-",8520.80934/6052.72843*100)</f>
        <v>140.77633646616457</v>
      </c>
      <c r="D23" s="26">
        <f>IF(6052.72843="","-",6052.72843/1543712.83473*100)</f>
        <v>0.3920890138261136</v>
      </c>
      <c r="E23" s="26">
        <f>IF(8520.80934="","-",8520.80934/1792653.68414*100)</f>
        <v>0.4753182064882619</v>
      </c>
      <c r="F23" s="26">
        <f>IF(OR(1633636.53089="",5578.82925="",6052.72843=""),"-",(6052.72843-5578.82925)/1633636.53089*100)</f>
        <v>0.029008850563706577</v>
      </c>
      <c r="G23" s="26">
        <f>IF(OR(1543712.83473="",8520.80934="",6052.72843=""),"-",(8520.80934-6052.72843)/1543712.83473*100)</f>
        <v>0.15987953552460257</v>
      </c>
    </row>
    <row r="24" spans="1:7" s="9" customFormat="1" ht="15">
      <c r="A24" s="55" t="s">
        <v>129</v>
      </c>
      <c r="B24" s="26">
        <f>IF(7335.58496="","-",7335.58496)</f>
        <v>7335.58496</v>
      </c>
      <c r="C24" s="26">
        <f>IF(OR(7304.22371="",7335.58496=""),"-",7335.58496/7304.22371*100)</f>
        <v>100.42935774211111</v>
      </c>
      <c r="D24" s="26">
        <f>IF(7304.22371="","-",7304.22371/1543712.83473*100)</f>
        <v>0.4731594857328197</v>
      </c>
      <c r="E24" s="26">
        <f>IF(7335.58496="","-",7335.58496/1792653.68414*100)</f>
        <v>0.40920257074188554</v>
      </c>
      <c r="F24" s="26">
        <f>IF(OR(1633636.53089="",6012.86355="",7304.22371=""),"-",(7304.22371-6012.86355)/1633636.53089*100)</f>
        <v>0.07904819313121453</v>
      </c>
      <c r="G24" s="26">
        <f>IF(OR(1543712.83473="",7335.58496="",7304.22371=""),"-",(7335.58496-7304.22371)/1543712.83473*100)</f>
        <v>0.002031546884526947</v>
      </c>
    </row>
    <row r="25" spans="1:7" s="9" customFormat="1" ht="15">
      <c r="A25" s="55" t="s">
        <v>127</v>
      </c>
      <c r="B25" s="26">
        <f>IF(5913.82445="","-",5913.82445)</f>
        <v>5913.82445</v>
      </c>
      <c r="C25" s="26">
        <f>IF(OR(4722.77943="",5913.82445=""),"-",5913.82445/4722.77943*100)</f>
        <v>125.2191540522569</v>
      </c>
      <c r="D25" s="26">
        <f>IF(4722.77943="","-",4722.77943/1543712.83473*100)</f>
        <v>0.3059363972202789</v>
      </c>
      <c r="E25" s="26">
        <f>IF(5913.82445="","-",5913.82445/1792653.68414*100)</f>
        <v>0.3298921873377385</v>
      </c>
      <c r="F25" s="26">
        <f>IF(OR(1633636.53089="",5905.15249="",4722.77943=""),"-",(4722.77943-5905.15249)/1633636.53089*100)</f>
        <v>-0.072376751966721</v>
      </c>
      <c r="G25" s="26">
        <f>IF(OR(1543712.83473="",5913.82445="",4722.77943=""),"-",(5913.82445-4722.77943)/1543712.83473*100)</f>
        <v>0.07715457131690673</v>
      </c>
    </row>
    <row r="26" spans="1:7" s="9" customFormat="1" ht="15">
      <c r="A26" s="55" t="s">
        <v>131</v>
      </c>
      <c r="B26" s="26">
        <f>IF(5735.20303="","-",5735.20303)</f>
        <v>5735.20303</v>
      </c>
      <c r="C26" s="26">
        <f>IF(OR(4990.02192="",5735.20303=""),"-",5735.20303/4990.02192*100)</f>
        <v>114.93342357902907</v>
      </c>
      <c r="D26" s="26">
        <f>IF(4990.02192="","-",4990.02192/1543712.83473*100)</f>
        <v>0.32324806840598497</v>
      </c>
      <c r="E26" s="26">
        <f>IF(5735.20303="","-",5735.20303/1792653.68414*100)</f>
        <v>0.3199281088556366</v>
      </c>
      <c r="F26" s="26">
        <f>IF(OR(1633636.53089="",6203.69806="",4990.02192=""),"-",(4990.02192-6203.69806)/1633636.53089*100)</f>
        <v>-0.07429291136987445</v>
      </c>
      <c r="G26" s="26">
        <f>IF(OR(1543712.83473="",5735.20303="",4990.02192=""),"-",(5735.20303-4990.02192)/1543712.83473*100)</f>
        <v>0.048272003266095403</v>
      </c>
    </row>
    <row r="27" spans="1:7" s="9" customFormat="1" ht="15">
      <c r="A27" s="55" t="s">
        <v>122</v>
      </c>
      <c r="B27" s="26">
        <f>IF(4830.70607="","-",4830.70607)</f>
        <v>4830.70607</v>
      </c>
      <c r="C27" s="26">
        <f>IF(OR(5799.25294="",4830.70607=""),"-",4830.70607/5799.25294*100)</f>
        <v>83.29876485780598</v>
      </c>
      <c r="D27" s="26">
        <f>IF(5799.25294="","-",5799.25294/1543712.83473*100)</f>
        <v>0.3756691535841449</v>
      </c>
      <c r="E27" s="26">
        <f>IF(4830.70607="","-",4830.70607/1792653.68414*100)</f>
        <v>0.26947235334623276</v>
      </c>
      <c r="F27" s="26">
        <f>IF(OR(1633636.53089="",2871.41415="",5799.25294=""),"-",(5799.25294-2871.41415)/1633636.53089*100)</f>
        <v>0.1792221669042209</v>
      </c>
      <c r="G27" s="26">
        <f>IF(OR(1543712.83473="",4830.70607="",5799.25294=""),"-",(4830.70607-5799.25294)/1543712.83473*100)</f>
        <v>-0.06274138869677805</v>
      </c>
    </row>
    <row r="28" spans="1:7" s="9" customFormat="1" ht="15">
      <c r="A28" s="55" t="s">
        <v>130</v>
      </c>
      <c r="B28" s="26">
        <f>IF(4624.72993="","-",4624.72993)</f>
        <v>4624.72993</v>
      </c>
      <c r="C28" s="26">
        <f>IF(OR(5087.82514="",4624.72993=""),"-",4624.72993/5087.82514*100)</f>
        <v>90.89797315636521</v>
      </c>
      <c r="D28" s="26">
        <f>IF(5087.82514="","-",5087.82514/1543712.83473*100)</f>
        <v>0.3295836521881271</v>
      </c>
      <c r="E28" s="26">
        <f>IF(4624.72993="","-",4624.72993/1792653.68414*100)</f>
        <v>0.2579823404216888</v>
      </c>
      <c r="F28" s="26">
        <f>IF(OR(1633636.53089="",1985.63077="",5087.82514=""),"-",(5087.82514-1985.63077)/1633636.53089*100)</f>
        <v>0.1898950171192569</v>
      </c>
      <c r="G28" s="26">
        <f>IF(OR(1543712.83473="",4624.72993="",5087.82514=""),"-",(4624.72993-5087.82514)/1543712.83473*100)</f>
        <v>-0.029998792494395257</v>
      </c>
    </row>
    <row r="29" spans="1:7" s="9" customFormat="1" ht="15">
      <c r="A29" s="55" t="s">
        <v>128</v>
      </c>
      <c r="B29" s="26">
        <f>IF(3273.44115="","-",3273.44115)</f>
        <v>3273.44115</v>
      </c>
      <c r="C29" s="26">
        <f>IF(OR(2770.45458="",3273.44115=""),"-",3273.44115/2770.45458*100)</f>
        <v>118.15538047911257</v>
      </c>
      <c r="D29" s="26">
        <f>IF(2770.45458="","-",2770.45458/1543712.83473*100)</f>
        <v>0.1794669654660584</v>
      </c>
      <c r="E29" s="26">
        <f>IF(3273.44115="","-",3273.44115/1792653.68414*100)</f>
        <v>0.1826030972385158</v>
      </c>
      <c r="F29" s="26">
        <f>IF(OR(1633636.53089="",3886.21136="",2770.45458=""),"-",(2770.45458-3886.21136)/1633636.53089*100)</f>
        <v>-0.06829896117664185</v>
      </c>
      <c r="G29" s="26">
        <f>IF(OR(1543712.83473="",3273.44115="",2770.45458=""),"-",(3273.44115-2770.45458)/1543712.83473*100)</f>
        <v>0.032582910414680456</v>
      </c>
    </row>
    <row r="30" spans="1:7" s="9" customFormat="1" ht="15">
      <c r="A30" s="55" t="s">
        <v>124</v>
      </c>
      <c r="B30" s="26">
        <f>IF(2911.20533="","-",2911.20533)</f>
        <v>2911.20533</v>
      </c>
      <c r="C30" s="26">
        <f>IF(OR(3294.476="",2911.20533=""),"-",2911.20533/3294.476*100)</f>
        <v>88.36626310223537</v>
      </c>
      <c r="D30" s="26">
        <f>IF(3294.476="","-",3294.476/1543712.83473*100)</f>
        <v>0.2134124900617422</v>
      </c>
      <c r="E30" s="26">
        <f>IF(2911.20533="","-",2911.20533/1792653.68414*100)</f>
        <v>0.16239641575816186</v>
      </c>
      <c r="F30" s="26">
        <f>IF(OR(1633636.53089="",2725.55771="",3294.476=""),"-",(3294.476-2725.55771)/1633636.53089*100)</f>
        <v>0.03482526738613363</v>
      </c>
      <c r="G30" s="26">
        <f>IF(OR(1543712.83473="",2911.20533="",3294.476=""),"-",(2911.20533-3294.476)/1543712.83473*100)</f>
        <v>-0.024827847600751178</v>
      </c>
    </row>
    <row r="31" spans="1:7" s="9" customFormat="1" ht="15">
      <c r="A31" s="55" t="s">
        <v>132</v>
      </c>
      <c r="B31" s="26">
        <f>IF(2136.53678="","-",2136.53678)</f>
        <v>2136.53678</v>
      </c>
      <c r="C31" s="26">
        <f>IF(OR(1977.72439="",2136.53678=""),"-",2136.53678/1977.72439*100)</f>
        <v>108.03005670572732</v>
      </c>
      <c r="D31" s="26">
        <f>IF(1977.72439="","-",1977.72439/1543712.83473*100)</f>
        <v>0.12811478569755558</v>
      </c>
      <c r="E31" s="26">
        <f>IF(2136.53678="","-",2136.53678/1792653.68414*100)</f>
        <v>0.11918290737928965</v>
      </c>
      <c r="F31" s="26">
        <f>IF(OR(1633636.53089="",2136.98156="",1977.72439=""),"-",(1977.72439-2136.98156)/1633636.53089*100)</f>
        <v>-0.00974862933024871</v>
      </c>
      <c r="G31" s="26">
        <f>IF(OR(1543712.83473="",2136.53678="",1977.72439=""),"-",(2136.53678-1977.72439)/1543712.83473*100)</f>
        <v>0.010287689939934754</v>
      </c>
    </row>
    <row r="32" spans="1:7" s="9" customFormat="1" ht="15">
      <c r="A32" s="55" t="s">
        <v>125</v>
      </c>
      <c r="B32" s="26">
        <f>IF(2024.46194="","-",2024.46194)</f>
        <v>2024.46194</v>
      </c>
      <c r="C32" s="26">
        <f>IF(OR(1685.42422="",2024.46194=""),"-",2024.46194/1685.42422*100)</f>
        <v>120.11586851410026</v>
      </c>
      <c r="D32" s="26">
        <f>IF(1685.42422="","-",1685.42422/1543712.83473*100)</f>
        <v>0.10917990587898338</v>
      </c>
      <c r="E32" s="26">
        <f>IF(2024.46194="","-",2024.46194/1792653.68414*100)</f>
        <v>0.11293101160089415</v>
      </c>
      <c r="F32" s="26">
        <f>IF(OR(1633636.53089="",3131.99318="",1685.42422=""),"-",(1685.42422-3131.99318)/1633636.53089*100)</f>
        <v>-0.08854900907559368</v>
      </c>
      <c r="G32" s="26">
        <f>IF(OR(1543712.83473="",2024.46194="",1685.42422=""),"-",(2024.46194-1685.42422)/1543712.83473*100)</f>
        <v>0.02196248631043471</v>
      </c>
    </row>
    <row r="33" spans="1:7" s="9" customFormat="1" ht="15">
      <c r="A33" s="55" t="s">
        <v>133</v>
      </c>
      <c r="B33" s="26">
        <f>IF(949.57116="","-",949.57116)</f>
        <v>949.57116</v>
      </c>
      <c r="C33" s="26">
        <f>IF(OR(722.2599="",949.57116=""),"-",949.57116/722.2599*100)</f>
        <v>131.4722248874678</v>
      </c>
      <c r="D33" s="26">
        <f>IF(722.2599="","-",722.2599/1543712.83473*100)</f>
        <v>0.04678719278293268</v>
      </c>
      <c r="E33" s="26">
        <f>IF(949.57116="","-",949.57116/1792653.68414*100)</f>
        <v>0.05297013965391442</v>
      </c>
      <c r="F33" s="26">
        <f>IF(OR(1633636.53089="",589.57281="",722.2599=""),"-",(722.2599-589.57281)/1633636.53089*100)</f>
        <v>0.008122191655919478</v>
      </c>
      <c r="G33" s="26">
        <f>IF(OR(1543712.83473="",949.57116="",722.2599=""),"-",(949.57116-722.2599)/1543712.83473*100)</f>
        <v>0.014724970531177668</v>
      </c>
    </row>
    <row r="34" spans="1:7" s="9" customFormat="1" ht="15">
      <c r="A34" s="55" t="s">
        <v>229</v>
      </c>
      <c r="B34" s="26">
        <f>IF(668.02976="","-",668.02976)</f>
        <v>668.02976</v>
      </c>
      <c r="C34" s="26">
        <f>IF(OR(625.33632="",668.02976=""),"-",668.02976/625.33632*100)</f>
        <v>106.82727656055545</v>
      </c>
      <c r="D34" s="26">
        <f>IF(625.33632="","-",625.33632/1543712.83473*100)</f>
        <v>0.040508591101360715</v>
      </c>
      <c r="E34" s="26">
        <f>IF(668.02976="","-",668.02976/1792653.68414*100)</f>
        <v>0.03726485298918612</v>
      </c>
      <c r="F34" s="26">
        <f>IF(OR(1633636.53089="",505.36535="",625.33632=""),"-",(625.33632-505.36535)/1633636.53089*100)</f>
        <v>0.0073437981908154445</v>
      </c>
      <c r="G34" s="26">
        <f>IF(OR(1543712.83473="",668.02976="",625.33632=""),"-",(668.02976-625.33632)/1543712.83473*100)</f>
        <v>0.0027656335452744497</v>
      </c>
    </row>
    <row r="35" spans="1:7" s="9" customFormat="1" ht="15">
      <c r="A35" s="55" t="s">
        <v>126</v>
      </c>
      <c r="B35" s="26">
        <f>IF(440.98084="","-",440.98084)</f>
        <v>440.98084</v>
      </c>
      <c r="C35" s="26" t="s">
        <v>212</v>
      </c>
      <c r="D35" s="26">
        <f>IF(272.02118="","-",272.02118/1543712.83473*100)</f>
        <v>0.017621229407448525</v>
      </c>
      <c r="E35" s="26">
        <f>IF(440.98084="","-",440.98084/1792653.68414*100)</f>
        <v>0.02459933248130713</v>
      </c>
      <c r="F35" s="26">
        <f>IF(OR(1633636.53089="",323.43955="",272.02118=""),"-",(272.02118-323.43955)/1633636.53089*100)</f>
        <v>-0.0031474791991819265</v>
      </c>
      <c r="G35" s="26">
        <f>IF(OR(1543712.83473="",440.98084="",272.02118=""),"-",(440.98084-272.02118)/1543712.83473*100)</f>
        <v>0.010945018801346658</v>
      </c>
    </row>
    <row r="36" spans="1:7" s="9" customFormat="1" ht="15">
      <c r="A36" s="55" t="s">
        <v>134</v>
      </c>
      <c r="B36" s="26">
        <f>IF(73.04702="","-",73.04702)</f>
        <v>73.04702</v>
      </c>
      <c r="C36" s="26">
        <f>IF(OR(59.74726="",73.04702=""),"-",73.04702/59.74726*100)</f>
        <v>122.26003334713593</v>
      </c>
      <c r="D36" s="26">
        <f>IF(59.74726="","-",59.74726/1543712.83473*100)</f>
        <v>0.0038703610319110924</v>
      </c>
      <c r="E36" s="26">
        <f>IF(73.04702="","-",73.04702/1792653.68414*100)</f>
        <v>0.00407479819701167</v>
      </c>
      <c r="F36" s="26">
        <f>IF(OR(1633636.53089="",36.25536="",59.74726=""),"-",(59.74726-36.25536)/1633636.53089*100)</f>
        <v>0.001438012651884179</v>
      </c>
      <c r="G36" s="26">
        <f>IF(OR(1543712.83473="",73.04702="",59.74726=""),"-",(73.04702-59.74726)/1543712.83473*100)</f>
        <v>0.0008615436563579633</v>
      </c>
    </row>
    <row r="37" spans="1:7" s="9" customFormat="1" ht="15">
      <c r="A37" s="56" t="s">
        <v>14</v>
      </c>
      <c r="B37" s="25">
        <f>IF(453474.74737="","-",453474.74737)</f>
        <v>453474.74737</v>
      </c>
      <c r="C37" s="25">
        <f>IF(407983.53979="","-",453474.74737/407983.53979*100)</f>
        <v>111.15025562144383</v>
      </c>
      <c r="D37" s="25">
        <f>IF(407983.53979="","-",407983.53979/1543712.83473*100)</f>
        <v>26.428719811826763</v>
      </c>
      <c r="E37" s="25">
        <f>IF(453474.74737="","-",453474.74737/1792653.68414*100)</f>
        <v>25.296282900706952</v>
      </c>
      <c r="F37" s="25">
        <f>IF(1633636.53089="","-",(407983.53979-435599.43358)/1633636.53089*100)</f>
        <v>-1.6904552063949592</v>
      </c>
      <c r="G37" s="25">
        <f>IF(1543712.83473="","-",(453474.74737-407983.53979)/1543712.83473*100)</f>
        <v>2.9468698164938516</v>
      </c>
    </row>
    <row r="38" spans="1:7" s="9" customFormat="1" ht="15">
      <c r="A38" s="55" t="s">
        <v>207</v>
      </c>
      <c r="B38" s="26">
        <f>IF(228976.66412="","-",228976.66412)</f>
        <v>228976.66412</v>
      </c>
      <c r="C38" s="26">
        <f>IF(OR(225116.96482="",228976.66412=""),"-",228976.66412/225116.96482*100)</f>
        <v>101.71453062326341</v>
      </c>
      <c r="D38" s="26">
        <f>IF(225116.96482="","-",225116.96482/1543712.83473*100)</f>
        <v>14.582826530646395</v>
      </c>
      <c r="E38" s="26">
        <f>IF(228976.66412="","-",228976.66412/1792653.68414*100)</f>
        <v>12.773056287770846</v>
      </c>
      <c r="F38" s="26">
        <f>IF(OR(1633636.53089="",257578.65082="",225116.96482=""),"-",(225116.96482-257578.65082)/1633636.53089*100)</f>
        <v>-1.9870812990644249</v>
      </c>
      <c r="G38" s="26">
        <f>IF(OR(1543712.83473="",228976.66412="",225116.96482=""),"-",(228976.66412-225116.96482)/1543712.83473*100)</f>
        <v>0.25002702660531295</v>
      </c>
    </row>
    <row r="39" spans="1:7" s="9" customFormat="1" ht="15">
      <c r="A39" s="55" t="s">
        <v>16</v>
      </c>
      <c r="B39" s="26">
        <f>IF(177408.66966="","-",177408.66966)</f>
        <v>177408.66966</v>
      </c>
      <c r="C39" s="26">
        <f>IF(OR(141331.29813="",177408.66966=""),"-",177408.66966/141331.29813*100)</f>
        <v>125.52680970694485</v>
      </c>
      <c r="D39" s="26">
        <f>IF(141331.29813="","-",141331.29813/1543712.83473*100)</f>
        <v>9.155284256914225</v>
      </c>
      <c r="E39" s="26">
        <f>IF(177408.66966="","-",177408.66966/1792653.68414*100)</f>
        <v>9.896427359593957</v>
      </c>
      <c r="F39" s="26">
        <f>IF(OR(1633636.53089="",137121.33245="",141331.29813=""),"-",(141331.29813-137121.33245)/1633636.53089*100)</f>
        <v>0.25770516270877264</v>
      </c>
      <c r="G39" s="26">
        <f>IF(OR(1543712.83473="",177408.66966="",141331.29813=""),"-",(177408.66966-141331.29813)/1543712.83473*100)</f>
        <v>2.337051990392374</v>
      </c>
    </row>
    <row r="40" spans="1:7" s="9" customFormat="1" ht="15">
      <c r="A40" s="55" t="s">
        <v>15</v>
      </c>
      <c r="B40" s="26">
        <f>IF(44322.31588="","-",44322.31588)</f>
        <v>44322.31588</v>
      </c>
      <c r="C40" s="26">
        <f>IF(OR(37965.66438="",44322.31588=""),"-",44322.31588/37965.66438*100)</f>
        <v>116.74315886158608</v>
      </c>
      <c r="D40" s="26">
        <f>IF(37965.66438="","-",37965.66438/1543712.83473*100)</f>
        <v>2.4593735004244044</v>
      </c>
      <c r="E40" s="26">
        <f>IF(44322.31588="","-",44322.31588/1792653.68414*100)</f>
        <v>2.4724416250684245</v>
      </c>
      <c r="F40" s="26">
        <f>IF(OR(1633636.53089="",27309.35827="",37965.66438=""),"-",(37965.66438-27309.35827)/1633636.53089*100)</f>
        <v>0.6523058164103663</v>
      </c>
      <c r="G40" s="26">
        <f>IF(OR(1543712.83473="",44322.31588="",37965.66438=""),"-",(44322.31588-37965.66438)/1543712.83473*100)</f>
        <v>0.41177681217580847</v>
      </c>
    </row>
    <row r="41" spans="1:7" s="9" customFormat="1" ht="15">
      <c r="A41" s="55" t="s">
        <v>19</v>
      </c>
      <c r="B41" s="26">
        <f>IF(1655.87591="","-",1655.87591)</f>
        <v>1655.87591</v>
      </c>
      <c r="C41" s="26">
        <f>IF(OR(1173.34615="",1655.87591=""),"-",1655.87591/1173.34615*100)</f>
        <v>141.1242462422534</v>
      </c>
      <c r="D41" s="26">
        <f>IF(1173.34615="","-",1173.34615/1543712.83473*100)</f>
        <v>0.07600805820891046</v>
      </c>
      <c r="E41" s="26">
        <f>IF(1655.87591="","-",1655.87591/1792653.68414*100)</f>
        <v>0.09237009494080742</v>
      </c>
      <c r="F41" s="26">
        <f>IF(OR(1633636.53089="",7484.98472="",1173.34615=""),"-",(1173.34615-7484.98472)/1633636.53089*100)</f>
        <v>-0.386355131674329</v>
      </c>
      <c r="G41" s="26">
        <f>IF(OR(1543712.83473="",1655.87591="",1173.34615=""),"-",(1655.87591-1173.34615)/1543712.83473*100)</f>
        <v>0.03125774102178763</v>
      </c>
    </row>
    <row r="42" spans="1:7" s="9" customFormat="1" ht="15">
      <c r="A42" s="55" t="s">
        <v>17</v>
      </c>
      <c r="B42" s="26">
        <f>IF(746.00553="","-",746.00553)</f>
        <v>746.00553</v>
      </c>
      <c r="C42" s="26">
        <f>IF(OR(1784.95141="",746.00553=""),"-",746.00553/1784.95141*100)</f>
        <v>41.79416458176865</v>
      </c>
      <c r="D42" s="26">
        <f>IF(1784.95141="","-",1784.95141/1543712.83473*100)</f>
        <v>0.11562716651974934</v>
      </c>
      <c r="E42" s="26">
        <f>IF(746.00553="","-",746.00553/1792653.68414*100)</f>
        <v>0.04161459274594276</v>
      </c>
      <c r="F42" s="26">
        <f>IF(OR(1633636.53089="",4470.91646="",1784.95141=""),"-",(1784.95141-4470.91646)/1633636.53089*100)</f>
        <v>-0.16441631900436846</v>
      </c>
      <c r="G42" s="26">
        <f>IF(OR(1543712.83473="",746.00553="",1784.95141=""),"-",(746.00553-1784.95141)/1543712.83473*100)</f>
        <v>-0.06730175824324959</v>
      </c>
    </row>
    <row r="43" spans="1:7" s="9" customFormat="1" ht="15">
      <c r="A43" s="55" t="s">
        <v>22</v>
      </c>
      <c r="B43" s="26">
        <f>IF(273.08401="","-",273.08401)</f>
        <v>273.08401</v>
      </c>
      <c r="C43" s="26" t="s">
        <v>257</v>
      </c>
      <c r="D43" s="26">
        <f>IF(40.39007="","-",40.39007/1543712.83473*100)</f>
        <v>0.0026164237992530744</v>
      </c>
      <c r="E43" s="26">
        <f>IF(273.08401="","-",273.08401/1792653.68414*100)</f>
        <v>0.01523350619341784</v>
      </c>
      <c r="F43" s="26">
        <f>IF(OR(1633636.53089="",93.3167="",40.39007=""),"-",(40.39007-93.3167)/1633636.53089*100)</f>
        <v>-0.003239804509707293</v>
      </c>
      <c r="G43" s="26">
        <f>IF(OR(1543712.83473="",273.08401="",40.39007=""),"-",(273.08401-40.39007)/1543712.83473*100)</f>
        <v>0.015073654553160388</v>
      </c>
    </row>
    <row r="44" spans="1:7" s="9" customFormat="1" ht="15">
      <c r="A44" s="55" t="s">
        <v>18</v>
      </c>
      <c r="B44" s="26">
        <f>IF(62.77434="","-",62.77434)</f>
        <v>62.77434</v>
      </c>
      <c r="C44" s="26">
        <f>IF(OR(493.4583="",62.77434=""),"-",62.77434/493.4583*100)</f>
        <v>12.72130593405765</v>
      </c>
      <c r="D44" s="26">
        <f>IF(493.4583="","-",493.4583/1543712.83473*100)</f>
        <v>0.03196567968460969</v>
      </c>
      <c r="E44" s="26">
        <f>IF(62.77434="","-",62.77434/1792653.68414*100)</f>
        <v>0.003501754999048525</v>
      </c>
      <c r="F44" s="26" t="str">
        <f>IF(OR(1633636.53089="",""="",493.4583=""),"-",(493.4583-"")/1633636.53089*100)</f>
        <v>-</v>
      </c>
      <c r="G44" s="26">
        <f>IF(OR(1543712.83473="",62.77434="",493.4583=""),"-",(62.77434-493.4583)/1543712.83473*100)</f>
        <v>-0.027899227778029577</v>
      </c>
    </row>
    <row r="45" spans="1:7" s="9" customFormat="1" ht="15">
      <c r="A45" s="55" t="s">
        <v>20</v>
      </c>
      <c r="B45" s="26">
        <f>IF(22.32818="","-",22.32818)</f>
        <v>22.32818</v>
      </c>
      <c r="C45" s="26">
        <f>IF(OR(76.73739="",22.32818=""),"-",22.32818/76.73739*100)</f>
        <v>29.09687181177259</v>
      </c>
      <c r="D45" s="26">
        <f>IF(76.73739="","-",76.73739/1543712.83473*100)</f>
        <v>0.004970962751205058</v>
      </c>
      <c r="E45" s="26">
        <f>IF(22.32818="","-",22.32818/1792653.68414*100)</f>
        <v>0.001245537841332227</v>
      </c>
      <c r="F45" s="26">
        <f>IF(OR(1633636.53089="",97.8197="",76.73739=""),"-",(76.73739-97.8197)/1633636.53089*100)</f>
        <v>-0.0012905141138411257</v>
      </c>
      <c r="G45" s="26">
        <f>IF(OR(1543712.83473="",22.32818="",76.73739=""),"-",(22.32818-76.73739)/1543712.83473*100)</f>
        <v>-0.003524568091675958</v>
      </c>
    </row>
    <row r="46" spans="1:7" s="9" customFormat="1" ht="15">
      <c r="A46" s="55" t="s">
        <v>21</v>
      </c>
      <c r="B46" s="26">
        <f>IF(4.47522="","-",4.47522)</f>
        <v>4.47522</v>
      </c>
      <c r="C46" s="26" t="s">
        <v>185</v>
      </c>
      <c r="D46" s="26">
        <f>IF(0.63973="","-",0.63973/1543712.83473*100)</f>
        <v>4.144099767829492E-05</v>
      </c>
      <c r="E46" s="26">
        <f>IF(4.47522="","-",4.47522/1792653.68414*100)</f>
        <v>0.00024964219467447907</v>
      </c>
      <c r="F46" s="26">
        <f>IF(OR(1633636.53089="",1356.28112="",0.63973=""),"-",(0.63973-1356.28112)/1633636.53089*100)</f>
        <v>-0.08298304820971718</v>
      </c>
      <c r="G46" s="26">
        <f>IF(OR(1543712.83473="",4.47522="",0.63973=""),"-",(4.47522-0.63973)/1543712.83473*100)</f>
        <v>0.00024845877508499425</v>
      </c>
    </row>
    <row r="47" spans="1:7" s="9" customFormat="1" ht="15">
      <c r="A47" s="55" t="s">
        <v>23</v>
      </c>
      <c r="B47" s="26">
        <f>IF(2.55452="","-",2.55452)</f>
        <v>2.55452</v>
      </c>
      <c r="C47" s="26" t="s">
        <v>225</v>
      </c>
      <c r="D47" s="26">
        <f>IF(0.08941="","-",0.08941/1543712.83473*100)</f>
        <v>5.791880328289042E-06</v>
      </c>
      <c r="E47" s="26">
        <f>IF(2.55452="","-",2.55452/1792653.68414*100)</f>
        <v>0.00014249935849854314</v>
      </c>
      <c r="F47" s="26">
        <f>IF(OR(1633636.53089="",86.77334="",0.08941=""),"-",(0.08941-86.77334)/1633636.53089*100)</f>
        <v>-0.005306194392749951</v>
      </c>
      <c r="G47" s="26">
        <f>IF(OR(1543712.83473="",2.55452="",0.08941=""),"-",(2.55452-0.08941)/1543712.83473*100)</f>
        <v>0.00015968708328004252</v>
      </c>
    </row>
    <row r="48" spans="1:7" s="9" customFormat="1" ht="15">
      <c r="A48" s="56" t="s">
        <v>24</v>
      </c>
      <c r="B48" s="25">
        <f>IF(461522.9443="","-",461522.9443)</f>
        <v>461522.9443</v>
      </c>
      <c r="C48" s="25">
        <f>IF(387528.84063="","-",461522.9443/387528.84063*100)</f>
        <v>119.09383145515282</v>
      </c>
      <c r="D48" s="25">
        <f>IF(387528.84063="","-",387528.84063/1543712.83473*100)</f>
        <v>25.103687156800763</v>
      </c>
      <c r="E48" s="25">
        <f>IF(461522.9443="","-",461522.9443/1792653.68414*100)</f>
        <v>25.745237263794706</v>
      </c>
      <c r="F48" s="25">
        <f>IF(1633636.53089="","-",(387528.84063-419564.2807)/1633636.53089*100)</f>
        <v>-1.9609894529321774</v>
      </c>
      <c r="G48" s="25">
        <f>IF(1543712.83473="","-",(461522.9443-387528.84063)/1543712.83473*100)</f>
        <v>4.7932557147483825</v>
      </c>
    </row>
    <row r="49" spans="1:7" s="9" customFormat="1" ht="15">
      <c r="A49" s="55" t="s">
        <v>138</v>
      </c>
      <c r="B49" s="26">
        <f>IF(175157.23001="","-",175157.23001)</f>
        <v>175157.23001</v>
      </c>
      <c r="C49" s="26">
        <f>IF(OR(138097.6223="",175157.23001=""),"-",175157.23001/138097.6223*100)</f>
        <v>126.83580433375789</v>
      </c>
      <c r="D49" s="26">
        <f>IF(138097.6223="","-",138097.6223/1543712.83473*100)</f>
        <v>8.945810334222795</v>
      </c>
      <c r="E49" s="26">
        <f>IF(175157.23001="","-",175157.23001/1792653.68414*100)</f>
        <v>9.770834799808485</v>
      </c>
      <c r="F49" s="26">
        <f>IF(OR(1633636.53089="",147305.09936="",138097.6223=""),"-",(138097.6223-147305.09936)/1633636.53089*100)</f>
        <v>-0.5636184601591763</v>
      </c>
      <c r="G49" s="26">
        <f>IF(OR(1543712.83473="",175157.23001="",138097.6223=""),"-",(175157.23001-138097.6223)/1543712.83473*100)</f>
        <v>2.4006801573611227</v>
      </c>
    </row>
    <row r="50" spans="1:7" s="9" customFormat="1" ht="15">
      <c r="A50" s="55" t="s">
        <v>135</v>
      </c>
      <c r="B50" s="26">
        <f>IF(121908.37073="","-",121908.37073)</f>
        <v>121908.37073</v>
      </c>
      <c r="C50" s="26">
        <f>IF(OR(110546.82784="",121908.37073=""),"-",121908.37073/110546.82784*100)</f>
        <v>110.27758381854622</v>
      </c>
      <c r="D50" s="26">
        <f>IF(110546.82784="","-",110546.82784/1543712.83473*100)</f>
        <v>7.161100520313739</v>
      </c>
      <c r="E50" s="26">
        <f>IF(121908.37073="","-",121908.37073/1792653.68414*100)</f>
        <v>6.800441814754856</v>
      </c>
      <c r="F50" s="26">
        <f>IF(OR(1633636.53089="",111052.60874="",110546.82784=""),"-",(110546.82784-111052.60874)/1633636.53089*100)</f>
        <v>-0.030960430330512385</v>
      </c>
      <c r="G50" s="26">
        <f>IF(OR(1543712.83473="",121908.37073="",110546.82784=""),"-",(121908.37073-110546.82784)/1543712.83473*100)</f>
        <v>0.7359881083055946</v>
      </c>
    </row>
    <row r="51" spans="1:7" s="9" customFormat="1" ht="15">
      <c r="A51" s="55" t="s">
        <v>25</v>
      </c>
      <c r="B51" s="26">
        <f>IF(34175.4137="","-",34175.4137)</f>
        <v>34175.4137</v>
      </c>
      <c r="C51" s="26">
        <f>IF(OR(25672.49925="",34175.4137=""),"-",34175.4137/25672.49925*100)</f>
        <v>133.12071165023013</v>
      </c>
      <c r="D51" s="26">
        <f>IF(25672.49925="","-",25672.49925/1543712.83473*100)</f>
        <v>1.6630359398735064</v>
      </c>
      <c r="E51" s="26">
        <f>IF(34175.4137="","-",34175.4137/1792653.68414*100)</f>
        <v>1.9064147192710656</v>
      </c>
      <c r="F51" s="26">
        <f>IF(OR(1633636.53089="",21634.70916="",25672.49925=""),"-",(25672.49925-21634.70916)/1633636.53089*100)</f>
        <v>0.24716575649788064</v>
      </c>
      <c r="G51" s="26">
        <f>IF(OR(1543712.83473="",34175.4137="",25672.49925=""),"-",(34175.4137-25672.49925)/1543712.83473*100)</f>
        <v>0.5508093382851987</v>
      </c>
    </row>
    <row r="52" spans="1:7" s="9" customFormat="1" ht="15">
      <c r="A52" s="55" t="s">
        <v>157</v>
      </c>
      <c r="B52" s="26">
        <f>IF(12388.41617="","-",12388.41617)</f>
        <v>12388.41617</v>
      </c>
      <c r="C52" s="26">
        <f>IF(OR(11234.68874="",12388.41617=""),"-",12388.41617/11234.68874*100)</f>
        <v>110.26933150263672</v>
      </c>
      <c r="D52" s="26">
        <f>IF(11234.68874="","-",11234.68874/1543712.83473*100)</f>
        <v>0.727770637598215</v>
      </c>
      <c r="E52" s="26">
        <f>IF(12388.41617="","-",12388.41617/1792653.68414*100)</f>
        <v>0.69106578027887</v>
      </c>
      <c r="F52" s="26">
        <f>IF(OR(1633636.53089="",27349.37408="",11234.68874=""),"-",(11234.68874-27349.37408)/1633636.53089*100)</f>
        <v>-0.9864302759696963</v>
      </c>
      <c r="G52" s="26">
        <f>IF(OR(1543712.83473="",12388.41617="",11234.68874=""),"-",(12388.41617-11234.68874)/1543712.83473*100)</f>
        <v>0.07473717935381363</v>
      </c>
    </row>
    <row r="53" spans="1:7" s="9" customFormat="1" ht="15">
      <c r="A53" s="55" t="s">
        <v>203</v>
      </c>
      <c r="B53" s="26">
        <f>IF(12234.63215="","-",12234.63215)</f>
        <v>12234.63215</v>
      </c>
      <c r="C53" s="26">
        <f>IF(OR(10269.53121="",12234.63215=""),"-",12234.63215/10269.53121*100)</f>
        <v>119.135254568256</v>
      </c>
      <c r="D53" s="26">
        <f>IF(10269.53121="","-",10269.53121/1543712.83473*100)</f>
        <v>0.6652488065758791</v>
      </c>
      <c r="E53" s="26">
        <f>IF(12234.63215="","-",12234.63215/1792653.68414*100)</f>
        <v>0.6824872120166026</v>
      </c>
      <c r="F53" s="26">
        <f>IF(OR(1633636.53089="",14360.70674="",10269.53121=""),"-",(10269.53121-14360.70674)/1633636.53089*100)</f>
        <v>-0.25043364620226394</v>
      </c>
      <c r="G53" s="26">
        <f>IF(OR(1543712.83473="",12234.63215="",10269.53121=""),"-",(12234.63215-10269.53121)/1543712.83473*100)</f>
        <v>0.12729705265057942</v>
      </c>
    </row>
    <row r="54" spans="1:7" s="9" customFormat="1" ht="15">
      <c r="A54" s="55" t="s">
        <v>150</v>
      </c>
      <c r="B54" s="26">
        <f>IF(11721.8956="","-",11721.8956)</f>
        <v>11721.8956</v>
      </c>
      <c r="C54" s="26">
        <f>IF(OR(10134.59002="",11721.8956=""),"-",11721.8956/10134.59002*100)</f>
        <v>115.66225744571364</v>
      </c>
      <c r="D54" s="26">
        <f>IF(10134.59002="","-",10134.59002/1543712.83473*100)</f>
        <v>0.6565074664144106</v>
      </c>
      <c r="E54" s="26">
        <f>IF(11721.8956="","-",11721.8956/1792653.68414*100)</f>
        <v>0.6538851147718145</v>
      </c>
      <c r="F54" s="26">
        <f>IF(OR(1633636.53089="",12432.25804="",10134.59002=""),"-",(10134.59002-12432.25804)/1633636.53089*100)</f>
        <v>-0.14064744369717533</v>
      </c>
      <c r="G54" s="26">
        <f>IF(OR(1543712.83473="",11721.8956="",10134.59002=""),"-",(11721.8956-10134.59002)/1543712.83473*100)</f>
        <v>0.10282388954015692</v>
      </c>
    </row>
    <row r="55" spans="1:7" s="9" customFormat="1" ht="15">
      <c r="A55" s="55" t="s">
        <v>153</v>
      </c>
      <c r="B55" s="26">
        <f>IF(10767.21588="","-",10767.21588)</f>
        <v>10767.21588</v>
      </c>
      <c r="C55" s="26" t="s">
        <v>27</v>
      </c>
      <c r="D55" s="26">
        <f>IF(5310.73809="","-",5310.73809/1543712.83473*100)</f>
        <v>0.3440237050907764</v>
      </c>
      <c r="E55" s="26">
        <f>IF(10767.21588="","-",10767.21588/1792653.68414*100)</f>
        <v>0.6006300031768499</v>
      </c>
      <c r="F55" s="26">
        <f>IF(OR(1633636.53089="",3899.63166="",5310.73809=""),"-",(5310.73809-3899.63166)/1633636.53089*100)</f>
        <v>0.08637823673245318</v>
      </c>
      <c r="G55" s="26">
        <f>IF(OR(1543712.83473="",10767.21588="",5310.73809=""),"-",(10767.21588-5310.73809)/1543712.83473*100)</f>
        <v>0.35346456071633</v>
      </c>
    </row>
    <row r="56" spans="1:7" s="9" customFormat="1" ht="15">
      <c r="A56" s="55" t="s">
        <v>113</v>
      </c>
      <c r="B56" s="26">
        <f>IF(8789.43597="","-",8789.43597)</f>
        <v>8789.43597</v>
      </c>
      <c r="C56" s="26">
        <f>IF(OR(7831.5195="",8789.43597=""),"-",8789.43597/7831.5195*100)</f>
        <v>112.23155314878551</v>
      </c>
      <c r="D56" s="26">
        <f>IF(7831.5195="","-",7831.5195/1543712.83473*100)</f>
        <v>0.5073171203742538</v>
      </c>
      <c r="E56" s="26">
        <f>IF(8789.43597="","-",8789.43597/1792653.68414*100)</f>
        <v>0.4903030656597014</v>
      </c>
      <c r="F56" s="26">
        <f>IF(OR(1633636.53089="",11267.6137="",7831.5195=""),"-",(7831.5195-11267.6137)/1633636.53089*100)</f>
        <v>-0.21033406972896387</v>
      </c>
      <c r="G56" s="26">
        <f>IF(OR(1543712.83473="",8789.43597="",7831.5195=""),"-",(8789.43597-7831.5195)/1543712.83473*100)</f>
        <v>0.06205276321146494</v>
      </c>
    </row>
    <row r="57" spans="1:7" s="9" customFormat="1" ht="15">
      <c r="A57" s="55" t="s">
        <v>151</v>
      </c>
      <c r="B57" s="26">
        <f>IF(5988.24265="","-",5988.24265)</f>
        <v>5988.24265</v>
      </c>
      <c r="C57" s="26">
        <f>IF(OR(4795.39387="",5988.24265=""),"-",5988.24265/4795.39387*100)</f>
        <v>124.87488645015097</v>
      </c>
      <c r="D57" s="26">
        <f>IF(4795.39387="","-",4795.39387/1543712.83473*100)</f>
        <v>0.3106402798574081</v>
      </c>
      <c r="E57" s="26">
        <f>IF(5988.24265="","-",5988.24265/1792653.68414*100)</f>
        <v>0.3340434743742919</v>
      </c>
      <c r="F57" s="26">
        <f>IF(OR(1633636.53089="",4695.23765="",4795.39387=""),"-",(4795.39387-4695.23765)/1633636.53089*100)</f>
        <v>0.006130875387895192</v>
      </c>
      <c r="G57" s="26">
        <f>IF(OR(1543712.83473="",5988.24265="",4795.39387=""),"-",(5988.24265-4795.39387)/1543712.83473*100)</f>
        <v>0.07727141688296146</v>
      </c>
    </row>
    <row r="58" spans="1:7" s="9" customFormat="1" ht="15">
      <c r="A58" s="55" t="s">
        <v>162</v>
      </c>
      <c r="B58" s="26">
        <f>IF(5901.28328="","-",5901.28328)</f>
        <v>5901.28328</v>
      </c>
      <c r="C58" s="26">
        <f>IF(OR(4604.62898="",5901.28328=""),"-",5901.28328/4604.62898*100)</f>
        <v>128.15979975003327</v>
      </c>
      <c r="D58" s="26">
        <f>IF(4604.62898="","-",4604.62898/1543712.83473*100)</f>
        <v>0.29828274251573245</v>
      </c>
      <c r="E58" s="26">
        <f>IF(5901.28328="","-",5901.28328/1792653.68414*100)</f>
        <v>0.3291926004565157</v>
      </c>
      <c r="F58" s="26">
        <f>IF(OR(1633636.53089="",3649.87128="",4604.62898=""),"-",(4604.62898-3649.87128)/1633636.53089*100)</f>
        <v>0.0584437040888068</v>
      </c>
      <c r="G58" s="26">
        <f>IF(OR(1543712.83473="",5901.28328="",4604.62898=""),"-",(5901.28328-4604.62898)/1543712.83473*100)</f>
        <v>0.08399582298133758</v>
      </c>
    </row>
    <row r="59" spans="1:7" s="9" customFormat="1" ht="15">
      <c r="A59" s="55" t="s">
        <v>147</v>
      </c>
      <c r="B59" s="26">
        <f>IF(5631.93825="","-",5631.93825)</f>
        <v>5631.93825</v>
      </c>
      <c r="C59" s="26">
        <f>IF(OR(6347.83428="",5631.93825=""),"-",5631.93825/6347.83428*100)</f>
        <v>88.72220038485314</v>
      </c>
      <c r="D59" s="26">
        <f>IF(6347.83428="","-",6347.83428/1543712.83473*100)</f>
        <v>0.41120564247367</v>
      </c>
      <c r="E59" s="26">
        <f>IF(5631.93825="","-",5631.93825/1792653.68414*100)</f>
        <v>0.31416766661776296</v>
      </c>
      <c r="F59" s="26">
        <f>IF(OR(1633636.53089="",5493.90257="",6347.83428=""),"-",(6347.83428-5493.90257)/1633636.53089*100)</f>
        <v>0.052271829985020016</v>
      </c>
      <c r="G59" s="26">
        <f>IF(OR(1543712.83473="",5631.93825="",6347.83428=""),"-",(5631.93825-6347.83428)/1543712.83473*100)</f>
        <v>-0.04637494836435769</v>
      </c>
    </row>
    <row r="60" spans="1:7" s="9" customFormat="1" ht="15">
      <c r="A60" s="55" t="s">
        <v>145</v>
      </c>
      <c r="B60" s="26">
        <f>IF(5068.21117="","-",5068.21117)</f>
        <v>5068.21117</v>
      </c>
      <c r="C60" s="26" t="s">
        <v>26</v>
      </c>
      <c r="D60" s="26">
        <f>IF(2167.63076="","-",2167.63076/1543712.83473*100)</f>
        <v>0.1404167090687644</v>
      </c>
      <c r="E60" s="26">
        <f>IF(5068.21117="","-",5068.21117/1792653.68414*100)</f>
        <v>0.2827211532734724</v>
      </c>
      <c r="F60" s="26">
        <f>IF(OR(1633636.53089="",929.44663="",2167.63076=""),"-",(2167.63076-929.44663)/1633636.53089*100)</f>
        <v>0.07579312206770017</v>
      </c>
      <c r="G60" s="26">
        <f>IF(OR(1543712.83473="",5068.21117="",2167.63076=""),"-",(5068.21117-2167.63076)/1543712.83473*100)</f>
        <v>0.18789637196398123</v>
      </c>
    </row>
    <row r="61" spans="1:7" s="9" customFormat="1" ht="15">
      <c r="A61" s="55" t="s">
        <v>141</v>
      </c>
      <c r="B61" s="26">
        <f>IF(4168.23348="","-",4168.23348)</f>
        <v>4168.23348</v>
      </c>
      <c r="C61" s="26">
        <f>IF(OR(6685.38141="",4168.23348=""),"-",4168.23348/6685.38141*100)</f>
        <v>62.348476838810605</v>
      </c>
      <c r="D61" s="26">
        <f>IF(6685.38141="","-",6685.38141/1543712.83473*100)</f>
        <v>0.43307157002223756</v>
      </c>
      <c r="E61" s="26">
        <f>IF(4168.23348="","-",4168.23348/1792653.68414*100)</f>
        <v>0.23251749720971066</v>
      </c>
      <c r="F61" s="26">
        <f>IF(OR(1633636.53089="",11379.45443="",6685.38141=""),"-",(6685.38141-11379.45443)/1633636.53089*100)</f>
        <v>-0.28733888666426205</v>
      </c>
      <c r="G61" s="26">
        <f>IF(OR(1543712.83473="",4168.23348="",6685.38141=""),"-",(4168.23348-6685.38141)/1543712.83473*100)</f>
        <v>-0.1630580424914493</v>
      </c>
    </row>
    <row r="62" spans="1:7" s="9" customFormat="1" ht="15">
      <c r="A62" s="55" t="s">
        <v>140</v>
      </c>
      <c r="B62" s="26">
        <f>IF(3533.89686="","-",3533.89686)</f>
        <v>3533.89686</v>
      </c>
      <c r="C62" s="26">
        <f>IF(OR(2532.33896="",3533.89686=""),"-",3533.89686/2532.33896*100)</f>
        <v>139.55070453917432</v>
      </c>
      <c r="D62" s="26">
        <f>IF(2532.33896="","-",2532.33896/1543712.83473*100)</f>
        <v>0.16404210051430412</v>
      </c>
      <c r="E62" s="26">
        <f>IF(3533.89686="","-",3533.89686/1792653.68414*100)</f>
        <v>0.19713215615850174</v>
      </c>
      <c r="F62" s="26">
        <f>IF(OR(1633636.53089="",3220.30775="",2532.33896=""),"-",(2532.33896-3220.30775)/1633636.53089*100)</f>
        <v>-0.04211272073018572</v>
      </c>
      <c r="G62" s="26">
        <f>IF(OR(1543712.83473="",3533.89686="",2532.33896=""),"-",(3533.89686-2532.33896)/1543712.83473*100)</f>
        <v>0.06487980649426778</v>
      </c>
    </row>
    <row r="63" spans="1:7" s="9" customFormat="1" ht="15">
      <c r="A63" s="55" t="s">
        <v>152</v>
      </c>
      <c r="B63" s="26">
        <f>IF(3353.06267="","-",3353.06267)</f>
        <v>3353.06267</v>
      </c>
      <c r="C63" s="26">
        <f>IF(OR(2320.85062="",3353.06267=""),"-",3353.06267/2320.85062*100)</f>
        <v>144.4755918844962</v>
      </c>
      <c r="D63" s="26">
        <f>IF(2320.85062="","-",2320.85062/1543712.83473*100)</f>
        <v>0.15034212113718182</v>
      </c>
      <c r="E63" s="26">
        <f>IF(3353.06267="","-",3353.06267/1792653.68414*100)</f>
        <v>0.18704464223431888</v>
      </c>
      <c r="F63" s="26">
        <f>IF(OR(1633636.53089="",1917.68981="",2320.85062=""),"-",(2320.85062-1917.68981)/1633636.53089*100)</f>
        <v>0.02467873375605523</v>
      </c>
      <c r="G63" s="26">
        <f>IF(OR(1543712.83473="",3353.06267="",2320.85062=""),"-",(3353.06267-2320.85062)/1543712.83473*100)</f>
        <v>0.06686554822746787</v>
      </c>
    </row>
    <row r="64" spans="1:7" s="9" customFormat="1" ht="15">
      <c r="A64" s="55" t="s">
        <v>159</v>
      </c>
      <c r="B64" s="26">
        <f>IF(3233.52596="","-",3233.52596)</f>
        <v>3233.52596</v>
      </c>
      <c r="C64" s="26">
        <f>IF(OR(2374.76605="",3233.52596=""),"-",3233.52596/2374.76605*100)</f>
        <v>136.16187413492793</v>
      </c>
      <c r="D64" s="26">
        <f>IF(2374.76605="","-",2374.76605/1543712.83473*100)</f>
        <v>0.1538347027098051</v>
      </c>
      <c r="E64" s="26">
        <f>IF(3233.52596="","-",3233.52596/1792653.68414*100)</f>
        <v>0.1803764992986494</v>
      </c>
      <c r="F64" s="26">
        <f>IF(OR(1633636.53089="",2161.32309="",2374.76605=""),"-",(2374.76605-2161.32309)/1633636.53089*100)</f>
        <v>0.013065510960612349</v>
      </c>
      <c r="G64" s="26">
        <f>IF(OR(1543712.83473="",3233.52596="",2374.76605=""),"-",(3233.52596-2374.76605)/1543712.83473*100)</f>
        <v>0.05562951156976028</v>
      </c>
    </row>
    <row r="65" spans="1:7" s="9" customFormat="1" ht="15">
      <c r="A65" s="55" t="s">
        <v>163</v>
      </c>
      <c r="B65" s="26">
        <f>IF(2947.76933="","-",2947.76933)</f>
        <v>2947.76933</v>
      </c>
      <c r="C65" s="26">
        <f>IF(OR(2369.49916="",2947.76933=""),"-",2947.76933/2369.49916*100)</f>
        <v>124.40474256171503</v>
      </c>
      <c r="D65" s="26">
        <f>IF(2369.49916="","-",2369.49916/1543712.83473*100)</f>
        <v>0.15349351943520198</v>
      </c>
      <c r="E65" s="26">
        <f>IF(2947.76933="","-",2947.76933/1792653.68414*100)</f>
        <v>0.1644360735193619</v>
      </c>
      <c r="F65" s="26">
        <f>IF(OR(1633636.53089="",1016.2979="",2369.49916=""),"-",(2369.49916-1016.2979)/1633636.53089*100)</f>
        <v>0.0828336802227837</v>
      </c>
      <c r="G65" s="26">
        <f>IF(OR(1543712.83473="",2947.76933="",2369.49916=""),"-",(2947.76933-2369.49916)/1543712.83473*100)</f>
        <v>0.037459698267077075</v>
      </c>
    </row>
    <row r="66" spans="1:7" s="9" customFormat="1" ht="15">
      <c r="A66" s="55" t="s">
        <v>143</v>
      </c>
      <c r="B66" s="26">
        <f>IF(2924.17493="","-",2924.17493)</f>
        <v>2924.17493</v>
      </c>
      <c r="C66" s="26">
        <f>IF(OR(2013.34498="",2924.17493=""),"-",2924.17493/2013.34498*100)</f>
        <v>145.23963647799692</v>
      </c>
      <c r="D66" s="26">
        <f>IF(2013.34498="","-",2013.34498/1543712.83473*100)</f>
        <v>0.13042224788861978</v>
      </c>
      <c r="E66" s="26">
        <f>IF(2924.17493="","-",2924.17493/1792653.68414*100)</f>
        <v>0.16311990184556094</v>
      </c>
      <c r="F66" s="26">
        <f>IF(OR(1633636.53089="",1249.02874="",2013.34498=""),"-",(2013.34498-1249.02874)/1633636.53089*100)</f>
        <v>0.04678618686272907</v>
      </c>
      <c r="G66" s="26">
        <f>IF(OR(1543712.83473="",2924.17493="",2013.34498=""),"-",(2924.17493-2013.34498)/1543712.83473*100)</f>
        <v>0.059002550831243616</v>
      </c>
    </row>
    <row r="67" spans="1:7" s="9" customFormat="1" ht="15">
      <c r="A67" s="55" t="s">
        <v>165</v>
      </c>
      <c r="B67" s="26">
        <f>IF(2531.40571="","-",2531.40571)</f>
        <v>2531.40571</v>
      </c>
      <c r="C67" s="26">
        <f>IF(OR(2013.95677="",2531.40571=""),"-",2531.40571/2013.95677*100)</f>
        <v>125.6931503053067</v>
      </c>
      <c r="D67" s="26">
        <f>IF(2013.95677="","-",2013.95677/1543712.83473*100)</f>
        <v>0.1304618789641823</v>
      </c>
      <c r="E67" s="26">
        <f>IF(2531.40571="","-",2531.40571/1792653.68414*100)</f>
        <v>0.14120996890787668</v>
      </c>
      <c r="F67" s="26">
        <f>IF(OR(1633636.53089="",2201.46415="",2013.95677=""),"-",(2013.95677-2201.46415)/1633636.53089*100)</f>
        <v>-0.011477913015194779</v>
      </c>
      <c r="G67" s="26">
        <f>IF(OR(1543712.83473="",2531.40571="",2013.95677=""),"-",(2531.40571-2013.95677)/1543712.83473*100)</f>
        <v>0.03351976665339466</v>
      </c>
    </row>
    <row r="68" spans="1:7" s="9" customFormat="1" ht="15">
      <c r="A68" s="55" t="s">
        <v>149</v>
      </c>
      <c r="B68" s="26">
        <f>IF(2217.11059="","-",2217.11059)</f>
        <v>2217.11059</v>
      </c>
      <c r="C68" s="26" t="s">
        <v>210</v>
      </c>
      <c r="D68" s="26">
        <f>IF(1231.6045="","-",1231.6045/1543712.83473*100)</f>
        <v>0.0797819693074853</v>
      </c>
      <c r="E68" s="26">
        <f>IF(2217.11059="","-",2217.11059/1792653.68414*100)</f>
        <v>0.12367757418040434</v>
      </c>
      <c r="F68" s="26">
        <f>IF(OR(1633636.53089="",1259.36679="",1231.6045=""),"-",(1231.6045-1259.36679)/1633636.53089*100)</f>
        <v>-0.0016994165761508354</v>
      </c>
      <c r="G68" s="26">
        <f>IF(OR(1543712.83473="",2217.11059="",1231.6045=""),"-",(2217.11059-1231.6045)/1543712.83473*100)</f>
        <v>0.06383998810066044</v>
      </c>
    </row>
    <row r="69" spans="1:7" s="9" customFormat="1" ht="15">
      <c r="A69" s="55" t="s">
        <v>146</v>
      </c>
      <c r="B69" s="26">
        <f>IF(2178.53226="","-",2178.53226)</f>
        <v>2178.53226</v>
      </c>
      <c r="C69" s="26">
        <f>IF(OR(1885.69334="",2178.53226=""),"-",2178.53226/1885.69334*100)</f>
        <v>115.52950916186614</v>
      </c>
      <c r="D69" s="26">
        <f>IF(1885.69334="","-",1885.69334/1543712.83473*100)</f>
        <v>0.12215311666627514</v>
      </c>
      <c r="E69" s="26">
        <f>IF(2178.53226="","-",2178.53226/1792653.68414*100)</f>
        <v>0.12152555059987058</v>
      </c>
      <c r="F69" s="26">
        <f>IF(OR(1633636.53089="",2156.30707="",1885.69334=""),"-",(1885.69334-2156.30707)/1633636.53089*100)</f>
        <v>-0.016565112550009534</v>
      </c>
      <c r="G69" s="26">
        <f>IF(OR(1543712.83473="",2178.53226="",1885.69334=""),"-",(2178.53226-1885.69334)/1543712.83473*100)</f>
        <v>0.018969779444194253</v>
      </c>
    </row>
    <row r="70" spans="1:7" s="9" customFormat="1" ht="15">
      <c r="A70" s="55" t="s">
        <v>166</v>
      </c>
      <c r="B70" s="26">
        <f>IF(1938.86667="","-",1938.86667)</f>
        <v>1938.86667</v>
      </c>
      <c r="C70" s="26">
        <f>IF(OR(1814.67139="",1938.86667=""),"-",1938.86667/1814.67139*100)</f>
        <v>106.84395426546072</v>
      </c>
      <c r="D70" s="26">
        <f>IF(1814.67139="","-",1814.67139/1543712.83473*100)</f>
        <v>0.11755239375964581</v>
      </c>
      <c r="E70" s="26">
        <f>IF(1938.86667="","-",1938.86667/1792653.68414*100)</f>
        <v>0.10815623157744178</v>
      </c>
      <c r="F70" s="26">
        <f>IF(OR(1633636.53089="",1945.86393="",1814.67139=""),"-",(1814.67139-1945.86393)/1633636.53089*100)</f>
        <v>-0.008030705577361612</v>
      </c>
      <c r="G70" s="26">
        <f>IF(OR(1543712.83473="",1938.86667="",1814.67139=""),"-",(1938.86667-1814.67139)/1543712.83473*100)</f>
        <v>0.008045232066864447</v>
      </c>
    </row>
    <row r="71" spans="1:7" s="9" customFormat="1" ht="15">
      <c r="A71" s="55" t="s">
        <v>164</v>
      </c>
      <c r="B71" s="26">
        <f>IF(1804.82699="","-",1804.82699)</f>
        <v>1804.82699</v>
      </c>
      <c r="C71" s="26">
        <f>IF(OR(2204.60836="",1804.82699=""),"-",1804.82699/2204.60836*100)</f>
        <v>81.86610478062416</v>
      </c>
      <c r="D71" s="26">
        <f>IF(2204.60836="","-",2204.60836/1543712.83473*100)</f>
        <v>0.14281207685790814</v>
      </c>
      <c r="E71" s="26">
        <f>IF(1804.82699="","-",1804.82699/1792653.68414*100)</f>
        <v>0.10067906623391343</v>
      </c>
      <c r="F71" s="26">
        <f>IF(OR(1633636.53089="",2592.80314="",2204.60836=""),"-",(2204.60836-2592.80314)/1633636.53089*100)</f>
        <v>-0.023762616264984753</v>
      </c>
      <c r="G71" s="26">
        <f>IF(OR(1543712.83473="",1804.82699="",2204.60836=""),"-",(1804.82699-2204.60836)/1543712.83473*100)</f>
        <v>-0.025897392378027555</v>
      </c>
    </row>
    <row r="72" spans="1:7" s="9" customFormat="1" ht="15">
      <c r="A72" s="55" t="s">
        <v>168</v>
      </c>
      <c r="B72" s="26">
        <f>IF(1579.58209="","-",1579.58209)</f>
        <v>1579.58209</v>
      </c>
      <c r="C72" s="26">
        <f>IF(OR(1207.55891="",1579.58209=""),"-",1579.58209/1207.55891*100)</f>
        <v>130.807870069047</v>
      </c>
      <c r="D72" s="26">
        <f>IF(1207.55891="","-",1207.55891/1543712.83473*100)</f>
        <v>0.0782243227388341</v>
      </c>
      <c r="E72" s="26">
        <f>IF(1579.58209="","-",1579.58209/1792653.68414*100)</f>
        <v>0.08811417977576533</v>
      </c>
      <c r="F72" s="26">
        <f>IF(OR(1633636.53089="",477.57209="",1207.55891=""),"-",(1207.55891-477.57209)/1633636.53089*100)</f>
        <v>0.044684775725620275</v>
      </c>
      <c r="G72" s="26">
        <f>IF(OR(1543712.83473="",1579.58209="",1207.55891=""),"-",(1579.58209-1207.55891)/1543712.83473*100)</f>
        <v>0.024099247711771996</v>
      </c>
    </row>
    <row r="73" spans="1:7" s="9" customFormat="1" ht="15">
      <c r="A73" s="55" t="s">
        <v>170</v>
      </c>
      <c r="B73" s="26">
        <f>IF(1417.01682="","-",1417.01682)</f>
        <v>1417.01682</v>
      </c>
      <c r="C73" s="26" t="s">
        <v>181</v>
      </c>
      <c r="D73" s="26">
        <f>IF(512.51579="","-",512.51579/1543712.83473*100)</f>
        <v>0.033200202684694306</v>
      </c>
      <c r="E73" s="26">
        <f>IF(1417.01682="","-",1417.01682/1792653.68414*100)</f>
        <v>0.07904576508762726</v>
      </c>
      <c r="F73" s="26">
        <f>IF(OR(1633636.53089="",445.63097="",512.51579=""),"-",(512.51579-445.63097)/1633636.53089*100)</f>
        <v>0.004094228963131805</v>
      </c>
      <c r="G73" s="26">
        <f>IF(OR(1543712.83473="",1417.01682="",512.51579=""),"-",(1417.01682-512.51579)/1543712.83473*100)</f>
        <v>0.05859257043478556</v>
      </c>
    </row>
    <row r="74" spans="1:7" s="9" customFormat="1" ht="15">
      <c r="A74" s="55" t="s">
        <v>167</v>
      </c>
      <c r="B74" s="26">
        <f>IF(1282.27864="","-",1282.27864)</f>
        <v>1282.27864</v>
      </c>
      <c r="C74" s="26">
        <f>IF(OR(1586.6711="",1282.27864=""),"-",1282.27864/1586.6711*100)</f>
        <v>80.81565486382149</v>
      </c>
      <c r="D74" s="26">
        <f>IF(1586.6711="","-",1586.6711/1543712.83473*100)</f>
        <v>0.1027827886316378</v>
      </c>
      <c r="E74" s="26">
        <f>IF(1282.27864="","-",1282.27864/1792653.68414*100)</f>
        <v>0.07152963516292077</v>
      </c>
      <c r="F74" s="26">
        <f>IF(OR(1633636.53089="",1140.46384="",1586.6711=""),"-",(1586.6711-1140.46384)/1633636.53089*100)</f>
        <v>0.027313741555283894</v>
      </c>
      <c r="G74" s="26">
        <f>IF(OR(1543712.83473="",1282.27864="",1586.6711=""),"-",(1282.27864-1586.6711)/1543712.83473*100)</f>
        <v>-0.01971820491168224</v>
      </c>
    </row>
    <row r="75" spans="1:7" s="9" customFormat="1" ht="15">
      <c r="A75" s="55" t="s">
        <v>155</v>
      </c>
      <c r="B75" s="26">
        <f>IF(1085.95093="","-",1085.95093)</f>
        <v>1085.95093</v>
      </c>
      <c r="C75" s="26">
        <f>IF(OR(1149.28455="",1085.95093=""),"-",1085.95093/1149.28455*100)</f>
        <v>94.48930032166533</v>
      </c>
      <c r="D75" s="26">
        <f>IF(1149.28455="","-",1149.28455/1543712.83473*100)</f>
        <v>0.07444937453027094</v>
      </c>
      <c r="E75" s="26">
        <f>IF(1085.95093="","-",1085.95093/1792653.68414*100)</f>
        <v>0.060577842759460224</v>
      </c>
      <c r="F75" s="26">
        <f>IF(OR(1633636.53089="",2065.27669="",1149.28455=""),"-",(1149.28455-2065.27669)/1633636.53089*100)</f>
        <v>-0.056070742951675454</v>
      </c>
      <c r="G75" s="26">
        <f>IF(OR(1543712.83473="",1085.95093="",1149.28455=""),"-",(1085.95093-1149.28455)/1543712.83473*100)</f>
        <v>-0.004102681442761817</v>
      </c>
    </row>
    <row r="76" spans="1:7" s="9" customFormat="1" ht="15">
      <c r="A76" s="55" t="s">
        <v>137</v>
      </c>
      <c r="B76" s="26">
        <f>IF(1041.02125="","-",1041.02125)</f>
        <v>1041.02125</v>
      </c>
      <c r="C76" s="26" t="s">
        <v>226</v>
      </c>
      <c r="D76" s="26">
        <f>IF(353.93274="","-",353.93274/1543712.83473*100)</f>
        <v>0.022927369134810874</v>
      </c>
      <c r="E76" s="26">
        <f>IF(1041.02125="","-",1041.02125/1792653.68414*100)</f>
        <v>0.05807152040631959</v>
      </c>
      <c r="F76" s="26">
        <f>IF(OR(1633636.53089="",862.21184="",353.93274=""),"-",(353.93274-862.21184)/1633636.53089*100)</f>
        <v>-0.031113352963715327</v>
      </c>
      <c r="G76" s="26">
        <f>IF(OR(1543712.83473="",1041.02125="",353.93274=""),"-",(1041.02125-353.93274)/1543712.83473*100)</f>
        <v>0.044508829268117986</v>
      </c>
    </row>
    <row r="77" spans="1:7" s="9" customFormat="1" ht="15">
      <c r="A77" s="55" t="s">
        <v>154</v>
      </c>
      <c r="B77" s="26">
        <f>IF(978.468="","-",978.468)</f>
        <v>978.468</v>
      </c>
      <c r="C77" s="26">
        <f>IF(OR(738.8277="",978.468=""),"-",978.468/738.8277*100)</f>
        <v>132.43520782991757</v>
      </c>
      <c r="D77" s="26">
        <f>IF(738.8277="","-",738.8277/1543712.83473*100)</f>
        <v>0.047860436434683344</v>
      </c>
      <c r="E77" s="26">
        <f>IF(978.468="","-",978.468/1792653.68414*100)</f>
        <v>0.054582098520016484</v>
      </c>
      <c r="F77" s="26">
        <f>IF(OR(1633636.53089="",486.66582="",738.8277=""),"-",(738.8277-486.66582)/1633636.53089*100)</f>
        <v>0.015435617117512856</v>
      </c>
      <c r="G77" s="26">
        <f>IF(OR(1543712.83473="",978.468="",738.8277=""),"-",(978.468-738.8277)/1543712.83473*100)</f>
        <v>0.015523632025895136</v>
      </c>
    </row>
    <row r="78" spans="1:7" s="9" customFormat="1" ht="15">
      <c r="A78" s="55" t="s">
        <v>148</v>
      </c>
      <c r="B78" s="26">
        <f>IF(960.48033="","-",960.48033)</f>
        <v>960.48033</v>
      </c>
      <c r="C78" s="26">
        <f>IF(OR(1400.20188="",960.48033=""),"-",960.48033/1400.20188*100)</f>
        <v>68.59584633610119</v>
      </c>
      <c r="D78" s="26">
        <f>IF(1400.20188="","-",1400.20188/1543712.83473*100)</f>
        <v>0.09070352001348098</v>
      </c>
      <c r="E78" s="26">
        <f>IF(960.48033="","-",960.48033/1792653.68414*100)</f>
        <v>0.05357868831540525</v>
      </c>
      <c r="F78" s="26">
        <f>IF(OR(1633636.53089="",438.47232="",1400.20188=""),"-",(1400.20188-438.47232)/1633636.53089*100)</f>
        <v>0.058870473438547115</v>
      </c>
      <c r="G78" s="26">
        <f>IF(OR(1543712.83473="",960.48033="",1400.20188=""),"-",(960.48033-1400.20188)/1543712.83473*100)</f>
        <v>-0.028484672803598777</v>
      </c>
    </row>
    <row r="79" spans="1:7" s="9" customFormat="1" ht="15">
      <c r="A79" s="55" t="s">
        <v>117</v>
      </c>
      <c r="B79" s="26">
        <f>IF(843.54546="","-",843.54546)</f>
        <v>843.54546</v>
      </c>
      <c r="C79" s="26">
        <f>IF(OR(1362.75388="",843.54546=""),"-",843.54546/1362.75388*100)</f>
        <v>61.90005931225087</v>
      </c>
      <c r="D79" s="26">
        <f>IF(1362.75388="","-",1362.75388/1543712.83473*100)</f>
        <v>0.08827768023567348</v>
      </c>
      <c r="E79" s="26">
        <f>IF(843.54546="","-",843.54546/1792653.68414*100)</f>
        <v>0.04705568440034077</v>
      </c>
      <c r="F79" s="26">
        <f>IF(OR(1633636.53089="",1461.62907="",1362.75388=""),"-",(1362.75388-1461.62907)/1633636.53089*100)</f>
        <v>-0.006052459536157231</v>
      </c>
      <c r="G79" s="26">
        <f>IF(OR(1543712.83473="",843.54546="",1362.75388=""),"-",(843.54546-1362.75388)/1543712.83473*100)</f>
        <v>-0.03363374381031243</v>
      </c>
    </row>
    <row r="80" spans="1:7" s="9" customFormat="1" ht="15">
      <c r="A80" s="55" t="s">
        <v>176</v>
      </c>
      <c r="B80" s="26">
        <f>IF(730.08394="","-",730.08394)</f>
        <v>730.08394</v>
      </c>
      <c r="C80" s="26" t="s">
        <v>180</v>
      </c>
      <c r="D80" s="26">
        <f>IF(346.3366="","-",346.3366/1543712.83473*100)</f>
        <v>0.022435299636578802</v>
      </c>
      <c r="E80" s="26">
        <f>IF(730.08394="","-",730.08394/1792653.68414*100)</f>
        <v>0.040726435142449016</v>
      </c>
      <c r="F80" s="26">
        <f>IF(OR(1633636.53089="",836.30392="",346.3366=""),"-",(346.3366-836.30392)/1633636.53089*100)</f>
        <v>-0.02999243165388003</v>
      </c>
      <c r="G80" s="26">
        <f>IF(OR(1543712.83473="",730.08394="",346.3366=""),"-",(730.08394-346.3366)/1543712.83473*100)</f>
        <v>0.02485872575303933</v>
      </c>
    </row>
    <row r="81" spans="1:7" s="9" customFormat="1" ht="15">
      <c r="A81" s="55" t="s">
        <v>171</v>
      </c>
      <c r="B81" s="26">
        <f>IF(702.20508="","-",702.20508)</f>
        <v>702.20508</v>
      </c>
      <c r="C81" s="26">
        <f>IF(OR(743.77215="",702.20508=""),"-",702.20508/743.77215*100)</f>
        <v>94.41131669154323</v>
      </c>
      <c r="D81" s="26">
        <f>IF(743.77215="","-",743.77215/1543712.83473*100)</f>
        <v>0.04818073240481206</v>
      </c>
      <c r="E81" s="26">
        <f>IF(702.20508="","-",702.20508/1792653.68414*100)</f>
        <v>0.0391712624815692</v>
      </c>
      <c r="F81" s="26">
        <f>IF(OR(1633636.53089="",628.93948="",743.77215=""),"-",(743.77215-628.93948)/1633636.53089*100)</f>
        <v>0.007029266781726504</v>
      </c>
      <c r="G81" s="26">
        <f>IF(OR(1543712.83473="",702.20508="",743.77215=""),"-",(702.20508-743.77215)/1543712.83473*100)</f>
        <v>-0.0026926685497999543</v>
      </c>
    </row>
    <row r="82" spans="1:7" s="9" customFormat="1" ht="15">
      <c r="A82" s="55" t="s">
        <v>156</v>
      </c>
      <c r="B82" s="26">
        <f>IF(688.45225="","-",688.45225)</f>
        <v>688.45225</v>
      </c>
      <c r="C82" s="26">
        <f>IF(OR(532.20672="",688.45225=""),"-",688.45225/532.20672*100)</f>
        <v>129.3580528257892</v>
      </c>
      <c r="D82" s="26">
        <f>IF(532.20672="","-",532.20672/1543712.83473*100)</f>
        <v>0.034475759223255055</v>
      </c>
      <c r="E82" s="26">
        <f>IF(688.45225="","-",688.45225/1792653.68414*100)</f>
        <v>0.03840408530051777</v>
      </c>
      <c r="F82" s="26">
        <f>IF(OR(1633636.53089="",233.31776="",532.20672=""),"-",(532.20672-233.31776)/1633636.53089*100)</f>
        <v>0.018295927787386475</v>
      </c>
      <c r="G82" s="26">
        <f>IF(OR(1543712.83473="",688.45225="",532.20672=""),"-",(688.45225-532.20672)/1543712.83473*100)</f>
        <v>0.010121411604855112</v>
      </c>
    </row>
    <row r="83" spans="1:7" s="9" customFormat="1" ht="15">
      <c r="A83" s="55" t="s">
        <v>169</v>
      </c>
      <c r="B83" s="26">
        <f>IF(591.6573="","-",591.6573)</f>
        <v>591.6573</v>
      </c>
      <c r="C83" s="26">
        <f>IF(OR(485.73259="",591.6573=""),"-",591.6573/485.73259*100)</f>
        <v>121.80720671841267</v>
      </c>
      <c r="D83" s="26">
        <f>IF(485.73259="","-",485.73259/1543712.83473*100)</f>
        <v>0.03146521678592872</v>
      </c>
      <c r="E83" s="26">
        <f>IF(591.6573="","-",591.6573/1792653.68414*100)</f>
        <v>0.033004551031497145</v>
      </c>
      <c r="F83" s="26">
        <f>IF(OR(1633636.53089="",1026.4313="",485.73259=""),"-",(485.73259-1026.4313)/1633636.53089*100)</f>
        <v>-0.03309785865925934</v>
      </c>
      <c r="G83" s="26">
        <f>IF(OR(1543712.83473="",591.6573="",485.73259=""),"-",(591.6573-485.73259)/1543712.83473*100)</f>
        <v>0.006861684868904163</v>
      </c>
    </row>
    <row r="84" spans="1:7" s="9" customFormat="1" ht="15">
      <c r="A84" s="55" t="s">
        <v>199</v>
      </c>
      <c r="B84" s="26">
        <f>IF(574.4631="","-",574.4631)</f>
        <v>574.4631</v>
      </c>
      <c r="C84" s="26" t="s">
        <v>258</v>
      </c>
      <c r="D84" s="26">
        <f>IF(0.11843="","-",0.11843/1543712.83473*100)</f>
        <v>7.671763642537425E-06</v>
      </c>
      <c r="E84" s="26">
        <f>IF(574.4631="","-",574.4631/1792653.68414*100)</f>
        <v>0.03204540314074051</v>
      </c>
      <c r="F84" s="26">
        <f>IF(OR(1633636.53089="",23.36058="",0.11843=""),"-",(0.11843-23.36058)/1633636.53089*100)</f>
        <v>-0.0014227246734827695</v>
      </c>
      <c r="G84" s="26">
        <f>IF(OR(1543712.83473="",574.4631="",0.11843=""),"-",(574.4631-0.11843)/1543712.83473*100)</f>
        <v>0.0372054087443313</v>
      </c>
    </row>
    <row r="85" spans="1:7" s="9" customFormat="1" ht="15">
      <c r="A85" s="55" t="s">
        <v>172</v>
      </c>
      <c r="B85" s="26">
        <f>IF(545.92053="","-",545.92053)</f>
        <v>545.92053</v>
      </c>
      <c r="C85" s="26">
        <f>IF(OR(559.71272="",545.92053=""),"-",545.92053/559.71272*100)</f>
        <v>97.53584481696252</v>
      </c>
      <c r="D85" s="26">
        <f>IF(559.71272="","-",559.71272/1543712.83473*100)</f>
        <v>0.03625756730188069</v>
      </c>
      <c r="E85" s="26">
        <f>IF(545.92053="","-",545.92053/1792653.68414*100)</f>
        <v>0.030453206597006354</v>
      </c>
      <c r="F85" s="26">
        <f>IF(OR(1633636.53089="",721.29334="",559.71272=""),"-",(559.71272-721.29334)/1633636.53089*100)</f>
        <v>-0.00989085496955503</v>
      </c>
      <c r="G85" s="26">
        <f>IF(OR(1543712.83473="",545.92053="",559.71272=""),"-",(545.92053-559.71272)/1543712.83473*100)</f>
        <v>-0.0008934427239125923</v>
      </c>
    </row>
    <row r="86" spans="1:7" s="9" customFormat="1" ht="15">
      <c r="A86" s="55" t="s">
        <v>177</v>
      </c>
      <c r="B86" s="26">
        <f>IF(513.47923="","-",513.47923)</f>
        <v>513.47923</v>
      </c>
      <c r="C86" s="26">
        <f>IF(OR(381.50892="",513.47923=""),"-",513.47923/381.50892*100)</f>
        <v>134.59167088413034</v>
      </c>
      <c r="D86" s="26">
        <f>IF(381.50892="","-",381.50892/1543712.83473*100)</f>
        <v>0.024713723395758842</v>
      </c>
      <c r="E86" s="26">
        <f>IF(513.47923="","-",513.47923/1792653.68414*100)</f>
        <v>0.028643526328752913</v>
      </c>
      <c r="F86" s="26">
        <f>IF(OR(1633636.53089="",177.83263="",381.50892=""),"-",(381.50892-177.83263)/1633636.53089*100)</f>
        <v>0.012467662552149088</v>
      </c>
      <c r="G86" s="26">
        <f>IF(OR(1543712.83473="",513.47923="",381.50892=""),"-",(513.47923-381.50892)/1543712.83473*100)</f>
        <v>0.008548889860275214</v>
      </c>
    </row>
    <row r="87" spans="1:7" s="9" customFormat="1" ht="15">
      <c r="A87" s="55" t="s">
        <v>178</v>
      </c>
      <c r="B87" s="26">
        <f>IF(396.81541="","-",396.81541)</f>
        <v>396.81541</v>
      </c>
      <c r="C87" s="26" t="s">
        <v>186</v>
      </c>
      <c r="D87" s="26">
        <f>IF(158.91576="","-",158.91576/1543712.83473*100)</f>
        <v>0.010294386133532073</v>
      </c>
      <c r="E87" s="26">
        <f>IF(396.81541="","-",396.81541/1792653.68414*100)</f>
        <v>0.02213564245624868</v>
      </c>
      <c r="F87" s="26">
        <f>IF(OR(1633636.53089="",386.31901="",158.91576=""),"-",(158.91576-386.31901)/1633636.53089*100)</f>
        <v>-0.013920063961602976</v>
      </c>
      <c r="G87" s="26">
        <f>IF(OR(1543712.83473="",396.81541="",158.91576=""),"-",(396.81541-158.91576)/1543712.83473*100)</f>
        <v>0.015410874655428342</v>
      </c>
    </row>
    <row r="88" spans="1:7" s="9" customFormat="1" ht="15">
      <c r="A88" s="55" t="s">
        <v>174</v>
      </c>
      <c r="B88" s="26">
        <f>IF(368.74803="","-",368.74803)</f>
        <v>368.74803</v>
      </c>
      <c r="C88" s="26">
        <f>IF(OR(462.65973="",368.74803=""),"-",368.74803/462.65973*100)</f>
        <v>79.70177780547272</v>
      </c>
      <c r="D88" s="26">
        <f>IF(462.65973="","-",462.65973/1543712.83473*100)</f>
        <v>0.02997058258448182</v>
      </c>
      <c r="E88" s="26">
        <f>IF(368.74803="","-",368.74803/1792653.68414*100)</f>
        <v>0.020569953542192487</v>
      </c>
      <c r="F88" s="26">
        <f>IF(OR(1633636.53089="",924.10944="",462.65973=""),"-",(462.65973-924.10944)/1633636.53089*100)</f>
        <v>-0.028246779578845707</v>
      </c>
      <c r="G88" s="26">
        <f>IF(OR(1543712.83473="",368.74803="",462.65973=""),"-",(368.74803-462.65973)/1543712.83473*100)</f>
        <v>-0.006083495445992417</v>
      </c>
    </row>
    <row r="89" spans="1:7" s="9" customFormat="1" ht="15">
      <c r="A89" s="55" t="s">
        <v>116</v>
      </c>
      <c r="B89" s="26">
        <f>IF(361.84205="","-",361.84205)</f>
        <v>361.84205</v>
      </c>
      <c r="C89" s="26">
        <f>IF(OR(1516.3186="",361.84205=""),"-",361.84205/1516.3186*100)</f>
        <v>23.8631940543366</v>
      </c>
      <c r="D89" s="26">
        <f>IF(1516.3186="","-",1516.3186/1543712.83473*100)</f>
        <v>0.09822543195122224</v>
      </c>
      <c r="E89" s="26">
        <f>IF(361.84205="","-",361.84205/1792653.68414*100)</f>
        <v>0.020184715720682467</v>
      </c>
      <c r="F89" s="26">
        <f>IF(OR(1633636.53089="",1629.69205="",1516.3186=""),"-",(1516.3186-1629.69205)/1633636.53089*100)</f>
        <v>-0.006939943362936097</v>
      </c>
      <c r="G89" s="26">
        <f>IF(OR(1543712.83473="",361.84205="",1516.3186=""),"-",(361.84205-1516.3186)/1543712.83473*100)</f>
        <v>-0.07478570651399173</v>
      </c>
    </row>
    <row r="90" spans="1:7" s="9" customFormat="1" ht="15">
      <c r="A90" s="55" t="s">
        <v>179</v>
      </c>
      <c r="B90" s="26">
        <f>IF(348.0777="","-",348.0777)</f>
        <v>348.0777</v>
      </c>
      <c r="C90" s="26">
        <f>IF(OR(264.07828="",348.0777=""),"-",348.0777/264.07828*100)</f>
        <v>131.80853040999813</v>
      </c>
      <c r="D90" s="26">
        <f>IF(264.07828="","-",264.07828/1543712.83473*100)</f>
        <v>0.017106697182198923</v>
      </c>
      <c r="E90" s="26">
        <f>IF(348.0777="","-",348.0777/1792653.68414*100)</f>
        <v>0.019416895916903508</v>
      </c>
      <c r="F90" s="26">
        <f>IF(OR(1633636.53089="",1115.22831="",264.07828=""),"-",(264.07828-1115.22831)/1633636.53089*100)</f>
        <v>-0.052101554654651126</v>
      </c>
      <c r="G90" s="26">
        <f>IF(OR(1543712.83473="",348.0777="",264.07828=""),"-",(348.0777-264.07828)/1543712.83473*100)</f>
        <v>0.005441388975346036</v>
      </c>
    </row>
    <row r="91" spans="1:7" s="9" customFormat="1" ht="15">
      <c r="A91" s="55" t="s">
        <v>230</v>
      </c>
      <c r="B91" s="26">
        <f>IF(329.15176="","-",329.15176)</f>
        <v>329.15176</v>
      </c>
      <c r="C91" s="26" t="s">
        <v>248</v>
      </c>
      <c r="D91" s="26">
        <f>IF(97.43863="","-",97.43863/1543712.83473*100)</f>
        <v>0.006311966047561062</v>
      </c>
      <c r="E91" s="26">
        <f>IF(329.15176="","-",329.15176/1792653.68414*100)</f>
        <v>0.01836114598776539</v>
      </c>
      <c r="F91" s="26">
        <f>IF(OR(1633636.53089="",121.46148="",97.43863=""),"-",(97.43863-121.46148)/1633636.53089*100)</f>
        <v>-0.001470513761522731</v>
      </c>
      <c r="G91" s="26">
        <f>IF(OR(1543712.83473="",329.15176="",97.43863=""),"-",(329.15176-97.43863)/1543712.83473*100)</f>
        <v>0.01501011877254537</v>
      </c>
    </row>
    <row r="92" spans="1:7" s="9" customFormat="1" ht="15">
      <c r="A92" s="55" t="s">
        <v>173</v>
      </c>
      <c r="B92" s="26">
        <f>IF(319.14437="","-",319.14437)</f>
        <v>319.14437</v>
      </c>
      <c r="C92" s="26">
        <f>IF(OR(445.07761="",319.14437=""),"-",319.14437/445.07761*100)</f>
        <v>71.70533022319411</v>
      </c>
      <c r="D92" s="26">
        <f>IF(445.07761="","-",445.07761/1543712.83473*100)</f>
        <v>0.028831632411597162</v>
      </c>
      <c r="E92" s="26">
        <f>IF(319.14437="","-",319.14437/1792653.68414*100)</f>
        <v>0.01780290152099874</v>
      </c>
      <c r="F92" s="26">
        <f>IF(OR(1633636.53089="",890.55293="",445.07761=""),"-",(445.07761-890.55293)/1633636.53089*100)</f>
        <v>-0.027268937219303388</v>
      </c>
      <c r="G92" s="26">
        <f>IF(OR(1543712.83473="",319.14437="",445.07761=""),"-",(319.14437-445.07761)/1543712.83473*100)</f>
        <v>-0.008157815182123955</v>
      </c>
    </row>
    <row r="93" spans="1:7" ht="15">
      <c r="A93" s="55" t="s">
        <v>188</v>
      </c>
      <c r="B93" s="26">
        <f>IF(312.14739="","-",312.14739)</f>
        <v>312.14739</v>
      </c>
      <c r="C93" s="26">
        <f>IF(OR(205.62919="",312.14739=""),"-",312.14739/205.62919*100)</f>
        <v>151.80110858774475</v>
      </c>
      <c r="D93" s="26">
        <f>IF(205.62919="","-",205.62919/1543712.83473*100)</f>
        <v>0.013320430158628898</v>
      </c>
      <c r="E93" s="26">
        <f>IF(312.14739="","-",312.14739/1792653.68414*100)</f>
        <v>0.017412587426207098</v>
      </c>
      <c r="F93" s="26">
        <f>IF(OR(1633636.53089="",157.39266="",205.62919=""),"-",(205.62919-157.39266)/1633636.53089*100)</f>
        <v>0.002952708824019801</v>
      </c>
      <c r="G93" s="26">
        <f>IF(OR(1543712.83473="",312.14739="",205.62919=""),"-",(312.14739-205.62919)/1543712.83473*100)</f>
        <v>0.006900130490826056</v>
      </c>
    </row>
    <row r="94" spans="1:7" ht="15">
      <c r="A94" s="55" t="s">
        <v>161</v>
      </c>
      <c r="B94" s="26">
        <f>IF(302.36946="","-",302.36946)</f>
        <v>302.36946</v>
      </c>
      <c r="C94" s="26">
        <f>IF(OR(432.11461="",302.36946=""),"-",302.36946/432.11461*100)</f>
        <v>69.97436629138737</v>
      </c>
      <c r="D94" s="26">
        <f>IF(432.11461="","-",432.11461/1543712.83473*100)</f>
        <v>0.027991903693382076</v>
      </c>
      <c r="E94" s="26">
        <f>IF(302.36946="","-",302.36946/1792653.68414*100)</f>
        <v>0.016867142977761342</v>
      </c>
      <c r="F94" s="26">
        <f>IF(OR(1633636.53089="",263.50808="",432.11461=""),"-",(432.11461-263.50808)/1633636.53089*100)</f>
        <v>0.010320932888795264</v>
      </c>
      <c r="G94" s="26">
        <f>IF(OR(1543712.83473="",302.36946="",432.11461=""),"-",(302.36946-432.11461)/1543712.83473*100)</f>
        <v>-0.008404746471042513</v>
      </c>
    </row>
    <row r="95" spans="1:7" ht="15">
      <c r="A95" s="55" t="s">
        <v>175</v>
      </c>
      <c r="B95" s="26">
        <f>IF(294.73685="","-",294.73685)</f>
        <v>294.73685</v>
      </c>
      <c r="C95" s="26">
        <f>IF(OR(385.86901="",294.73685=""),"-",294.73685/385.86901*100)</f>
        <v>76.3826175105381</v>
      </c>
      <c r="D95" s="26">
        <f>IF(385.86901="","-",385.86901/1543712.83473*100)</f>
        <v>0.024996165175208224</v>
      </c>
      <c r="E95" s="26">
        <f>IF(294.73685="","-",294.73685/1792653.68414*100)</f>
        <v>0.016441371393013694</v>
      </c>
      <c r="F95" s="26">
        <f>IF(OR(1633636.53089="",432.39299="",385.86901=""),"-",(385.86901-432.39299)/1633636.53089*100)</f>
        <v>-0.0028478782838342797</v>
      </c>
      <c r="G95" s="26">
        <f>IF(OR(1543712.83473="",294.73685="",385.86901=""),"-",(294.73685-385.86901)/1543712.83473*100)</f>
        <v>-0.005903439937126602</v>
      </c>
    </row>
    <row r="96" spans="1:7" ht="15">
      <c r="A96" s="55" t="s">
        <v>139</v>
      </c>
      <c r="B96" s="26">
        <f>IF(280.99133="","-",280.99133)</f>
        <v>280.99133</v>
      </c>
      <c r="C96" s="26">
        <f>IF(OR(718.10223="",280.99133=""),"-",280.99133/718.10223*100)</f>
        <v>39.12971137828106</v>
      </c>
      <c r="D96" s="26">
        <f>IF(718.10223="","-",718.10223/1543712.83473*100)</f>
        <v>0.04651786354588405</v>
      </c>
      <c r="E96" s="26">
        <f>IF(280.99133="","-",280.99133/1792653.68414*100)</f>
        <v>0.01567460198732147</v>
      </c>
      <c r="F96" s="26">
        <f>IF(OR(1633636.53089="",325.43692="",718.10223=""),"-",(718.10223-325.43692)/1633636.53089*100)</f>
        <v>0.024036271384435627</v>
      </c>
      <c r="G96" s="26">
        <f>IF(OR(1543712.83473="",280.99133="",718.10223=""),"-",(280.99133-718.10223)/1543712.83473*100)</f>
        <v>-0.028315557801037002</v>
      </c>
    </row>
    <row r="97" spans="1:7" ht="15">
      <c r="A97" s="55" t="s">
        <v>204</v>
      </c>
      <c r="B97" s="26">
        <f>IF(228.97113="","-",228.97113)</f>
        <v>228.97113</v>
      </c>
      <c r="C97" s="26">
        <f>IF(OR(269.06109="",228.97113=""),"-",228.97113/269.06109*100)</f>
        <v>85.10005292850038</v>
      </c>
      <c r="D97" s="26">
        <f>IF(269.06109="","-",269.06109/1543712.83473*100)</f>
        <v>0.017429478070450814</v>
      </c>
      <c r="E97" s="26">
        <f>IF(228.97113="","-",228.97113/1792653.68414*100)</f>
        <v>0.01277274757672147</v>
      </c>
      <c r="F97" s="26">
        <f>IF(OR(1633636.53089="",197.86735="",269.06109=""),"-",(269.06109-197.86735)/1633636.53089*100)</f>
        <v>0.004357991429171449</v>
      </c>
      <c r="G97" s="26">
        <f>IF(OR(1543712.83473="",228.97113="",269.06109=""),"-",(228.97113-269.06109)/1543712.83473*100)</f>
        <v>-0.002596983007335807</v>
      </c>
    </row>
    <row r="98" spans="1:7" ht="15">
      <c r="A98" s="55" t="s">
        <v>160</v>
      </c>
      <c r="B98" s="26">
        <f>IF(219.97355="","-",219.97355)</f>
        <v>219.97355</v>
      </c>
      <c r="C98" s="26">
        <f>IF(OR(742.93421="",219.97355=""),"-",219.97355/742.93421*100)</f>
        <v>29.608752301230005</v>
      </c>
      <c r="D98" s="26">
        <f>IF(742.93421="","-",742.93421/1543712.83473*100)</f>
        <v>0.048126451583849233</v>
      </c>
      <c r="E98" s="26">
        <f>IF(219.97355="","-",219.97355/1792653.68414*100)</f>
        <v>0.012270833566246185</v>
      </c>
      <c r="F98" s="26">
        <f>IF(OR(1633636.53089="",1229.8091="",742.93421=""),"-",(742.93421-1229.8091)/1633636.53089*100)</f>
        <v>-0.02980313434437904</v>
      </c>
      <c r="G98" s="26">
        <f>IF(OR(1543712.83473="",219.97355="",742.93421=""),"-",(219.97355-742.93421)/1543712.83473*100)</f>
        <v>-0.03387680974301593</v>
      </c>
    </row>
    <row r="99" spans="1:7" ht="15">
      <c r="A99" s="55" t="s">
        <v>208</v>
      </c>
      <c r="B99" s="26">
        <f>IF(193.62265="","-",193.62265)</f>
        <v>193.62265</v>
      </c>
      <c r="C99" s="26" t="s">
        <v>213</v>
      </c>
      <c r="D99" s="26">
        <f>IF(99.62201="","-",99.62201/1543712.83473*100)</f>
        <v>0.0064534029748754525</v>
      </c>
      <c r="E99" s="26">
        <f>IF(193.62265="","-",193.62265/1792653.68414*100)</f>
        <v>0.010800895438590398</v>
      </c>
      <c r="F99" s="26">
        <f>IF(OR(1633636.53089="",39.39233="",99.62201=""),"-",(99.62201-39.39233)/1633636.53089*100)</f>
        <v>0.0036868470348901334</v>
      </c>
      <c r="G99" s="26">
        <f>IF(OR(1543712.83473="",193.62265="",99.62201=""),"-",(193.62265-99.62201)/1543712.83473*100)</f>
        <v>0.006089256880243597</v>
      </c>
    </row>
    <row r="100" spans="1:7" ht="15">
      <c r="A100" s="55" t="s">
        <v>202</v>
      </c>
      <c r="B100" s="26">
        <f>IF(132.71572="","-",132.71572)</f>
        <v>132.71572</v>
      </c>
      <c r="C100" s="26" t="s">
        <v>259</v>
      </c>
      <c r="D100" s="26">
        <f>IF(5.24822="","-",5.24822/1543712.83473*100)</f>
        <v>0.00033997385277410934</v>
      </c>
      <c r="E100" s="26">
        <f>IF(132.71572="","-",132.71572/1792653.68414*100)</f>
        <v>0.007403310587770804</v>
      </c>
      <c r="F100" s="26">
        <f>IF(OR(1633636.53089="",410.86618="",5.24822=""),"-",(5.24822-410.86618)/1633636.53089*100)</f>
        <v>-0.02482914359040567</v>
      </c>
      <c r="G100" s="26">
        <f>IF(OR(1543712.83473="",132.71572="",5.24822=""),"-",(132.71572-5.24822)/1543712.83473*100)</f>
        <v>0.008257202838006749</v>
      </c>
    </row>
    <row r="101" spans="1:7" ht="15">
      <c r="A101" s="55" t="s">
        <v>189</v>
      </c>
      <c r="B101" s="26">
        <f>IF(128.85182="","-",128.85182)</f>
        <v>128.85182</v>
      </c>
      <c r="C101" s="26" t="s">
        <v>181</v>
      </c>
      <c r="D101" s="26">
        <f>IF(45.35135="","-",45.35135/1543712.83473*100)</f>
        <v>0.002937809998057837</v>
      </c>
      <c r="E101" s="26">
        <f>IF(128.85182="","-",128.85182/1792653.68414*100)</f>
        <v>0.007187769792904246</v>
      </c>
      <c r="F101" s="26">
        <f>IF(OR(1633636.53089="",48.8114="",45.35135=""),"-",(45.35135-48.8114)/1633636.53089*100)</f>
        <v>-0.0002118004791503394</v>
      </c>
      <c r="G101" s="26">
        <f>IF(OR(1543712.83473="",128.85182="",45.35135=""),"-",(128.85182-45.35135)/1543712.83473*100)</f>
        <v>0.005409067549445133</v>
      </c>
    </row>
    <row r="102" spans="1:7" ht="15">
      <c r="A102" s="55" t="s">
        <v>187</v>
      </c>
      <c r="B102" s="26">
        <f>IF(128.2835="","-",128.2835)</f>
        <v>128.2835</v>
      </c>
      <c r="C102" s="26" t="s">
        <v>210</v>
      </c>
      <c r="D102" s="26">
        <f>IF(71.23684="","-",71.23684/1543712.83473*100)</f>
        <v>0.004614643241756783</v>
      </c>
      <c r="E102" s="26">
        <f>IF(128.2835="","-",128.2835/1792653.68414*100)</f>
        <v>0.007156067071679948</v>
      </c>
      <c r="F102" s="26">
        <f>IF(OR(1633636.53089="",34.52235="",71.23684=""),"-",(71.23684-34.52235)/1633636.53089*100)</f>
        <v>0.0022474087292843566</v>
      </c>
      <c r="G102" s="26">
        <f>IF(OR(1543712.83473="",128.2835="",71.23684=""),"-",(128.2835-71.23684)/1543712.83473*100)</f>
        <v>0.0036954191684218022</v>
      </c>
    </row>
    <row r="103" spans="1:7" ht="15">
      <c r="A103" s="55" t="s">
        <v>243</v>
      </c>
      <c r="B103" s="26">
        <f>IF(76.15294="","-",76.15294)</f>
        <v>76.15294</v>
      </c>
      <c r="C103" s="26">
        <f>IF(OR(59.79455="",76.15294=""),"-",76.15294/59.79455*100)</f>
        <v>127.35766052257271</v>
      </c>
      <c r="D103" s="26">
        <f>IF(59.79455="","-",59.79455/1543712.83473*100)</f>
        <v>0.0038734244254993353</v>
      </c>
      <c r="E103" s="26">
        <f>IF(76.15294="","-",76.15294/1792653.68414*100)</f>
        <v>0.004248056424603466</v>
      </c>
      <c r="F103" s="26">
        <f>IF(OR(1633636.53089="",23.86083="",59.79455=""),"-",(59.79455-23.86083)/1633636.53089*100)</f>
        <v>0.002199615356325524</v>
      </c>
      <c r="G103" s="26">
        <f>IF(OR(1543712.83473="",76.15294="",59.79455=""),"-",(76.15294-59.79455)/1543712.83473*100)</f>
        <v>0.0010596783049265203</v>
      </c>
    </row>
    <row r="104" spans="1:7" ht="15">
      <c r="A104" s="55" t="s">
        <v>222</v>
      </c>
      <c r="B104" s="26">
        <f>IF(67.67332="","-",67.67332)</f>
        <v>67.67332</v>
      </c>
      <c r="C104" s="26" t="s">
        <v>33</v>
      </c>
      <c r="D104" s="26">
        <f>IF(20.89212="","-",20.89212/1543712.83473*100)</f>
        <v>0.001353368290395415</v>
      </c>
      <c r="E104" s="26">
        <f>IF(67.67332="","-",67.67332/1792653.68414*100)</f>
        <v>0.0037750358922484972</v>
      </c>
      <c r="F104" s="26">
        <f>IF(OR(1633636.53089="",10.93361="",20.89212=""),"-",(20.89212-10.93361)/1633636.53089*100)</f>
        <v>0.0006095915346955809</v>
      </c>
      <c r="G104" s="26">
        <f>IF(OR(1543712.83473="",67.67332="",20.89212=""),"-",(67.67332-20.89212)/1543712.83473*100)</f>
        <v>0.003030434090300362</v>
      </c>
    </row>
    <row r="105" spans="1:7" ht="15">
      <c r="A105" s="55" t="s">
        <v>223</v>
      </c>
      <c r="B105" s="26">
        <f>IF(61.10502="","-",61.10502)</f>
        <v>61.10502</v>
      </c>
      <c r="C105" s="26">
        <f>IF(OR(102.18415="",61.10502=""),"-",61.10502/102.18415*100)</f>
        <v>59.79892184844714</v>
      </c>
      <c r="D105" s="26">
        <f>IF(102.18415="","-",102.18415/1543712.83473*100)</f>
        <v>0.006619375553606271</v>
      </c>
      <c r="E105" s="26">
        <f>IF(61.10502="","-",61.10502/1792653.68414*100)</f>
        <v>0.0034086349494388967</v>
      </c>
      <c r="F105" s="26">
        <f>IF(OR(1633636.53089="",200.27607="",102.18415=""),"-",(102.18415-200.27607)/1633636.53089*100)</f>
        <v>-0.006004513130381569</v>
      </c>
      <c r="G105" s="26">
        <f>IF(OR(1543712.83473="",61.10502="",102.18415=""),"-",(61.10502-102.18415)/1543712.83473*100)</f>
        <v>-0.0026610603394500417</v>
      </c>
    </row>
    <row r="106" spans="1:7" ht="15">
      <c r="A106" s="55" t="s">
        <v>244</v>
      </c>
      <c r="B106" s="26">
        <f>IF(58.45775="","-",58.45775)</f>
        <v>58.45775</v>
      </c>
      <c r="C106" s="26">
        <f>IF(OR(42.0565="",58.45775=""),"-",58.45775/42.0565*100)</f>
        <v>138.9981334633172</v>
      </c>
      <c r="D106" s="26">
        <f>IF(42.0565="","-",42.0565/1543712.83473*100)</f>
        <v>0.002724373280692183</v>
      </c>
      <c r="E106" s="26">
        <f>IF(58.45775="","-",58.45775/1792653.68414*100)</f>
        <v>0.0032609616970187003</v>
      </c>
      <c r="F106" s="26">
        <f>IF(OR(1633636.53089="",14.74976="",42.0565=""),"-",(42.0565-14.74976)/1633636.53089*100)</f>
        <v>0.0016715309362678962</v>
      </c>
      <c r="G106" s="26">
        <f>IF(OR(1543712.83473="",58.45775="",42.0565=""),"-",(58.45775-42.0565)/1543712.83473*100)</f>
        <v>0.0010624547280432908</v>
      </c>
    </row>
    <row r="107" spans="1:7" ht="15">
      <c r="A107" s="55" t="s">
        <v>224</v>
      </c>
      <c r="B107" s="26">
        <f>IF(54.8964="","-",54.8964)</f>
        <v>54.8964</v>
      </c>
      <c r="C107" s="26" t="str">
        <f>IF(OR(""="",54.8964=""),"-",54.8964/""*100)</f>
        <v>-</v>
      </c>
      <c r="D107" s="26" t="str">
        <f>IF(""="","-",""/1543712.83473*100)</f>
        <v>-</v>
      </c>
      <c r="E107" s="26">
        <f>IF(54.8964="","-",54.8964/1792653.68414*100)</f>
        <v>0.0030622981162329614</v>
      </c>
      <c r="F107" s="26" t="str">
        <f>IF(OR(1633636.53089="",""="",""=""),"-",(""-"")/1633636.53089*100)</f>
        <v>-</v>
      </c>
      <c r="G107" s="26" t="str">
        <f>IF(OR(1543712.83473="",54.8964="",""=""),"-",(54.8964-"")/1543712.83473*100)</f>
        <v>-</v>
      </c>
    </row>
    <row r="108" spans="1:7" ht="15">
      <c r="A108" s="57" t="s">
        <v>144</v>
      </c>
      <c r="B108" s="26">
        <f>IF(47.99716="","-",47.99716)</f>
        <v>47.99716</v>
      </c>
      <c r="C108" s="26" t="s">
        <v>209</v>
      </c>
      <c r="D108" s="26">
        <f>IF(16.07209="","-",16.07209/1543712.83473*100)</f>
        <v>0.001041132109445152</v>
      </c>
      <c r="E108" s="26">
        <f>IF(47.99716="","-",47.99716/1792653.68414*100)</f>
        <v>0.0026774362736451214</v>
      </c>
      <c r="F108" s="26">
        <f>IF(OR(1633636.53089="",10.54314="",16.07209=""),"-",(16.07209-10.54314)/1633636.53089*100)</f>
        <v>0.000338444317046941</v>
      </c>
      <c r="G108" s="26">
        <f>IF(OR(1543712.83473="",47.99716="",16.07209=""),"-",(47.99716-16.07209)/1543712.83473*100)</f>
        <v>0.002068070516857741</v>
      </c>
    </row>
    <row r="109" spans="1:7" ht="15">
      <c r="A109" s="34" t="s">
        <v>28</v>
      </c>
      <c r="B109" s="34"/>
      <c r="C109" s="34"/>
      <c r="D109" s="34"/>
      <c r="E109" s="34"/>
      <c r="F109" s="34"/>
      <c r="G109" s="34"/>
    </row>
  </sheetData>
  <sheetProtection/>
  <mergeCells count="10">
    <mergeCell ref="A109:G109"/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19"/>
  <sheetViews>
    <sheetView zoomScalePageLayoutView="0" workbookViewId="0" topLeftCell="A1">
      <selection activeCell="A1" sqref="A1:D1"/>
    </sheetView>
  </sheetViews>
  <sheetFormatPr defaultColWidth="9.00390625" defaultRowHeight="15.75"/>
  <cols>
    <col min="1" max="1" width="45.875" style="0" customWidth="1"/>
    <col min="2" max="3" width="14.125" style="0" customWidth="1"/>
    <col min="4" max="4" width="14.875" style="0" customWidth="1"/>
  </cols>
  <sheetData>
    <row r="1" spans="1:4" ht="15.75">
      <c r="A1" s="35" t="s">
        <v>262</v>
      </c>
      <c r="B1" s="35"/>
      <c r="C1" s="35"/>
      <c r="D1" s="35"/>
    </row>
    <row r="2" ht="10.5" customHeight="1">
      <c r="A2" s="4"/>
    </row>
    <row r="3" spans="1:5" ht="21.75" customHeight="1">
      <c r="A3" s="43"/>
      <c r="B3" s="46" t="s">
        <v>235</v>
      </c>
      <c r="C3" s="40"/>
      <c r="D3" s="41" t="s">
        <v>236</v>
      </c>
      <c r="E3" s="1"/>
    </row>
    <row r="4" spans="1:5" ht="23.25" customHeight="1">
      <c r="A4" s="44"/>
      <c r="B4" s="13">
        <v>2016</v>
      </c>
      <c r="C4" s="12">
        <v>2017</v>
      </c>
      <c r="D4" s="47"/>
      <c r="E4" s="1"/>
    </row>
    <row r="5" spans="1:4" ht="17.25" customHeight="1">
      <c r="A5" s="52" t="s">
        <v>196</v>
      </c>
      <c r="B5" s="24">
        <f>IF(-795759.38146="","-",-795759.38146)</f>
        <v>-795759.38146</v>
      </c>
      <c r="C5" s="24">
        <f>IF(-935467.64186="","-",-935467.64186)</f>
        <v>-935467.64186</v>
      </c>
      <c r="D5" s="27">
        <f>IF(-795759.38146="","-",-935467.64186/-795759.38146*100)</f>
        <v>117.55659608356407</v>
      </c>
    </row>
    <row r="6" spans="1:4" ht="15">
      <c r="A6" s="53" t="s">
        <v>31</v>
      </c>
      <c r="B6" s="19"/>
      <c r="C6" s="21"/>
      <c r="D6" s="22"/>
    </row>
    <row r="7" spans="1:4" ht="15">
      <c r="A7" s="58" t="s">
        <v>4</v>
      </c>
      <c r="B7" s="25">
        <f>IF(-278650.12068="","-",-278650.12068)</f>
        <v>-278650.12068</v>
      </c>
      <c r="C7" s="25">
        <f>IF(-335624.19016="","-",-335624.19016)</f>
        <v>-335624.19016</v>
      </c>
      <c r="D7" s="28">
        <f>IF(-278650.12068="","-",-335624.19016/-278650.12068*100)</f>
        <v>120.44645426349147</v>
      </c>
    </row>
    <row r="8" spans="1:4" ht="15">
      <c r="A8" s="55" t="s">
        <v>7</v>
      </c>
      <c r="B8" s="26">
        <f>IF(-73892.43334="","-",-73892.43334)</f>
        <v>-73892.43334</v>
      </c>
      <c r="C8" s="26">
        <f>IF(-84277.2115="","-",-84277.2115)</f>
        <v>-84277.2115</v>
      </c>
      <c r="D8" s="29">
        <f>IF(OR(-73892.43334="",-84277.2115="",-73892.43334=0),"-",-84277.2115/-73892.43334*100)</f>
        <v>114.05391281704948</v>
      </c>
    </row>
    <row r="9" spans="1:4" ht="15">
      <c r="A9" s="55" t="s">
        <v>6</v>
      </c>
      <c r="B9" s="26">
        <f>IF(-36835.86574="","-",-36835.86574)</f>
        <v>-36835.86574</v>
      </c>
      <c r="C9" s="26">
        <f>IF(-49953.14896="","-",-49953.14896)</f>
        <v>-49953.14896</v>
      </c>
      <c r="D9" s="29">
        <f>IF(OR(-36835.86574="",-49953.14896="",-36835.86574=0),"-",-49953.14896/-36835.86574*100)</f>
        <v>135.6100853244124</v>
      </c>
    </row>
    <row r="10" spans="1:4" ht="15">
      <c r="A10" s="55" t="s">
        <v>5</v>
      </c>
      <c r="B10" s="26">
        <f>IF(-16396.1342="","-",-16396.1342)</f>
        <v>-16396.1342</v>
      </c>
      <c r="C10" s="26">
        <f>IF(-37798.31864="","-",-37798.31864)</f>
        <v>-37798.31864</v>
      </c>
      <c r="D10" s="29">
        <f>IF(OR(-16396.1342="",-37798.31864="",-16396.1342=0),"-",-37798.31864/-16396.1342*100)</f>
        <v>230.53189354841948</v>
      </c>
    </row>
    <row r="11" spans="1:4" ht="15">
      <c r="A11" s="55" t="s">
        <v>197</v>
      </c>
      <c r="B11" s="26">
        <f>IF(-23990.70333="","-",-23990.70333)</f>
        <v>-23990.70333</v>
      </c>
      <c r="C11" s="26">
        <f>IF(-36135.04237="","-",-36135.04237)</f>
        <v>-36135.04237</v>
      </c>
      <c r="D11" s="29">
        <f>IF(OR(-23990.70333="",-36135.04237="",-23990.70333=0),"-",-36135.04237/-23990.70333*100)</f>
        <v>150.62102128874938</v>
      </c>
    </row>
    <row r="12" spans="1:4" ht="15">
      <c r="A12" s="55" t="s">
        <v>121</v>
      </c>
      <c r="B12" s="26">
        <f>IF(-28786.33109="","-",-28786.33109)</f>
        <v>-28786.33109</v>
      </c>
      <c r="C12" s="26">
        <f>IF(-34978.3941="","-",-34978.3941)</f>
        <v>-34978.3941</v>
      </c>
      <c r="D12" s="29">
        <f>IF(OR(-28786.33109="",-34978.3941="",-28786.33109=0),"-",-34978.3941/-28786.33109*100)</f>
        <v>121.5104279549923</v>
      </c>
    </row>
    <row r="13" spans="1:4" ht="15">
      <c r="A13" s="55" t="s">
        <v>8</v>
      </c>
      <c r="B13" s="26">
        <f>IF(-20246.83584="","-",-20246.83584)</f>
        <v>-20246.83584</v>
      </c>
      <c r="C13" s="26">
        <f>IF(-28490.35166="","-",-28490.35166)</f>
        <v>-28490.35166</v>
      </c>
      <c r="D13" s="29">
        <f>IF(OR(-20246.83584="",-28490.35166="",-20246.83584=0),"-",-28490.35166/-20246.83584*100)</f>
        <v>140.71508202636764</v>
      </c>
    </row>
    <row r="14" spans="1:4" ht="15">
      <c r="A14" s="55" t="s">
        <v>11</v>
      </c>
      <c r="B14" s="26">
        <f>IF(-21540.46612="","-",-21540.46612)</f>
        <v>-21540.46612</v>
      </c>
      <c r="C14" s="26">
        <f>IF(-15356.96252="","-",-15356.96252)</f>
        <v>-15356.96252</v>
      </c>
      <c r="D14" s="29">
        <f>IF(OR(-21540.46612="",-15356.96252="",-21540.46612=0),"-",-15356.96252/-21540.46612*100)</f>
        <v>71.29354784825797</v>
      </c>
    </row>
    <row r="15" spans="1:4" ht="15">
      <c r="A15" s="55" t="s">
        <v>119</v>
      </c>
      <c r="B15" s="26">
        <f>IF(-20707.84222="","-",-20707.84222)</f>
        <v>-20707.84222</v>
      </c>
      <c r="C15" s="26">
        <f>IF(-15237.2181="","-",-15237.2181)</f>
        <v>-15237.2181</v>
      </c>
      <c r="D15" s="29">
        <f>IF(OR(-20707.84222="",-15237.2181="",-20707.84222=0),"-",-15237.2181/-20707.84222*100)</f>
        <v>73.5818726940252</v>
      </c>
    </row>
    <row r="16" spans="1:4" ht="15">
      <c r="A16" s="55" t="s">
        <v>10</v>
      </c>
      <c r="B16" s="26">
        <f>IF(-8103.78804="","-",-8103.78804)</f>
        <v>-8103.78804</v>
      </c>
      <c r="C16" s="26">
        <f>IF(-12566.9016="","-",-12566.9016)</f>
        <v>-12566.9016</v>
      </c>
      <c r="D16" s="29">
        <f>IF(OR(-8103.78804="",-12566.9016="",-8103.78804=0),"-",-12566.9016/-8103.78804*100)</f>
        <v>155.0744113489918</v>
      </c>
    </row>
    <row r="17" spans="1:4" ht="15">
      <c r="A17" s="55" t="s">
        <v>120</v>
      </c>
      <c r="B17" s="26">
        <f>IF(-8448.25216="","-",-8448.25216)</f>
        <v>-8448.25216</v>
      </c>
      <c r="C17" s="26">
        <f>IF(-9508.93965="","-",-9508.93965)</f>
        <v>-9508.93965</v>
      </c>
      <c r="D17" s="29">
        <f>IF(OR(-8448.25216="",-9508.93965="",-8448.25216=0),"-",-9508.93965/-8448.25216*100)</f>
        <v>112.55511163625116</v>
      </c>
    </row>
    <row r="18" spans="1:4" ht="15">
      <c r="A18" s="55" t="s">
        <v>13</v>
      </c>
      <c r="B18" s="26">
        <f>IF(-8021.45845="","-",-8021.45845)</f>
        <v>-8021.45845</v>
      </c>
      <c r="C18" s="26">
        <f>IF(-8678.10222="","-",-8678.10222)</f>
        <v>-8678.10222</v>
      </c>
      <c r="D18" s="29">
        <f>IF(OR(-8021.45845="",-8678.10222="",-8021.45845=0),"-",-8678.10222/-8021.45845*100)</f>
        <v>108.18608952590164</v>
      </c>
    </row>
    <row r="19" spans="1:4" ht="15">
      <c r="A19" s="55" t="s">
        <v>129</v>
      </c>
      <c r="B19" s="26">
        <f>IF(-7036.94097="","-",-7036.94097)</f>
        <v>-7036.94097</v>
      </c>
      <c r="C19" s="26">
        <f>IF(-6673.24149="","-",-6673.24149)</f>
        <v>-6673.24149</v>
      </c>
      <c r="D19" s="29">
        <f>IF(OR(-7036.94097="",-6673.24149="",-7036.94097=0),"-",-6673.24149/-7036.94097*100)</f>
        <v>94.83156841089718</v>
      </c>
    </row>
    <row r="20" spans="1:4" ht="15">
      <c r="A20" s="55" t="s">
        <v>131</v>
      </c>
      <c r="B20" s="26">
        <f>IF(-4627.68842="","-",-4627.68842)</f>
        <v>-4627.68842</v>
      </c>
      <c r="C20" s="26">
        <f>IF(-5681.88501="","-",-5681.88501)</f>
        <v>-5681.88501</v>
      </c>
      <c r="D20" s="29">
        <f>IF(OR(-4627.68842="",-5681.88501="",-4627.68842=0),"-",-5681.88501/-4627.68842*100)</f>
        <v>122.78019811022627</v>
      </c>
    </row>
    <row r="21" spans="1:4" ht="15">
      <c r="A21" s="55" t="s">
        <v>127</v>
      </c>
      <c r="B21" s="26">
        <f>IF(-4141.56802="","-",-4141.56802)</f>
        <v>-4141.56802</v>
      </c>
      <c r="C21" s="26">
        <f>IF(-5243.05648="","-",-5243.05648)</f>
        <v>-5243.05648</v>
      </c>
      <c r="D21" s="29">
        <f>IF(OR(-4141.56802="",-5243.05648="",-4141.56802=0),"-",-5243.05648/-4141.56802*100)</f>
        <v>126.59592827356245</v>
      </c>
    </row>
    <row r="22" spans="1:6" ht="15">
      <c r="A22" s="55" t="s">
        <v>123</v>
      </c>
      <c r="B22" s="26">
        <f>IF(-3180.32646="","-",-3180.32646)</f>
        <v>-3180.32646</v>
      </c>
      <c r="C22" s="26">
        <f>IF(-5139.03068="","-",-5139.03068)</f>
        <v>-5139.03068</v>
      </c>
      <c r="D22" s="29" t="s">
        <v>212</v>
      </c>
      <c r="F22" t="s">
        <v>228</v>
      </c>
    </row>
    <row r="23" spans="1:4" ht="15">
      <c r="A23" s="55" t="s">
        <v>130</v>
      </c>
      <c r="B23" s="26">
        <f>IF(-4823.58759="","-",-4823.58759)</f>
        <v>-4823.58759</v>
      </c>
      <c r="C23" s="26">
        <f>IF(-4579.29454="","-",-4579.29454)</f>
        <v>-4579.29454</v>
      </c>
      <c r="D23" s="29">
        <f>IF(OR(-4823.58759="",-4579.29454="",-4823.58759=0),"-",-4579.29454/-4823.58759*100)</f>
        <v>94.93544907308296</v>
      </c>
    </row>
    <row r="24" spans="1:4" ht="15">
      <c r="A24" s="55" t="s">
        <v>128</v>
      </c>
      <c r="B24" s="26">
        <f>IF(-2745.4882="","-",-2745.4882)</f>
        <v>-2745.4882</v>
      </c>
      <c r="C24" s="26">
        <f>IF(-3252.20721="","-",-3252.20721)</f>
        <v>-3252.20721</v>
      </c>
      <c r="D24" s="29">
        <f>IF(OR(-2745.4882="",-3252.20721="",-2745.4882=0),"-",-3252.20721/-2745.4882*100)</f>
        <v>118.45642643811036</v>
      </c>
    </row>
    <row r="25" spans="1:4" ht="15">
      <c r="A25" s="55" t="s">
        <v>132</v>
      </c>
      <c r="B25" s="26">
        <f>IF(-1813.44448="","-",-1813.44448)</f>
        <v>-1813.44448</v>
      </c>
      <c r="C25" s="26">
        <f>IF(-1983.55325="","-",-1983.55325)</f>
        <v>-1983.55325</v>
      </c>
      <c r="D25" s="29">
        <f>IF(OR(-1813.44448="",-1983.55325="",-1813.44448=0),"-",-1983.55325/-1813.44448*100)</f>
        <v>109.38042338081395</v>
      </c>
    </row>
    <row r="26" spans="1:4" ht="15">
      <c r="A26" s="55" t="s">
        <v>122</v>
      </c>
      <c r="B26" s="26">
        <f>IF(-2243.20531="","-",-2243.20531)</f>
        <v>-2243.20531</v>
      </c>
      <c r="C26" s="26">
        <f>IF(-1117.7554="","-",-1117.7554)</f>
        <v>-1117.7554</v>
      </c>
      <c r="D26" s="29">
        <f>IF(OR(-2243.20531="",-1117.7554="",-2243.20531=0),"-",-1117.7554/-2243.20531*100)</f>
        <v>49.82849296126176</v>
      </c>
    </row>
    <row r="27" spans="1:4" ht="15">
      <c r="A27" s="55" t="s">
        <v>124</v>
      </c>
      <c r="B27" s="26">
        <f>IF(-1164.30217="","-",-1164.30217)</f>
        <v>-1164.30217</v>
      </c>
      <c r="C27" s="26">
        <f>IF(-995.95134="","-",-995.95134)</f>
        <v>-995.95134</v>
      </c>
      <c r="D27" s="29">
        <f>IF(OR(-1164.30217="",-995.95134="",-1164.30217=0),"-",-995.95134/-1164.30217*100)</f>
        <v>85.54062387429889</v>
      </c>
    </row>
    <row r="28" spans="1:4" ht="15">
      <c r="A28" s="55" t="s">
        <v>133</v>
      </c>
      <c r="B28" s="26">
        <f>IF(-632.94546="","-",-632.94546)</f>
        <v>-632.94546</v>
      </c>
      <c r="C28" s="26">
        <f>IF(-933.5575="","-",-933.5575)</f>
        <v>-933.5575</v>
      </c>
      <c r="D28" s="29">
        <f>IF(OR(-632.94546="",-933.5575="",-632.94546=0),"-",-933.5575/-632.94546*100)</f>
        <v>147.4941458621095</v>
      </c>
    </row>
    <row r="29" spans="1:4" ht="15">
      <c r="A29" s="55" t="s">
        <v>125</v>
      </c>
      <c r="B29" s="26">
        <f>IF(104.84317="","-",104.84317)</f>
        <v>104.84317</v>
      </c>
      <c r="C29" s="26">
        <f>IF(-901.60129="","-",-901.60129)</f>
        <v>-901.60129</v>
      </c>
      <c r="D29" s="29" t="s">
        <v>32</v>
      </c>
    </row>
    <row r="30" spans="1:4" ht="15">
      <c r="A30" s="55" t="s">
        <v>198</v>
      </c>
      <c r="B30" s="26">
        <f>IF(-524.34754="","-",-524.34754)</f>
        <v>-524.34754</v>
      </c>
      <c r="C30" s="26">
        <f>IF(-591.45918="","-",-591.45918)</f>
        <v>-591.45918</v>
      </c>
      <c r="D30" s="29">
        <f>IF(OR(-524.34754="",-591.45918="",-524.34754=0),"-",-591.45918/-524.34754*100)</f>
        <v>112.79907597163515</v>
      </c>
    </row>
    <row r="31" spans="1:4" ht="15">
      <c r="A31" s="55" t="s">
        <v>134</v>
      </c>
      <c r="B31" s="26">
        <f>IF(-32.461="","-",-32.461)</f>
        <v>-32.461</v>
      </c>
      <c r="C31" s="26">
        <f>IF(-57.26369="","-",-57.26369)</f>
        <v>-57.26369</v>
      </c>
      <c r="D31" s="29" t="s">
        <v>210</v>
      </c>
    </row>
    <row r="32" spans="1:4" ht="15">
      <c r="A32" s="55" t="s">
        <v>12</v>
      </c>
      <c r="B32" s="26">
        <f>IF(-718.29108="","-",-718.29108)</f>
        <v>-718.29108</v>
      </c>
      <c r="C32" s="26">
        <f>IF(2620.41106="","-",2620.41106)</f>
        <v>2620.41106</v>
      </c>
      <c r="D32" s="29" t="s">
        <v>32</v>
      </c>
    </row>
    <row r="33" spans="1:4" ht="15">
      <c r="A33" s="55" t="s">
        <v>126</v>
      </c>
      <c r="B33" s="26">
        <f>IF(598.38478="","-",598.38478)</f>
        <v>598.38478</v>
      </c>
      <c r="C33" s="26">
        <f>IF(2796.28574="","-",2796.28574)</f>
        <v>2796.28574</v>
      </c>
      <c r="D33" s="29" t="s">
        <v>227</v>
      </c>
    </row>
    <row r="34" spans="1:4" ht="15">
      <c r="A34" s="55" t="s">
        <v>9</v>
      </c>
      <c r="B34" s="26">
        <f>IF(-1543.30914="","-",-1543.30914)</f>
        <v>-1543.30914</v>
      </c>
      <c r="C34" s="26">
        <f>IF(4906.15301="","-",4906.15301)</f>
        <v>4906.15301</v>
      </c>
      <c r="D34" s="29" t="s">
        <v>32</v>
      </c>
    </row>
    <row r="35" spans="1:4" ht="15">
      <c r="A35" s="55" t="s">
        <v>206</v>
      </c>
      <c r="B35" s="26">
        <f>IF(22844.66774="","-",22844.66774)</f>
        <v>22844.66774</v>
      </c>
      <c r="C35" s="26">
        <f>IF(24183.40841="","-",24183.40841)</f>
        <v>24183.40841</v>
      </c>
      <c r="D35" s="29">
        <f>IF(OR(22844.66774="",24183.40841="",22844.66774=0),"-",24183.40841/22844.66774*100)</f>
        <v>105.86018884247514</v>
      </c>
    </row>
    <row r="36" spans="1:4" ht="15">
      <c r="A36" s="58" t="s">
        <v>14</v>
      </c>
      <c r="B36" s="25">
        <f>IF(-254603.65739="","-",-254603.65739)</f>
        <v>-254603.65739</v>
      </c>
      <c r="C36" s="25">
        <f>IF(-275659.33624="","-",-275659.33624)</f>
        <v>-275659.33624</v>
      </c>
      <c r="D36" s="28">
        <f>IF(-254603.65739="","-",-275659.33624/-254603.65739*100)</f>
        <v>108.2699828689998</v>
      </c>
    </row>
    <row r="37" spans="1:4" ht="15">
      <c r="A37" s="55" t="s">
        <v>16</v>
      </c>
      <c r="B37" s="26">
        <f>IF(-121831.03092="","-",-121831.03092)</f>
        <v>-121831.03092</v>
      </c>
      <c r="C37" s="26">
        <f>IF(-155892.36801="","-",-155892.36801)</f>
        <v>-155892.36801</v>
      </c>
      <c r="D37" s="29">
        <f>IF(OR(-121831.03092="",-155892.36801="",-121831.03092=0),"-",-155892.36801/-121831.03092*100)</f>
        <v>127.95785017395632</v>
      </c>
    </row>
    <row r="38" spans="1:4" ht="15">
      <c r="A38" s="55" t="s">
        <v>207</v>
      </c>
      <c r="B38" s="26">
        <f>IF(-147845.03065="","-",-147845.03065)</f>
        <v>-147845.03065</v>
      </c>
      <c r="C38" s="26">
        <f>IF(-131019.80826="","-",-131019.80826)</f>
        <v>-131019.80826</v>
      </c>
      <c r="D38" s="29">
        <f>IF(OR(-147845.03065="",-131019.80826="",-147845.03065=0),"-",-131019.80826/-147845.03065*100)</f>
        <v>88.61969028243426</v>
      </c>
    </row>
    <row r="39" spans="1:4" ht="15">
      <c r="A39" s="55" t="s">
        <v>22</v>
      </c>
      <c r="B39" s="26">
        <f>IF(298.18637="","-",298.18637)</f>
        <v>298.18637</v>
      </c>
      <c r="C39" s="26">
        <f>IF(6.94729="","-",6.94729)</f>
        <v>6.94729</v>
      </c>
      <c r="D39" s="29">
        <f>IF(OR(298.18637="",6.94729="",298.18637=0),"-",6.94729/298.18637*100)</f>
        <v>2.3298482757612295</v>
      </c>
    </row>
    <row r="40" spans="1:4" ht="15">
      <c r="A40" s="55" t="s">
        <v>21</v>
      </c>
      <c r="B40" s="26">
        <f>IF(383.50287="","-",383.50287)</f>
        <v>383.50287</v>
      </c>
      <c r="C40" s="26">
        <f>IF(194.36216="","-",194.36216)</f>
        <v>194.36216</v>
      </c>
      <c r="D40" s="29">
        <f>IF(OR(383.50287="",194.36216="",383.50287=0),"-",194.36216/383.50287*100)</f>
        <v>50.68075761727676</v>
      </c>
    </row>
    <row r="41" spans="1:4" ht="15">
      <c r="A41" s="55" t="s">
        <v>23</v>
      </c>
      <c r="B41" s="26">
        <f>IF(239.52496="","-",239.52496)</f>
        <v>239.52496</v>
      </c>
      <c r="C41" s="26">
        <f>IF(256.02438="","-",256.02438)</f>
        <v>256.02438</v>
      </c>
      <c r="D41" s="29">
        <f>IF(OR(239.52496="",256.02438="",239.52496=0),"-",256.02438/239.52496*100)</f>
        <v>106.88839275873379</v>
      </c>
    </row>
    <row r="42" spans="1:4" ht="15">
      <c r="A42" s="55" t="s">
        <v>20</v>
      </c>
      <c r="B42" s="26">
        <f>IF(340.99572="","-",340.99572)</f>
        <v>340.99572</v>
      </c>
      <c r="C42" s="26">
        <f>IF(348.18803="","-",348.18803)</f>
        <v>348.18803</v>
      </c>
      <c r="D42" s="29">
        <f>IF(OR(340.99572="",348.18803="",340.99572=0),"-",348.18803/340.99572*100)</f>
        <v>102.1092082915293</v>
      </c>
    </row>
    <row r="43" spans="1:4" ht="15">
      <c r="A43" s="55" t="s">
        <v>19</v>
      </c>
      <c r="B43" s="26">
        <f>IF(877.45489="","-",877.45489)</f>
        <v>877.45489</v>
      </c>
      <c r="C43" s="26">
        <f>IF(626.22407="","-",626.22407)</f>
        <v>626.22407</v>
      </c>
      <c r="D43" s="29">
        <f>IF(OR(877.45489="",626.22407="",877.45489=0),"-",626.22407/877.45489*100)</f>
        <v>71.3682352377112</v>
      </c>
    </row>
    <row r="44" spans="1:4" ht="15">
      <c r="A44" s="55" t="s">
        <v>18</v>
      </c>
      <c r="B44" s="26">
        <f>IF(1072.15347="","-",1072.15347)</f>
        <v>1072.15347</v>
      </c>
      <c r="C44" s="26">
        <f>IF(2021.56648="","-",2021.56648)</f>
        <v>2021.56648</v>
      </c>
      <c r="D44" s="29" t="s">
        <v>213</v>
      </c>
    </row>
    <row r="45" spans="1:4" ht="15">
      <c r="A45" s="55" t="s">
        <v>15</v>
      </c>
      <c r="B45" s="26">
        <f>IF(8887.13562="","-",8887.13562)</f>
        <v>8887.13562</v>
      </c>
      <c r="C45" s="26">
        <f>IF(3826.37768="","-",3826.37768)</f>
        <v>3826.37768</v>
      </c>
      <c r="D45" s="29">
        <f>IF(OR(8887.13562="",3826.37768="",8887.13562=0),"-",3826.37768/8887.13562*100)</f>
        <v>43.05524123418295</v>
      </c>
    </row>
    <row r="46" spans="1:4" ht="15">
      <c r="A46" s="55" t="s">
        <v>17</v>
      </c>
      <c r="B46" s="26">
        <f>IF(2973.45028="","-",2973.45028)</f>
        <v>2973.45028</v>
      </c>
      <c r="C46" s="26">
        <f>IF(3973.14994="","-",3973.14994)</f>
        <v>3973.14994</v>
      </c>
      <c r="D46" s="29">
        <f>IF(OR(2973.45028="",3973.14994="",2973.45028=0),"-",3973.14994/2973.45028*100)</f>
        <v>133.6208635040637</v>
      </c>
    </row>
    <row r="47" spans="1:4" ht="15">
      <c r="A47" s="54" t="s">
        <v>24</v>
      </c>
      <c r="B47" s="25">
        <f>IF(-262505.60339="","-",-262505.60339)</f>
        <v>-262505.60339</v>
      </c>
      <c r="C47" s="25">
        <f>IF(-324184.11546="","-",-324184.11546)</f>
        <v>-324184.11546</v>
      </c>
      <c r="D47" s="28">
        <f>IF(-262505.60339="","-",-324184.11546/-262505.60339*100)</f>
        <v>123.49607447364288</v>
      </c>
    </row>
    <row r="48" spans="1:4" ht="15">
      <c r="A48" s="55" t="s">
        <v>138</v>
      </c>
      <c r="B48" s="26">
        <f>IF(-133023.94249="","-",-133023.94249)</f>
        <v>-133023.94249</v>
      </c>
      <c r="C48" s="26">
        <f>IF(-170446.85472="","-",-170446.85472)</f>
        <v>-170446.85472</v>
      </c>
      <c r="D48" s="29">
        <f>IF(OR(-133023.94249="",-170446.85472="",-133023.94249=0),"-",-170446.85472/-133023.94249*100)</f>
        <v>128.13246362233872</v>
      </c>
    </row>
    <row r="49" spans="1:4" ht="15">
      <c r="A49" s="55" t="s">
        <v>135</v>
      </c>
      <c r="B49" s="26">
        <f>IF(-82087.54056="","-",-82087.54056)</f>
        <v>-82087.54056</v>
      </c>
      <c r="C49" s="26">
        <f>IF(-78756.86983="","-",-78756.86983)</f>
        <v>-78756.86983</v>
      </c>
      <c r="D49" s="29">
        <f>IF(OR(-82087.54056="",-78756.86983="",-82087.54056=0),"-",-78756.86983/-82087.54056*100)</f>
        <v>95.94253804258453</v>
      </c>
    </row>
    <row r="50" spans="1:4" ht="15">
      <c r="A50" s="55" t="s">
        <v>25</v>
      </c>
      <c r="B50" s="26">
        <f>IF(-18202.61688="","-",-18202.61688)</f>
        <v>-18202.61688</v>
      </c>
      <c r="C50" s="26">
        <f>IF(-27394.31472="","-",-27394.31472)</f>
        <v>-27394.31472</v>
      </c>
      <c r="D50" s="29">
        <f>IF(OR(-18202.61688="",-27394.31472="",-18202.61688=0),"-",-27394.31472/-18202.61688*100)</f>
        <v>150.49657365529302</v>
      </c>
    </row>
    <row r="51" spans="1:4" ht="15">
      <c r="A51" s="55" t="s">
        <v>157</v>
      </c>
      <c r="B51" s="26">
        <f>IF(-11062.4382="","-",-11062.4382)</f>
        <v>-11062.4382</v>
      </c>
      <c r="C51" s="26">
        <f>IF(-11986.88793="","-",-11986.88793)</f>
        <v>-11986.88793</v>
      </c>
      <c r="D51" s="29">
        <f>IF(OR(-11062.4382="",-11986.88793="",-11062.4382=0),"-",-11986.88793/-11062.4382*100)</f>
        <v>108.3566544127677</v>
      </c>
    </row>
    <row r="52" spans="1:4" ht="15">
      <c r="A52" s="55" t="s">
        <v>150</v>
      </c>
      <c r="B52" s="26">
        <f>IF(-10090.26725="","-",-10090.26725)</f>
        <v>-10090.26725</v>
      </c>
      <c r="C52" s="26">
        <f>IF(-11543.35926="","-",-11543.35926)</f>
        <v>-11543.35926</v>
      </c>
      <c r="D52" s="29">
        <f>IF(OR(-10090.26725="",-11543.35926="",-10090.26725=0),"-",-11543.35926/-10090.26725*100)</f>
        <v>114.40092689319006</v>
      </c>
    </row>
    <row r="53" spans="1:4" ht="15">
      <c r="A53" s="55" t="s">
        <v>153</v>
      </c>
      <c r="B53" s="26">
        <f>IF(-4953.86707="","-",-4953.86707)</f>
        <v>-4953.86707</v>
      </c>
      <c r="C53" s="26">
        <f>IF(-10475.93088="","-",-10475.93088)</f>
        <v>-10475.93088</v>
      </c>
      <c r="D53" s="29" t="s">
        <v>180</v>
      </c>
    </row>
    <row r="54" spans="1:4" ht="15">
      <c r="A54" s="55" t="s">
        <v>113</v>
      </c>
      <c r="B54" s="26">
        <f>IF(-7574.63573="","-",-7574.63573)</f>
        <v>-7574.63573</v>
      </c>
      <c r="C54" s="26">
        <f>IF(-8664.29558="","-",-8664.29558)</f>
        <v>-8664.29558</v>
      </c>
      <c r="D54" s="29">
        <f>IF(OR(-7574.63573="",-8664.29558="",-7574.63573=0),"-",-8664.29558/-7574.63573*100)</f>
        <v>114.38564029797907</v>
      </c>
    </row>
    <row r="55" spans="1:4" ht="15">
      <c r="A55" s="55" t="s">
        <v>162</v>
      </c>
      <c r="B55" s="26">
        <f>IF(-4604.62898="","-",-4604.62898)</f>
        <v>-4604.62898</v>
      </c>
      <c r="C55" s="26">
        <f>IF(-5901.28328="","-",-5901.28328)</f>
        <v>-5901.28328</v>
      </c>
      <c r="D55" s="29">
        <f>IF(OR(-4604.62898="",-5901.28328="",-4604.62898=0),"-",-5901.28328/-4604.62898*100)</f>
        <v>128.15979975003327</v>
      </c>
    </row>
    <row r="56" spans="1:4" ht="15">
      <c r="A56" s="55" t="s">
        <v>151</v>
      </c>
      <c r="B56" s="26">
        <f>IF(-4288.901="","-",-4288.901)</f>
        <v>-4288.901</v>
      </c>
      <c r="C56" s="26">
        <f>IF(-5763.97804="","-",-5763.97804)</f>
        <v>-5763.97804</v>
      </c>
      <c r="D56" s="29">
        <f>IF(OR(-4288.901="",-5763.97804="",-4288.901=0),"-",-5763.97804/-4288.901*100)</f>
        <v>134.39289085945327</v>
      </c>
    </row>
    <row r="57" spans="1:4" ht="15">
      <c r="A57" s="55" t="s">
        <v>152</v>
      </c>
      <c r="B57" s="26">
        <f>IF(-2320.85062="","-",-2320.85062)</f>
        <v>-2320.85062</v>
      </c>
      <c r="C57" s="26">
        <f>IF(-3353.06267="","-",-3353.06267)</f>
        <v>-3353.06267</v>
      </c>
      <c r="D57" s="29">
        <f>IF(OR(-2320.85062="",-3353.06267="",-2320.85062=0),"-",-3353.06267/-2320.85062*100)</f>
        <v>144.4755918844962</v>
      </c>
    </row>
    <row r="58" spans="1:4" ht="15">
      <c r="A58" s="55" t="s">
        <v>145</v>
      </c>
      <c r="B58" s="26">
        <f>IF(-936.7349="","-",-936.7349)</f>
        <v>-936.7349</v>
      </c>
      <c r="C58" s="26">
        <f>IF(-3255.0441="","-",-3255.0441)</f>
        <v>-3255.0441</v>
      </c>
      <c r="D58" s="29" t="s">
        <v>245</v>
      </c>
    </row>
    <row r="59" spans="1:4" ht="15">
      <c r="A59" s="55" t="s">
        <v>159</v>
      </c>
      <c r="B59" s="26">
        <f>IF(-2054.18543="","-",-2054.18543)</f>
        <v>-2054.18543</v>
      </c>
      <c r="C59" s="26">
        <f>IF(-3201.69967="","-",-3201.69967)</f>
        <v>-3201.69967</v>
      </c>
      <c r="D59" s="29">
        <f>IF(OR(-2054.18543="",-3201.69967="",-2054.18543=0),"-",-3201.69967/-2054.18543*100)</f>
        <v>155.86225192922336</v>
      </c>
    </row>
    <row r="60" spans="1:4" ht="15">
      <c r="A60" s="55" t="s">
        <v>147</v>
      </c>
      <c r="B60" s="26">
        <f>IF(-5418.75901="","-",-5418.75901)</f>
        <v>-5418.75901</v>
      </c>
      <c r="C60" s="26">
        <f>IF(-3002.65726="","-",-3002.65726)</f>
        <v>-3002.65726</v>
      </c>
      <c r="D60" s="29">
        <f>IF(OR(-5418.75901="",-3002.65726="",-5418.75901=0),"-",-3002.65726/-5418.75901*100)</f>
        <v>55.41226790965926</v>
      </c>
    </row>
    <row r="61" spans="1:7" ht="15">
      <c r="A61" s="55" t="s">
        <v>143</v>
      </c>
      <c r="B61" s="26">
        <f>IF(21.64745="","-",21.64745)</f>
        <v>21.64745</v>
      </c>
      <c r="C61" s="26">
        <f>IF(-2873.15306="","-",-2873.15306)</f>
        <v>-2873.15306</v>
      </c>
      <c r="D61" s="29" t="s">
        <v>32</v>
      </c>
      <c r="E61" s="1"/>
      <c r="F61" s="1"/>
      <c r="G61" s="1"/>
    </row>
    <row r="62" spans="1:4" ht="15">
      <c r="A62" s="55" t="s">
        <v>141</v>
      </c>
      <c r="B62" s="26">
        <f>IF(-4434.93678="","-",-4434.93678)</f>
        <v>-4434.93678</v>
      </c>
      <c r="C62" s="26">
        <f>IF(-2872.44673="","-",-2872.44673)</f>
        <v>-2872.44673</v>
      </c>
      <c r="D62" s="29">
        <f>IF(OR(-4434.93678="",-2872.44673="",-4434.93678=0),"-",-2872.44673/-4434.93678*100)</f>
        <v>64.7686060138156</v>
      </c>
    </row>
    <row r="63" spans="1:4" ht="15">
      <c r="A63" s="55" t="s">
        <v>163</v>
      </c>
      <c r="B63" s="26">
        <f>IF(-2356.14596="","-",-2356.14596)</f>
        <v>-2356.14596</v>
      </c>
      <c r="C63" s="26">
        <f>IF(-2854.30479="","-",-2854.30479)</f>
        <v>-2854.30479</v>
      </c>
      <c r="D63" s="29">
        <f>IF(OR(-2356.14596="",-2854.30479="",-2356.14596=0),"-",-2854.30479/-2356.14596*100)</f>
        <v>121.1429528754662</v>
      </c>
    </row>
    <row r="64" spans="1:4" ht="15">
      <c r="A64" s="55" t="s">
        <v>165</v>
      </c>
      <c r="B64" s="26">
        <f>IF(-1927.70066="","-",-1927.70066)</f>
        <v>-1927.70066</v>
      </c>
      <c r="C64" s="26">
        <f>IF(-2334.65666="","-",-2334.65666)</f>
        <v>-2334.65666</v>
      </c>
      <c r="D64" s="29">
        <f>IF(OR(-1927.70066="",-2334.65666="",-1927.70066=0),"-",-2334.65666/-1927.70066*100)</f>
        <v>121.11095402125349</v>
      </c>
    </row>
    <row r="65" spans="1:4" ht="15">
      <c r="A65" s="55" t="s">
        <v>166</v>
      </c>
      <c r="B65" s="26">
        <f>IF(-1797.86282="","-",-1797.86282)</f>
        <v>-1797.86282</v>
      </c>
      <c r="C65" s="26">
        <f>IF(-1938.14056="","-",-1938.14056)</f>
        <v>-1938.14056</v>
      </c>
      <c r="D65" s="29">
        <f>IF(OR(-1797.86282="",-1938.14056="",-1797.86282=0),"-",-1938.14056/-1797.86282*100)</f>
        <v>107.802471825965</v>
      </c>
    </row>
    <row r="66" spans="1:4" ht="15">
      <c r="A66" s="55" t="s">
        <v>164</v>
      </c>
      <c r="B66" s="26">
        <f>IF(-2204.60836="","-",-2204.60836)</f>
        <v>-2204.60836</v>
      </c>
      <c r="C66" s="26">
        <f>IF(-1789.88676="","-",-1789.88676)</f>
        <v>-1789.88676</v>
      </c>
      <c r="D66" s="29">
        <f>IF(OR(-2204.60836="",-1789.88676="",-2204.60836=0),"-",-1789.88676/-2204.60836*100)</f>
        <v>81.1884229632514</v>
      </c>
    </row>
    <row r="67" spans="1:4" ht="15">
      <c r="A67" s="55" t="s">
        <v>170</v>
      </c>
      <c r="B67" s="26">
        <f>IF(-512.51579="","-",-512.51579)</f>
        <v>-512.51579</v>
      </c>
      <c r="C67" s="26">
        <f>IF(-1417.01682="","-",-1417.01682)</f>
        <v>-1417.01682</v>
      </c>
      <c r="D67" s="29" t="s">
        <v>181</v>
      </c>
    </row>
    <row r="68" spans="1:7" ht="15">
      <c r="A68" s="55" t="s">
        <v>203</v>
      </c>
      <c r="B68" s="26">
        <f>IF(2992.83958="","-",2992.83958)</f>
        <v>2992.83958</v>
      </c>
      <c r="C68" s="26">
        <f>IF(-1389.82013="","-",-1389.82013)</f>
        <v>-1389.82013</v>
      </c>
      <c r="D68" s="29" t="s">
        <v>32</v>
      </c>
      <c r="E68" s="1"/>
      <c r="F68" s="1"/>
      <c r="G68" s="1"/>
    </row>
    <row r="69" spans="1:4" ht="15">
      <c r="A69" s="55" t="s">
        <v>140</v>
      </c>
      <c r="B69" s="26">
        <f>IF(-323.94049="","-",-323.94049)</f>
        <v>-323.94049</v>
      </c>
      <c r="C69" s="26">
        <f>IF(-1387.90176="","-",-1387.90176)</f>
        <v>-1387.90176</v>
      </c>
      <c r="D69" s="29" t="s">
        <v>246</v>
      </c>
    </row>
    <row r="70" spans="1:4" ht="15">
      <c r="A70" s="55" t="s">
        <v>167</v>
      </c>
      <c r="B70" s="26">
        <f>IF(-1584.9961="","-",-1584.9961)</f>
        <v>-1584.9961</v>
      </c>
      <c r="C70" s="26">
        <f>IF(-1272.84902="","-",-1272.84902)</f>
        <v>-1272.84902</v>
      </c>
      <c r="D70" s="29">
        <f>IF(OR(-1584.9961="",-1272.84902="",-1584.9961=0),"-",-1272.84902/-1584.9961*100)</f>
        <v>80.30612945987691</v>
      </c>
    </row>
    <row r="71" spans="1:4" ht="15">
      <c r="A71" s="55" t="s">
        <v>168</v>
      </c>
      <c r="B71" s="26">
        <f>IF(-1207.55891="","-",-1207.55891)</f>
        <v>-1207.55891</v>
      </c>
      <c r="C71" s="26">
        <f>IF(-1272.00146="","-",-1272.00146)</f>
        <v>-1272.00146</v>
      </c>
      <c r="D71" s="29">
        <f>IF(OR(-1207.55891="",-1272.00146="",-1207.55891=0),"-",-1272.00146/-1207.55891*100)</f>
        <v>105.33659678764657</v>
      </c>
    </row>
    <row r="72" spans="1:4" ht="15">
      <c r="A72" s="55" t="s">
        <v>146</v>
      </c>
      <c r="B72" s="26">
        <f>IF(372.62021="","-",372.62021)</f>
        <v>372.62021</v>
      </c>
      <c r="C72" s="26">
        <f>IF(-1092.43564="","-",-1092.43564)</f>
        <v>-1092.43564</v>
      </c>
      <c r="D72" s="29" t="s">
        <v>32</v>
      </c>
    </row>
    <row r="73" spans="1:4" ht="15">
      <c r="A73" s="55" t="s">
        <v>155</v>
      </c>
      <c r="B73" s="26">
        <f>IF(-1149.28455="","-",-1149.28455)</f>
        <v>-1149.28455</v>
      </c>
      <c r="C73" s="26">
        <f>IF(-1085.95093="","-",-1085.95093)</f>
        <v>-1085.95093</v>
      </c>
      <c r="D73" s="29">
        <f>IF(OR(-1149.28455="",-1085.95093="",-1149.28455=0),"-",-1085.95093/-1149.28455*100)</f>
        <v>94.48930032166533</v>
      </c>
    </row>
    <row r="74" spans="1:4" ht="15">
      <c r="A74" s="55" t="s">
        <v>154</v>
      </c>
      <c r="B74" s="26">
        <f>IF(120.4283="","-",120.4283)</f>
        <v>120.4283</v>
      </c>
      <c r="C74" s="26">
        <f>IF(-977.5206="","-",-977.5206)</f>
        <v>-977.5206</v>
      </c>
      <c r="D74" s="29" t="s">
        <v>32</v>
      </c>
    </row>
    <row r="75" spans="1:4" ht="15">
      <c r="A75" s="55" t="s">
        <v>117</v>
      </c>
      <c r="B75" s="26">
        <f>IF(-1337.3525="","-",-1337.3525)</f>
        <v>-1337.3525</v>
      </c>
      <c r="C75" s="26">
        <f>IF(-843.54546="","-",-843.54546)</f>
        <v>-843.54546</v>
      </c>
      <c r="D75" s="29">
        <f>IF(OR(-1337.3525="",-843.54546="",-1337.3525=0),"-",-843.54546/-1337.3525*100)</f>
        <v>63.07577545934973</v>
      </c>
    </row>
    <row r="76" spans="1:7" ht="15">
      <c r="A76" s="55" t="s">
        <v>176</v>
      </c>
      <c r="B76" s="26">
        <f>IF(-346.3366="","-",-346.3366)</f>
        <v>-346.3366</v>
      </c>
      <c r="C76" s="26">
        <f>IF(-712.31219="","-",-712.31219)</f>
        <v>-712.31219</v>
      </c>
      <c r="D76" s="29" t="s">
        <v>180</v>
      </c>
      <c r="E76" s="10"/>
      <c r="F76" s="10"/>
      <c r="G76" s="10"/>
    </row>
    <row r="77" spans="1:4" ht="15">
      <c r="A77" s="55" t="s">
        <v>171</v>
      </c>
      <c r="B77" s="26">
        <f>IF(-743.77215="","-",-743.77215)</f>
        <v>-743.77215</v>
      </c>
      <c r="C77" s="26">
        <f>IF(-698.71382="","-",-698.71382)</f>
        <v>-698.71382</v>
      </c>
      <c r="D77" s="29">
        <f>IF(OR(-743.77215="",-698.71382="",-743.77215=0),"-",-698.71382/-743.77215*100)</f>
        <v>93.94191756171566</v>
      </c>
    </row>
    <row r="78" spans="1:4" ht="15">
      <c r="A78" s="55" t="s">
        <v>172</v>
      </c>
      <c r="B78" s="26">
        <f>IF(-559.71272="","-",-559.71272)</f>
        <v>-559.71272</v>
      </c>
      <c r="C78" s="26">
        <f>IF(-543.37053="","-",-543.37053)</f>
        <v>-543.37053</v>
      </c>
      <c r="D78" s="29">
        <f>IF(OR(-559.71272="",-543.37053="",-559.71272=0),"-",-543.37053/-559.71272*100)</f>
        <v>97.08025395599373</v>
      </c>
    </row>
    <row r="79" spans="1:4" ht="15">
      <c r="A79" s="55" t="s">
        <v>169</v>
      </c>
      <c r="B79" s="26">
        <f>IF(-349.46256="","-",-349.46256)</f>
        <v>-349.46256</v>
      </c>
      <c r="C79" s="26">
        <f>IF(-523.40715="","-",-523.40715)</f>
        <v>-523.40715</v>
      </c>
      <c r="D79" s="29">
        <f>IF(OR(-349.46256="",-523.40715="",-349.46256=0),"-",-523.40715/-349.46256*100)</f>
        <v>149.77488575600202</v>
      </c>
    </row>
    <row r="80" spans="1:4" ht="15">
      <c r="A80" s="55" t="s">
        <v>177</v>
      </c>
      <c r="B80" s="26">
        <f>IF(-380.26272="","-",-380.26272)</f>
        <v>-380.26272</v>
      </c>
      <c r="C80" s="26">
        <f>IF(-513.13202="","-",-513.13202)</f>
        <v>-513.13202</v>
      </c>
      <c r="D80" s="29">
        <f>IF(OR(-380.26272="",-513.13202="",-380.26272=0),"-",-513.13202/-380.26272*100)</f>
        <v>134.94144784952888</v>
      </c>
    </row>
    <row r="81" spans="1:4" ht="15">
      <c r="A81" s="55" t="s">
        <v>174</v>
      </c>
      <c r="B81" s="26">
        <f>IF(-462.65973="","-",-462.65973)</f>
        <v>-462.65973</v>
      </c>
      <c r="C81" s="26">
        <f>IF(-368.74803="","-",-368.74803)</f>
        <v>-368.74803</v>
      </c>
      <c r="D81" s="29">
        <f>IF(OR(-462.65973="",-368.74803="",-462.65973=0),"-",-368.74803/-462.65973*100)</f>
        <v>79.70177780547272</v>
      </c>
    </row>
    <row r="82" spans="1:4" ht="15">
      <c r="A82" s="55" t="s">
        <v>179</v>
      </c>
      <c r="B82" s="26">
        <f>IF(-242.78002="","-",-242.78002)</f>
        <v>-242.78002</v>
      </c>
      <c r="C82" s="26">
        <f>IF(-347.9157="","-",-347.9157)</f>
        <v>-347.9157</v>
      </c>
      <c r="D82" s="29">
        <f>IF(OR(-242.78002="",-347.9157="",-242.78002=0),"-",-347.9157/-242.78002*100)</f>
        <v>143.30491446536664</v>
      </c>
    </row>
    <row r="83" spans="1:4" ht="15">
      <c r="A83" s="55" t="s">
        <v>173</v>
      </c>
      <c r="B83" s="26">
        <f>IF(-445.07761="","-",-445.07761)</f>
        <v>-445.07761</v>
      </c>
      <c r="C83" s="26">
        <f>IF(-319.14437="","-",-319.14437)</f>
        <v>-319.14437</v>
      </c>
      <c r="D83" s="29">
        <f>IF(OR(-445.07761="",-319.14437="",-445.07761=0),"-",-319.14437/-445.07761*100)</f>
        <v>71.70533022319411</v>
      </c>
    </row>
    <row r="84" spans="1:4" ht="15">
      <c r="A84" s="55" t="s">
        <v>188</v>
      </c>
      <c r="B84" s="26">
        <f>IF(-204.55473="","-",-204.55473)</f>
        <v>-204.55473</v>
      </c>
      <c r="C84" s="26">
        <f>IF(-312.14739="","-",-312.14739)</f>
        <v>-312.14739</v>
      </c>
      <c r="D84" s="29">
        <f>IF(OR(-204.55473="",-312.14739="",-204.55473=0),"-",-312.14739/-204.55473*100)</f>
        <v>152.59847083467585</v>
      </c>
    </row>
    <row r="85" spans="1:4" ht="15">
      <c r="A85" s="55" t="s">
        <v>116</v>
      </c>
      <c r="B85" s="26">
        <f>IF(-1328.51336="","-",-1328.51336)</f>
        <v>-1328.51336</v>
      </c>
      <c r="C85" s="26">
        <f>IF(-307.93642="","-",-307.93642)</f>
        <v>-307.93642</v>
      </c>
      <c r="D85" s="29">
        <f>IF(OR(-1328.51336="",-307.93642="",-1328.51336=0),"-",-307.93642/-1328.51336*100)</f>
        <v>23.17902320530672</v>
      </c>
    </row>
    <row r="86" spans="1:4" ht="15">
      <c r="A86" s="55" t="s">
        <v>161</v>
      </c>
      <c r="B86" s="26">
        <f>IF(-81.78817="","-",-81.78817)</f>
        <v>-81.78817</v>
      </c>
      <c r="C86" s="26">
        <f>IF(-299.81946="","-",-299.81946)</f>
        <v>-299.81946</v>
      </c>
      <c r="D86" s="29" t="s">
        <v>238</v>
      </c>
    </row>
    <row r="87" spans="1:4" ht="15">
      <c r="A87" s="55" t="s">
        <v>178</v>
      </c>
      <c r="B87" s="26">
        <f>IF(-71.01156="","-",-71.01156)</f>
        <v>-71.01156</v>
      </c>
      <c r="C87" s="26">
        <f>IF(-299.41218="","-",-299.41218)</f>
        <v>-299.41218</v>
      </c>
      <c r="D87" s="29" t="s">
        <v>247</v>
      </c>
    </row>
    <row r="88" spans="1:4" ht="15">
      <c r="A88" s="55" t="s">
        <v>175</v>
      </c>
      <c r="B88" s="26">
        <f>IF(-385.86901="","-",-385.86901)</f>
        <v>-385.86901</v>
      </c>
      <c r="C88" s="26">
        <f>IF(-268.61198="","-",-268.61198)</f>
        <v>-268.61198</v>
      </c>
      <c r="D88" s="29">
        <f>IF(OR(-385.86901="",-268.61198="",-385.86901=0),"-",-268.61198/-385.86901*100)</f>
        <v>69.61221892372234</v>
      </c>
    </row>
    <row r="89" spans="1:4" ht="15">
      <c r="A89" s="55" t="s">
        <v>208</v>
      </c>
      <c r="B89" s="26">
        <f>IF(-92.39451="","-",-92.39451)</f>
        <v>-92.39451</v>
      </c>
      <c r="C89" s="26">
        <f>IF(-193.62265="","-",-193.62265)</f>
        <v>-193.62265</v>
      </c>
      <c r="D89" s="29" t="s">
        <v>180</v>
      </c>
    </row>
    <row r="90" spans="1:4" ht="15">
      <c r="A90" s="55" t="s">
        <v>187</v>
      </c>
      <c r="B90" s="26">
        <f>IF(-71.23684="","-",-71.23684)</f>
        <v>-71.23684</v>
      </c>
      <c r="C90" s="26">
        <f>IF(-128.2835="","-",-128.2835)</f>
        <v>-128.2835</v>
      </c>
      <c r="D90" s="29" t="s">
        <v>210</v>
      </c>
    </row>
    <row r="91" spans="1:4" ht="15">
      <c r="A91" s="55" t="s">
        <v>189</v>
      </c>
      <c r="B91" s="26">
        <f>IF(-34.60977="","-",-34.60977)</f>
        <v>-34.60977</v>
      </c>
      <c r="C91" s="26">
        <f>IF(-118.48067="","-",-118.48067)</f>
        <v>-118.48067</v>
      </c>
      <c r="D91" s="29" t="s">
        <v>248</v>
      </c>
    </row>
    <row r="92" spans="1:4" ht="15">
      <c r="A92" s="55" t="s">
        <v>243</v>
      </c>
      <c r="B92" s="26">
        <f>IF(-59.79455="","-",-59.79455)</f>
        <v>-59.79455</v>
      </c>
      <c r="C92" s="26">
        <f>IF(-76.15294="","-",-76.15294)</f>
        <v>-76.15294</v>
      </c>
      <c r="D92" s="29">
        <f>IF(OR(-59.79455="",-76.15294="",-59.79455=0),"-",-76.15294/-59.79455*100)</f>
        <v>127.35766052257271</v>
      </c>
    </row>
    <row r="93" spans="1:4" ht="15">
      <c r="A93" s="55" t="s">
        <v>222</v>
      </c>
      <c r="B93" s="26">
        <f>IF(-20.89212="","-",-20.89212)</f>
        <v>-20.89212</v>
      </c>
      <c r="C93" s="26">
        <f>IF(-67.67332="","-",-67.67332)</f>
        <v>-67.67332</v>
      </c>
      <c r="D93" s="29" t="s">
        <v>33</v>
      </c>
    </row>
    <row r="94" spans="1:4" ht="15">
      <c r="A94" s="55" t="s">
        <v>244</v>
      </c>
      <c r="B94" s="26">
        <f>IF(-42.0565="","-",-42.0565)</f>
        <v>-42.0565</v>
      </c>
      <c r="C94" s="26">
        <f>IF(-58.45775="","-",-58.45775)</f>
        <v>-58.45775</v>
      </c>
      <c r="D94" s="29">
        <f>IF(OR(-42.0565="",-58.45775="",-42.0565=0),"-",-58.45775/-42.0565*100)</f>
        <v>138.9981334633172</v>
      </c>
    </row>
    <row r="95" spans="1:4" ht="15">
      <c r="A95" s="55" t="s">
        <v>149</v>
      </c>
      <c r="B95" s="26">
        <f>IF(-258.03738="","-",-258.03738)</f>
        <v>-258.03738</v>
      </c>
      <c r="C95" s="26">
        <f>IF(-58.16605="","-",-58.16605)</f>
        <v>-58.16605</v>
      </c>
      <c r="D95" s="29">
        <f>IF(OR(-258.03738="",-58.16605="",-258.03738=0),"-",-58.16605/-258.03738*100)</f>
        <v>22.541714692654217</v>
      </c>
    </row>
    <row r="96" spans="1:7" ht="15">
      <c r="A96" s="55" t="s">
        <v>160</v>
      </c>
      <c r="B96" s="26">
        <f>IF(-589.23339="","-",-589.23339)</f>
        <v>-589.23339</v>
      </c>
      <c r="C96" s="26">
        <f>IF(-55.38741="","-",-55.38741)</f>
        <v>-55.38741</v>
      </c>
      <c r="D96" s="29">
        <f>IF(OR(-589.23339="",-55.38741="",-589.23339=0),"-",-55.38741/-589.23339*100)</f>
        <v>9.39991028003352</v>
      </c>
      <c r="E96" s="10"/>
      <c r="F96" s="10"/>
      <c r="G96" s="10"/>
    </row>
    <row r="97" spans="1:7" ht="15">
      <c r="A97" s="55" t="s">
        <v>224</v>
      </c>
      <c r="B97" s="26">
        <f>IF(6.68345="","-",6.68345)</f>
        <v>6.68345</v>
      </c>
      <c r="C97" s="26">
        <f>IF(-54.8964="","-",-54.8964)</f>
        <v>-54.8964</v>
      </c>
      <c r="D97" s="29" t="s">
        <v>32</v>
      </c>
      <c r="E97" s="10"/>
      <c r="F97" s="10"/>
      <c r="G97" s="10"/>
    </row>
    <row r="98" spans="1:4" ht="15">
      <c r="A98" s="55" t="s">
        <v>223</v>
      </c>
      <c r="B98" s="26">
        <f>IF(-62.69317="","-",-62.69317)</f>
        <v>-62.69317</v>
      </c>
      <c r="C98" s="26">
        <f>IF(-23.77189="","-",-23.77189)</f>
        <v>-23.77189</v>
      </c>
      <c r="D98" s="29">
        <f>IF(OR(-62.69317="",-23.77189="",-62.69317=0),"-",-23.77189/-62.69317*100)</f>
        <v>37.91783060259993</v>
      </c>
    </row>
    <row r="99" spans="1:4" ht="15">
      <c r="A99" s="55" t="s">
        <v>202</v>
      </c>
      <c r="B99" s="26">
        <f>IF(245.03498="","-",245.03498)</f>
        <v>245.03498</v>
      </c>
      <c r="C99" s="26">
        <f>IF(-8.46155="","-",-8.46155)</f>
        <v>-8.46155</v>
      </c>
      <c r="D99" s="29" t="s">
        <v>32</v>
      </c>
    </row>
    <row r="100" spans="1:7" ht="15">
      <c r="A100" s="55" t="s">
        <v>220</v>
      </c>
      <c r="B100" s="26">
        <f>IF(14.606="","-",14.606)</f>
        <v>14.606</v>
      </c>
      <c r="C100" s="26">
        <f>IF(45.4372="","-",45.4372)</f>
        <v>45.4372</v>
      </c>
      <c r="D100" s="29" t="s">
        <v>205</v>
      </c>
      <c r="E100" s="10"/>
      <c r="F100" s="10"/>
      <c r="G100" s="10"/>
    </row>
    <row r="101" spans="1:4" ht="15">
      <c r="A101" s="55" t="s">
        <v>201</v>
      </c>
      <c r="B101" s="26">
        <f>IF(0="","-",0)</f>
        <v>0</v>
      </c>
      <c r="C101" s="26">
        <f>IF(116.25016="","-",116.25016)</f>
        <v>116.25016</v>
      </c>
      <c r="D101" s="29" t="str">
        <f>IF(OR(0="",116.25016="",0=0),"-",116.25016/0*100)</f>
        <v>-</v>
      </c>
    </row>
    <row r="102" spans="1:7" ht="15">
      <c r="A102" s="55" t="s">
        <v>184</v>
      </c>
      <c r="B102" s="26">
        <f>IF(55.7389="","-",55.7389)</f>
        <v>55.7389</v>
      </c>
      <c r="C102" s="26">
        <f>IF(119.40201="","-",119.40201)</f>
        <v>119.40201</v>
      </c>
      <c r="D102" s="29" t="s">
        <v>180</v>
      </c>
      <c r="E102" s="10"/>
      <c r="F102" s="10"/>
      <c r="G102" s="10"/>
    </row>
    <row r="103" spans="1:7" ht="15">
      <c r="A103" s="55" t="s">
        <v>183</v>
      </c>
      <c r="B103" s="26">
        <f>IF(-0.6022="","-",-0.6022)</f>
        <v>-0.6022</v>
      </c>
      <c r="C103" s="26">
        <f>IF(186.33116="","-",186.33116)</f>
        <v>186.33116</v>
      </c>
      <c r="D103" s="29" t="s">
        <v>32</v>
      </c>
      <c r="E103" s="1"/>
      <c r="F103" s="1"/>
      <c r="G103" s="1"/>
    </row>
    <row r="104" spans="1:4" ht="15">
      <c r="A104" s="55" t="s">
        <v>148</v>
      </c>
      <c r="B104" s="26">
        <f>IF(476.82833="","-",476.82833)</f>
        <v>476.82833</v>
      </c>
      <c r="C104" s="26">
        <f>IF(198.54788="","-",198.54788)</f>
        <v>198.54788</v>
      </c>
      <c r="D104" s="29">
        <f>IF(OR(476.82833="",198.54788="",476.82833=0),"-",198.54788/476.82833*100)</f>
        <v>41.63927927688357</v>
      </c>
    </row>
    <row r="105" spans="1:4" ht="15">
      <c r="A105" s="55" t="s">
        <v>158</v>
      </c>
      <c r="B105" s="26">
        <f>IF(400.36775="","-",400.36775)</f>
        <v>400.36775</v>
      </c>
      <c r="C105" s="26">
        <f>IF(248.14538="","-",248.14538)</f>
        <v>248.14538</v>
      </c>
      <c r="D105" s="29">
        <f>IF(OR(400.36775="",248.14538="",400.36775=0),"-",248.14538/400.36775*100)</f>
        <v>61.97936272339617</v>
      </c>
    </row>
    <row r="106" spans="1:4" ht="15">
      <c r="A106" s="55" t="s">
        <v>204</v>
      </c>
      <c r="B106" s="26">
        <f>IF(120.72055="","-",120.72055)</f>
        <v>120.72055</v>
      </c>
      <c r="C106" s="26">
        <f>IF(254.03727="","-",254.03727)</f>
        <v>254.03727</v>
      </c>
      <c r="D106" s="29" t="s">
        <v>180</v>
      </c>
    </row>
    <row r="107" spans="1:7" ht="15">
      <c r="A107" s="55" t="s">
        <v>219</v>
      </c>
      <c r="B107" s="26">
        <f>IF(22.87527="","-",22.87527)</f>
        <v>22.87527</v>
      </c>
      <c r="C107" s="26">
        <f>IF(265.52391="","-",265.52391)</f>
        <v>265.52391</v>
      </c>
      <c r="D107" s="29" t="s">
        <v>221</v>
      </c>
      <c r="E107" s="10"/>
      <c r="F107" s="10"/>
      <c r="G107" s="10"/>
    </row>
    <row r="108" spans="1:7" ht="15">
      <c r="A108" s="55" t="s">
        <v>200</v>
      </c>
      <c r="B108" s="26">
        <f>IF(164.19589="","-",164.19589)</f>
        <v>164.19589</v>
      </c>
      <c r="C108" s="26">
        <f>IF(399.55843="","-",399.55843)</f>
        <v>399.55843</v>
      </c>
      <c r="D108" s="29" t="s">
        <v>118</v>
      </c>
      <c r="E108" s="10"/>
      <c r="F108" s="10"/>
      <c r="G108" s="10"/>
    </row>
    <row r="109" spans="1:4" ht="15">
      <c r="A109" s="55" t="s">
        <v>144</v>
      </c>
      <c r="B109" s="26">
        <f>IF(1669.93702="","-",1669.93702)</f>
        <v>1669.93702</v>
      </c>
      <c r="C109" s="26">
        <f>IF(411.51152="","-",411.51152)</f>
        <v>411.51152</v>
      </c>
      <c r="D109" s="29">
        <f>IF(OR(1669.93702="",411.51152="",1669.93702=0),"-",411.51152/1669.93702*100)</f>
        <v>24.64233770923888</v>
      </c>
    </row>
    <row r="110" spans="1:7" ht="15">
      <c r="A110" s="55" t="s">
        <v>218</v>
      </c>
      <c r="B110" s="26">
        <f>IF(12.211="","-",12.211)</f>
        <v>12.211</v>
      </c>
      <c r="C110" s="26">
        <f>IF(718.70956="","-",718.70956)</f>
        <v>718.70956</v>
      </c>
      <c r="D110" s="29" t="s">
        <v>249</v>
      </c>
      <c r="E110" s="10"/>
      <c r="F110" s="10"/>
      <c r="G110" s="10"/>
    </row>
    <row r="111" spans="1:4" ht="15">
      <c r="A111" s="55" t="s">
        <v>231</v>
      </c>
      <c r="B111" s="26">
        <f>IF(178.17723="","-",178.17723)</f>
        <v>178.17723</v>
      </c>
      <c r="C111" s="26">
        <f>IF(938.97176="","-",938.97176)</f>
        <v>938.97176</v>
      </c>
      <c r="D111" s="29" t="s">
        <v>240</v>
      </c>
    </row>
    <row r="112" spans="1:4" ht="15">
      <c r="A112" s="55" t="s">
        <v>156</v>
      </c>
      <c r="B112" s="26">
        <f>IF(75.45724="","-",75.45724)</f>
        <v>75.45724</v>
      </c>
      <c r="C112" s="26">
        <f>IF(1058.84813="","-",1058.84813)</f>
        <v>1058.84813</v>
      </c>
      <c r="D112" s="29" t="s">
        <v>250</v>
      </c>
    </row>
    <row r="113" spans="1:4" ht="15">
      <c r="A113" s="55" t="s">
        <v>115</v>
      </c>
      <c r="B113" s="26">
        <f>IF(315.94549="","-",315.94549)</f>
        <v>315.94549</v>
      </c>
      <c r="C113" s="26">
        <f>IF(1285.30645="","-",1285.30645)</f>
        <v>1285.30645</v>
      </c>
      <c r="D113" s="29" t="s">
        <v>251</v>
      </c>
    </row>
    <row r="114" spans="1:4" ht="15">
      <c r="A114" s="55" t="s">
        <v>142</v>
      </c>
      <c r="B114" s="26">
        <f>IF(3257.40692="","-",3257.40692)</f>
        <v>3257.40692</v>
      </c>
      <c r="C114" s="26">
        <f>IF(3577.03835="","-",3577.03835)</f>
        <v>3577.03835</v>
      </c>
      <c r="D114" s="29">
        <f>IF(OR(3257.40692="",3577.03835="",3257.40692=0),"-",3577.03835/3257.40692*100)</f>
        <v>109.81245014362528</v>
      </c>
    </row>
    <row r="115" spans="1:4" ht="15">
      <c r="A115" s="55" t="s">
        <v>139</v>
      </c>
      <c r="B115" s="26">
        <f>IF(5855.61118="","-",5855.61118)</f>
        <v>5855.61118</v>
      </c>
      <c r="C115" s="26">
        <f>IF(4606.68451="","-",4606.68451)</f>
        <v>4606.68451</v>
      </c>
      <c r="D115" s="29">
        <f>IF(OR(5855.61118="",4606.68451="",5855.61118=0),"-",4606.68451/5855.61118*100)</f>
        <v>78.67128414766091</v>
      </c>
    </row>
    <row r="116" spans="1:4" ht="15">
      <c r="A116" s="55" t="s">
        <v>137</v>
      </c>
      <c r="B116" s="26">
        <f>IF(4529.17889="","-",4529.17889)</f>
        <v>4529.17889</v>
      </c>
      <c r="C116" s="26">
        <f>IF(5644.6677="","-",5644.6677)</f>
        <v>5644.6677</v>
      </c>
      <c r="D116" s="29">
        <f>IF(OR(4529.17889="",5644.6677="",4529.17889=0),"-",5644.6677/4529.17889*100)</f>
        <v>124.62894129580295</v>
      </c>
    </row>
    <row r="117" spans="1:4" ht="15">
      <c r="A117" s="55" t="s">
        <v>136</v>
      </c>
      <c r="B117" s="26">
        <f>IF(21706.23868="","-",21706.23868)</f>
        <v>21706.23868</v>
      </c>
      <c r="C117" s="26">
        <f>IF(8190.61844="","-",8190.61844)</f>
        <v>8190.61844</v>
      </c>
      <c r="D117" s="29">
        <f>IF(OR(21706.23868="",8190.61844="",21706.23868=0),"-",8190.61844/21706.23868*100)</f>
        <v>37.73393705260777</v>
      </c>
    </row>
    <row r="118" spans="1:4" ht="15">
      <c r="A118" s="57" t="s">
        <v>199</v>
      </c>
      <c r="B118" s="26">
        <f>IF(-0.11843="","-",-0.11843)</f>
        <v>-0.11843</v>
      </c>
      <c r="C118" s="26">
        <f>IF(10939.84374="","-",10939.84374)</f>
        <v>10939.84374</v>
      </c>
      <c r="D118" s="29" t="s">
        <v>32</v>
      </c>
    </row>
    <row r="119" spans="1:7" s="1" customFormat="1" ht="15">
      <c r="A119" s="48" t="s">
        <v>28</v>
      </c>
      <c r="B119" s="48"/>
      <c r="C119" s="48"/>
      <c r="D119" s="48"/>
      <c r="E119" s="10"/>
      <c r="F119" s="10"/>
      <c r="G119" s="10"/>
    </row>
  </sheetData>
  <sheetProtection/>
  <mergeCells count="5">
    <mergeCell ref="A1:D1"/>
    <mergeCell ref="A3:A4"/>
    <mergeCell ref="B3:C3"/>
    <mergeCell ref="D3:D4"/>
    <mergeCell ref="A119:D119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74"/>
  <sheetViews>
    <sheetView zoomScalePageLayoutView="0" workbookViewId="0" topLeftCell="A1">
      <selection activeCell="A1" sqref="A1:G1"/>
    </sheetView>
  </sheetViews>
  <sheetFormatPr defaultColWidth="9.00390625" defaultRowHeight="15.75"/>
  <cols>
    <col min="1" max="1" width="27.75390625" style="0" customWidth="1"/>
    <col min="2" max="2" width="11.125" style="0" customWidth="1"/>
    <col min="3" max="3" width="10.125" style="0" customWidth="1"/>
    <col min="4" max="4" width="8.625" style="0" customWidth="1"/>
    <col min="5" max="5" width="8.75390625" style="0" customWidth="1"/>
    <col min="6" max="6" width="9.625" style="0" customWidth="1"/>
    <col min="7" max="7" width="9.875" style="0" customWidth="1"/>
  </cols>
  <sheetData>
    <row r="1" spans="1:7" ht="15.75">
      <c r="A1" s="35" t="s">
        <v>263</v>
      </c>
      <c r="B1" s="35"/>
      <c r="C1" s="35"/>
      <c r="D1" s="35"/>
      <c r="E1" s="35"/>
      <c r="F1" s="35"/>
      <c r="G1" s="35"/>
    </row>
    <row r="2" spans="1:7" ht="15.75">
      <c r="A2" s="35" t="s">
        <v>34</v>
      </c>
      <c r="B2" s="35"/>
      <c r="C2" s="35"/>
      <c r="D2" s="35"/>
      <c r="E2" s="35"/>
      <c r="F2" s="35"/>
      <c r="G2" s="35"/>
    </row>
    <row r="3" ht="15">
      <c r="A3" s="6"/>
    </row>
    <row r="4" spans="1:7" ht="57" customHeight="1">
      <c r="A4" s="36"/>
      <c r="B4" s="46" t="s">
        <v>232</v>
      </c>
      <c r="C4" s="40"/>
      <c r="D4" s="39" t="s">
        <v>0</v>
      </c>
      <c r="E4" s="40"/>
      <c r="F4" s="41" t="s">
        <v>215</v>
      </c>
      <c r="G4" s="42"/>
    </row>
    <row r="5" spans="1:7" ht="21.75" customHeight="1">
      <c r="A5" s="37"/>
      <c r="B5" s="43" t="s">
        <v>192</v>
      </c>
      <c r="C5" s="43" t="s">
        <v>233</v>
      </c>
      <c r="D5" s="45" t="s">
        <v>234</v>
      </c>
      <c r="E5" s="45"/>
      <c r="F5" s="45" t="s">
        <v>234</v>
      </c>
      <c r="G5" s="39"/>
    </row>
    <row r="6" spans="1:7" ht="21.75" customHeight="1">
      <c r="A6" s="38"/>
      <c r="B6" s="44"/>
      <c r="C6" s="44"/>
      <c r="D6" s="11">
        <v>2016</v>
      </c>
      <c r="E6" s="11">
        <v>2017</v>
      </c>
      <c r="F6" s="11" t="s">
        <v>2</v>
      </c>
      <c r="G6" s="12" t="s">
        <v>182</v>
      </c>
    </row>
    <row r="7" spans="1:7" ht="18.75" customHeight="1">
      <c r="A7" s="52" t="s">
        <v>193</v>
      </c>
      <c r="B7" s="30">
        <f>IF(857186.04228="","-",857186.04228)</f>
        <v>857186.04228</v>
      </c>
      <c r="C7" s="30">
        <f>IF(747953.45327="","-",857186.04228/747953.45327*100)</f>
        <v>114.60419609434823</v>
      </c>
      <c r="D7" s="30">
        <v>100</v>
      </c>
      <c r="E7" s="30">
        <v>100</v>
      </c>
      <c r="F7" s="30">
        <f>IF(811971.85724="","-",(747953.45327-811971.85724)/811971.85724*100)</f>
        <v>-7.88431315681396</v>
      </c>
      <c r="G7" s="30">
        <f>IF(747953.45327="","-",(857186.04228-747953.45327)/747953.45327*100)</f>
        <v>14.604196094348222</v>
      </c>
    </row>
    <row r="8" spans="1:7" ht="15">
      <c r="A8" s="53" t="s">
        <v>107</v>
      </c>
      <c r="B8" s="31"/>
      <c r="C8" s="31"/>
      <c r="D8" s="31"/>
      <c r="E8" s="31"/>
      <c r="F8" s="31"/>
      <c r="G8" s="31"/>
    </row>
    <row r="9" spans="1:7" ht="14.25" customHeight="1">
      <c r="A9" s="54" t="s">
        <v>35</v>
      </c>
      <c r="B9" s="25">
        <f>IF(182684.0243="","-",182684.0243)</f>
        <v>182684.0243</v>
      </c>
      <c r="C9" s="25">
        <f>IF(156530.88825="","-",182684.0243/156530.88825*100)</f>
        <v>116.70797140576504</v>
      </c>
      <c r="D9" s="25">
        <f>IF(156530.88825="","-",156530.88825/747953.45327*100)</f>
        <v>20.927891644280525</v>
      </c>
      <c r="E9" s="25">
        <f>IF(182684.0243="","-",182684.0243/857186.04228*100)</f>
        <v>21.31206240993903</v>
      </c>
      <c r="F9" s="25">
        <f>IF(811971.85724="","-",(156530.88825-207563.62101)/811971.85724*100)</f>
        <v>-6.285037135827223</v>
      </c>
      <c r="G9" s="25">
        <f>IF(747953.45327="","-",(182684.0243-156530.88825)/747953.45327*100)</f>
        <v>3.496626151755878</v>
      </c>
    </row>
    <row r="10" spans="1:7" s="9" customFormat="1" ht="12.75" customHeight="1">
      <c r="A10" s="59" t="s">
        <v>36</v>
      </c>
      <c r="B10" s="26">
        <f>IF(2418.99934="","-",2418.99934)</f>
        <v>2418.99934</v>
      </c>
      <c r="C10" s="26">
        <f>IF(OR(4682.36202="",2418.99934=""),"-",2418.99934/4682.36202*100)</f>
        <v>51.66194603637248</v>
      </c>
      <c r="D10" s="26">
        <f>IF(4682.36202="","-",4682.36202/747953.45327*100)</f>
        <v>0.6260231835990651</v>
      </c>
      <c r="E10" s="26">
        <f>IF(2418.99934="","-",2418.99934/857186.04228*100)</f>
        <v>0.28220237156052913</v>
      </c>
      <c r="F10" s="26">
        <f>IF(OR(811971.85724="",1713.1887="",4682.36202=""),"-",(4682.36202-1713.1887)/811971.85724*100)</f>
        <v>0.3656744126690072</v>
      </c>
      <c r="G10" s="26">
        <f>IF(OR(747953.45327="",2418.99934="",4682.36202=""),"-",(2418.99934-4682.36202)/747953.45327*100)</f>
        <v>-0.3026074243129351</v>
      </c>
    </row>
    <row r="11" spans="1:7" s="9" customFormat="1" ht="15">
      <c r="A11" s="59" t="s">
        <v>37</v>
      </c>
      <c r="B11" s="26">
        <f>IF(3321.04138="","-",3321.04138)</f>
        <v>3321.04138</v>
      </c>
      <c r="C11" s="26" t="s">
        <v>27</v>
      </c>
      <c r="D11" s="26">
        <f>IF(1701.96623="","-",1701.96623/747953.45327*100)</f>
        <v>0.22754975226855667</v>
      </c>
      <c r="E11" s="26">
        <f>IF(3321.04138="","-",3321.04138/857186.04228*100)</f>
        <v>0.38743530764528955</v>
      </c>
      <c r="F11" s="26">
        <f>IF(OR(811971.85724="",897.0871="",1701.96623=""),"-",(1701.96623-897.0871)/811971.85724*100)</f>
        <v>0.09912648114872981</v>
      </c>
      <c r="G11" s="26">
        <f>IF(OR(747953.45327="",3321.04138="",1701.96623=""),"-",(3321.04138-1701.96623)/747953.45327*100)</f>
        <v>0.2164673674439923</v>
      </c>
    </row>
    <row r="12" spans="1:7" s="9" customFormat="1" ht="15">
      <c r="A12" s="59" t="s">
        <v>38</v>
      </c>
      <c r="B12" s="26">
        <f>IF(9795.47135="","-",9795.47135)</f>
        <v>9795.47135</v>
      </c>
      <c r="C12" s="26" t="s">
        <v>212</v>
      </c>
      <c r="D12" s="26">
        <f>IF(6001.73349="","-",6001.73349/747953.45327*100)</f>
        <v>0.8024207206692933</v>
      </c>
      <c r="E12" s="26">
        <f>IF(9795.47135="","-",9795.47135/857186.04228*100)</f>
        <v>1.142747416178798</v>
      </c>
      <c r="F12" s="26">
        <f>IF(OR(811971.85724="",4464.5442="",6001.73349=""),"-",(6001.73349-4464.5442)/811971.85724*100)</f>
        <v>0.1893155872698728</v>
      </c>
      <c r="G12" s="26">
        <f>IF(OR(747953.45327="",9795.47135="",6001.73349=""),"-",(9795.47135-6001.73349)/747953.45327*100)</f>
        <v>0.507215769031354</v>
      </c>
    </row>
    <row r="13" spans="1:7" s="9" customFormat="1" ht="15">
      <c r="A13" s="59" t="s">
        <v>40</v>
      </c>
      <c r="B13" s="26">
        <f>IF(56792.26219="","-",56792.26219)</f>
        <v>56792.26219</v>
      </c>
      <c r="C13" s="26">
        <f>IF(OR(43738.24788="",56792.26219=""),"-",56792.26219/43738.24788*100)</f>
        <v>129.84576416004344</v>
      </c>
      <c r="D13" s="26">
        <f>IF(43738.24788="","-",43738.24788/747953.45327*100)</f>
        <v>5.847723235821621</v>
      </c>
      <c r="E13" s="26">
        <f>IF(56792.26219="","-",56792.26219/857186.04228*100)</f>
        <v>6.62543011537381</v>
      </c>
      <c r="F13" s="26">
        <f>IF(OR(811971.85724="",58547.06528="",43738.24788=""),"-",(43738.24788-58547.06528)/811971.85724*100)</f>
        <v>-1.8238091958429612</v>
      </c>
      <c r="G13" s="26">
        <f>IF(OR(747953.45327="",56792.26219="",43738.24788=""),"-",(56792.26219-43738.24788)/747953.45327*100)</f>
        <v>1.7452976856953815</v>
      </c>
    </row>
    <row r="14" spans="1:7" s="9" customFormat="1" ht="15">
      <c r="A14" s="59" t="s">
        <v>41</v>
      </c>
      <c r="B14" s="26">
        <f>IF(81849.192="","-",81849.192)</f>
        <v>81849.192</v>
      </c>
      <c r="C14" s="26">
        <f>IF(OR(71227.63952="",81849.192=""),"-",81849.192/71227.63952*100)</f>
        <v>114.91212196778973</v>
      </c>
      <c r="D14" s="26">
        <f>IF(71227.63952="","-",71227.63952/747953.45327*100)</f>
        <v>9.523004300414383</v>
      </c>
      <c r="E14" s="26">
        <f>IF(81849.192="","-",81849.192/857186.04228*100)</f>
        <v>9.548591316570217</v>
      </c>
      <c r="F14" s="26">
        <f>IF(OR(811971.85724="",106636.38312="",71227.63952=""),"-",(71227.63952-106636.38312)/811971.85724*100)</f>
        <v>-4.360833849631071</v>
      </c>
      <c r="G14" s="26">
        <f>IF(OR(747953.45327="",81849.192="",71227.63952=""),"-",(81849.192-71227.63952)/747953.45327*100)</f>
        <v>1.420082016275654</v>
      </c>
    </row>
    <row r="15" spans="1:7" s="9" customFormat="1" ht="15.75" customHeight="1">
      <c r="A15" s="59" t="s">
        <v>42</v>
      </c>
      <c r="B15" s="26">
        <f>IF(17572.57313="","-",17572.57313)</f>
        <v>17572.57313</v>
      </c>
      <c r="C15" s="26">
        <f>IF(OR(18591.41343="",17572.57313=""),"-",17572.57313/18591.41343*100)</f>
        <v>94.51983409526062</v>
      </c>
      <c r="D15" s="26">
        <f>IF(18591.41343="","-",18591.41343/747953.45327*100)</f>
        <v>2.485637755761357</v>
      </c>
      <c r="E15" s="26">
        <f>IF(17572.57313="","-",17572.57313/857186.04228*100)</f>
        <v>2.0500302458564668</v>
      </c>
      <c r="F15" s="26">
        <f>IF(OR(811971.85724="",22412.71065="",18591.41343=""),"-",(18591.41343-22412.71065)/811971.85724*100)</f>
        <v>-0.4706194169080066</v>
      </c>
      <c r="G15" s="26">
        <f>IF(OR(747953.45327="",17572.57313="",18591.41343=""),"-",(17572.57313-18591.41343)/747953.45327*100)</f>
        <v>-0.13621707280656323</v>
      </c>
    </row>
    <row r="16" spans="1:7" s="9" customFormat="1" ht="26.25">
      <c r="A16" s="59" t="s">
        <v>43</v>
      </c>
      <c r="B16" s="26">
        <f>IF(3659.15009="","-",3659.15009)</f>
        <v>3659.15009</v>
      </c>
      <c r="C16" s="26">
        <f>IF(OR(3036.43768="",3659.15009=""),"-",3659.15009/3036.43768*100)</f>
        <v>120.50799244462019</v>
      </c>
      <c r="D16" s="26">
        <f>IF(3036.43768="","-",3036.43768/747953.45327*100)</f>
        <v>0.4059661288713766</v>
      </c>
      <c r="E16" s="26">
        <f>IF(3659.15009="","-",3659.15009/857186.04228*100)</f>
        <v>0.42687933651686055</v>
      </c>
      <c r="F16" s="26">
        <f>IF(OR(811971.85724="",2987.89405="",3036.43768=""),"-",(3036.43768-2987.89405)/811971.85724*100)</f>
        <v>0.005978486762460752</v>
      </c>
      <c r="G16" s="26">
        <f>IF(OR(747953.45327="",3659.15009="",3036.43768=""),"-",(3659.15009-3036.43768)/747953.45327*100)</f>
        <v>0.08325550303665892</v>
      </c>
    </row>
    <row r="17" spans="1:7" s="9" customFormat="1" ht="26.25">
      <c r="A17" s="59" t="s">
        <v>44</v>
      </c>
      <c r="B17" s="26">
        <f>IF(6141.95832="","-",6141.95832)</f>
        <v>6141.95832</v>
      </c>
      <c r="C17" s="26">
        <f>IF(OR(5906.08046="",6141.95832=""),"-",6141.95832/5906.08046*100)</f>
        <v>103.99381386009765</v>
      </c>
      <c r="D17" s="26">
        <f>IF(5906.08046="","-",5906.08046/747953.45327*100)</f>
        <v>0.7896320866196994</v>
      </c>
      <c r="E17" s="26">
        <f>IF(6141.95832="","-",6141.95832/857186.04228*100)</f>
        <v>0.7165257035290978</v>
      </c>
      <c r="F17" s="26">
        <f>IF(OR(811971.85724="",8988.60711="",5906.08046=""),"-",(5906.08046-8988.60711)/811971.85724*100)</f>
        <v>-0.37963466621588554</v>
      </c>
      <c r="G17" s="26">
        <f>IF(OR(747953.45327="",6141.95832="",5906.08046=""),"-",(6141.95832-5906.08046)/747953.45327*100)</f>
        <v>0.03153643571919591</v>
      </c>
    </row>
    <row r="18" spans="1:7" s="9" customFormat="1" ht="26.25">
      <c r="A18" s="59" t="s">
        <v>45</v>
      </c>
      <c r="B18" s="26">
        <f>IF(1126.43282="","-",1126.43282)</f>
        <v>1126.43282</v>
      </c>
      <c r="C18" s="26">
        <f>IF(OR(1641.20152="",1126.43282=""),"-",1126.43282/1641.20152*100)</f>
        <v>68.63464396498973</v>
      </c>
      <c r="D18" s="26">
        <f>IF(1641.20152="","-",1641.20152/747953.45327*100)</f>
        <v>0.21942562238663144</v>
      </c>
      <c r="E18" s="26">
        <f>IF(1126.43282="","-",1126.43282/857186.04228*100)</f>
        <v>0.13141054152069948</v>
      </c>
      <c r="F18" s="26">
        <f>IF(OR(811971.85724="",910.12663="",1641.20152=""),"-",(1641.20152-910.12663)/811971.85724*100)</f>
        <v>0.0900369740011705</v>
      </c>
      <c r="G18" s="26">
        <f>IF(OR(747953.45327="",1126.43282="",1641.20152=""),"-",(1126.43282-1641.20152)/747953.45327*100)</f>
        <v>-0.06882362769360412</v>
      </c>
    </row>
    <row r="19" spans="1:7" s="9" customFormat="1" ht="15">
      <c r="A19" s="56" t="s">
        <v>46</v>
      </c>
      <c r="B19" s="25">
        <f>IF(67798.18389="","-",67798.18389)</f>
        <v>67798.18389</v>
      </c>
      <c r="C19" s="25">
        <f>IF(64591.48591="","-",67798.18389/64591.48591*100)</f>
        <v>104.964583079058</v>
      </c>
      <c r="D19" s="25">
        <f>IF(64591.48591="","-",64591.48591/747953.45327*100)</f>
        <v>8.635762777430942</v>
      </c>
      <c r="E19" s="25">
        <f>IF(67798.18389="","-",67798.18389/857186.04228*100)</f>
        <v>7.909389624411746</v>
      </c>
      <c r="F19" s="25">
        <f>IF(811971.85724="","-",(64591.48591-59717.08616)/811971.85724*100)</f>
        <v>0.6003163418210989</v>
      </c>
      <c r="G19" s="25">
        <f>IF(747953.45327="","-",(67798.18389-64591.48591)/747953.45327*100)</f>
        <v>0.4287296175959264</v>
      </c>
    </row>
    <row r="20" spans="1:7" s="9" customFormat="1" ht="15">
      <c r="A20" s="59" t="s">
        <v>47</v>
      </c>
      <c r="B20" s="26">
        <f>IF(62558.13073="","-",62558.13073)</f>
        <v>62558.13073</v>
      </c>
      <c r="C20" s="26">
        <f>IF(OR(60236.44787="",62558.13073=""),"-",62558.13073/60236.44787*100)</f>
        <v>103.85428248526634</v>
      </c>
      <c r="D20" s="26">
        <f>IF(60236.44787="","-",60236.44787/747953.45327*100)</f>
        <v>8.053502207477013</v>
      </c>
      <c r="E20" s="26">
        <f>IF(62558.13073="","-",62558.13073/857186.04228*100)</f>
        <v>7.298080888438611</v>
      </c>
      <c r="F20" s="26">
        <f>IF(OR(811971.85724="",55215.30761="",60236.44787=""),"-",(60236.44787-55215.30761)/811971.85724*100)</f>
        <v>0.6183884595541921</v>
      </c>
      <c r="G20" s="26">
        <f>IF(OR(747953.45327="",62558.13073="",60236.44787=""),"-",(62558.13073-60236.44787)/747953.45327*100)</f>
        <v>0.3104047250333238</v>
      </c>
    </row>
    <row r="21" spans="1:7" s="9" customFormat="1" ht="15">
      <c r="A21" s="59" t="s">
        <v>48</v>
      </c>
      <c r="B21" s="26">
        <f>IF(5240.05316="","-",5240.05316)</f>
        <v>5240.05316</v>
      </c>
      <c r="C21" s="26">
        <f>IF(OR(4355.03804="",5240.05316=""),"-",5240.05316/4355.03804*100)</f>
        <v>120.32163925713952</v>
      </c>
      <c r="D21" s="26">
        <f>IF(4355.03804="","-",4355.03804/747953.45327*100)</f>
        <v>0.5822605699539295</v>
      </c>
      <c r="E21" s="26">
        <f>IF(5240.05316="","-",5240.05316/857186.04228*100)</f>
        <v>0.6113087359731338</v>
      </c>
      <c r="F21" s="26">
        <f>IF(OR(811971.85724="",4501.77855="",4355.03804=""),"-",(4355.03804-4501.77855)/811971.85724*100)</f>
        <v>-0.018072117733093616</v>
      </c>
      <c r="G21" s="26">
        <f>IF(OR(747953.45327="",5240.05316="",4355.03804=""),"-",(5240.05316-4355.03804)/747953.45327*100)</f>
        <v>0.11832489256260212</v>
      </c>
    </row>
    <row r="22" spans="1:7" s="9" customFormat="1" ht="26.25">
      <c r="A22" s="56" t="s">
        <v>49</v>
      </c>
      <c r="B22" s="25">
        <f>IF(101197.46437="","-",101197.46437)</f>
        <v>101197.46437</v>
      </c>
      <c r="C22" s="25">
        <f>IF(87108.93="","-",101197.46437/87108.93*100)</f>
        <v>116.17346737010776</v>
      </c>
      <c r="D22" s="25">
        <f>IF(87108.93="","-",87108.93/747953.45327*100)</f>
        <v>11.646303606082151</v>
      </c>
      <c r="E22" s="25">
        <f>IF(101197.46437="","-",101197.46437/857186.04228*100)</f>
        <v>11.80577603676657</v>
      </c>
      <c r="F22" s="25">
        <f>IF(811971.85724="","-",(87108.93-115068.79274)/811971.85724*100)</f>
        <v>-3.443452194887553</v>
      </c>
      <c r="G22" s="25">
        <f>IF(747953.45327="","-",(101197.46437-87108.93)/747953.45327*100)</f>
        <v>1.8836111135533802</v>
      </c>
    </row>
    <row r="23" spans="1:8" s="9" customFormat="1" ht="26.25">
      <c r="A23" s="59" t="s">
        <v>50</v>
      </c>
      <c r="B23" s="26">
        <f>IF(1792.81104="","-",1792.81104)</f>
        <v>1792.81104</v>
      </c>
      <c r="C23" s="26">
        <f>IF(OR(1900.41288="",1792.81104=""),"-",1792.81104/1900.41288*100)</f>
        <v>94.33797565084909</v>
      </c>
      <c r="D23" s="26">
        <f>IF(1900.41288="","-",1900.41288/747953.45327*100)</f>
        <v>0.2540817041075923</v>
      </c>
      <c r="E23" s="26">
        <f>IF(1792.81104="","-",1792.81104/857186.04228*100)</f>
        <v>0.2091507504288524</v>
      </c>
      <c r="F23" s="26">
        <f>IF(OR(811971.85724="",1757.16655="",1900.41288=""),"-",(1900.41288-1757.16655)/811971.85724*100)</f>
        <v>0.01764178508438869</v>
      </c>
      <c r="G23" s="26">
        <f>IF(OR(747953.45327="",1792.81104="",1900.41288=""),"-",(1792.81104-1900.41288)/747953.45327*100)</f>
        <v>-0.014386167953309438</v>
      </c>
      <c r="H23" s="7"/>
    </row>
    <row r="24" spans="1:8" s="9" customFormat="1" ht="15">
      <c r="A24" s="59" t="s">
        <v>51</v>
      </c>
      <c r="B24" s="26">
        <f>IF(86563.43774="","-",86563.43774)</f>
        <v>86563.43774</v>
      </c>
      <c r="C24" s="26">
        <f>IF(OR(75044.45263="",86563.43774=""),"-",86563.43774/75044.45263*100)</f>
        <v>115.34954910897055</v>
      </c>
      <c r="D24" s="26">
        <f>IF(75044.45263="","-",75044.45263/747953.45327*100)</f>
        <v>10.033305187897845</v>
      </c>
      <c r="E24" s="26">
        <f>IF(86563.43774="","-",86563.43774/857186.04228*100)</f>
        <v>10.098558944071563</v>
      </c>
      <c r="F24" s="26">
        <f>IF(OR(811971.85724="",95104.76254="",75044.45263=""),"-",(75044.45263-95104.76254)/811971.85724*100)</f>
        <v>-2.4705671423376234</v>
      </c>
      <c r="G24" s="26">
        <f>IF(OR(747953.45327="",86563.43774="",75044.45263=""),"-",(86563.43774-75044.45263)/747953.45327*100)</f>
        <v>1.54006710706927</v>
      </c>
      <c r="H24" s="8"/>
    </row>
    <row r="25" spans="1:8" s="9" customFormat="1" ht="15">
      <c r="A25" s="59" t="s">
        <v>53</v>
      </c>
      <c r="B25" s="26">
        <f>IF(184.22443="","-",184.22443)</f>
        <v>184.22443</v>
      </c>
      <c r="C25" s="26">
        <f>IF(OR(1084.90288="",184.22443=""),"-",184.22443/1084.90288*100)</f>
        <v>16.980730109224154</v>
      </c>
      <c r="D25" s="26">
        <f>IF(1084.90288="","-",1084.90288/747953.45327*100)</f>
        <v>0.1450495181560939</v>
      </c>
      <c r="E25" s="26">
        <f>IF(184.22443="","-",184.22443/857186.04228*100)</f>
        <v>0.02149176735425926</v>
      </c>
      <c r="F25" s="26">
        <f>IF(OR(811971.85724="",1194.93879="",1084.90288=""),"-",(1084.90288-1194.93879)/811971.85724*100)</f>
        <v>-0.013551690125569928</v>
      </c>
      <c r="G25" s="26">
        <f>IF(OR(747953.45327="",184.22443="",1084.90288=""),"-",(184.22443-1084.90288)/747953.45327*100)</f>
        <v>-0.12041905095327751</v>
      </c>
      <c r="H25" s="8"/>
    </row>
    <row r="26" spans="1:8" s="9" customFormat="1" ht="15">
      <c r="A26" s="59" t="s">
        <v>54</v>
      </c>
      <c r="B26" s="26">
        <f>IF(1043.93974="","-",1043.93974)</f>
        <v>1043.93974</v>
      </c>
      <c r="C26" s="26">
        <f>IF(OR(985.28766="",1043.93974=""),"-",1043.93974/985.28766*100)</f>
        <v>105.95278743265699</v>
      </c>
      <c r="D26" s="26">
        <f>IF(985.28766="","-",985.28766/747953.45327*100)</f>
        <v>0.13173114659640803</v>
      </c>
      <c r="E26" s="26">
        <f>IF(1043.93974="","-",1043.93974/857186.04228*100)</f>
        <v>0.12178683372203077</v>
      </c>
      <c r="F26" s="26">
        <f>IF(OR(811971.85724="",620.83811="",985.28766=""),"-",(985.28766-620.83811)/811971.85724*100)</f>
        <v>0.04488450514021659</v>
      </c>
      <c r="G26" s="26">
        <f>IF(OR(747953.45327="",1043.93974="",985.28766=""),"-",(1043.93974-985.28766)/747953.45327*100)</f>
        <v>0.007841675139485924</v>
      </c>
      <c r="H26" s="8"/>
    </row>
    <row r="27" spans="1:8" s="9" customFormat="1" ht="39">
      <c r="A27" s="59" t="s">
        <v>55</v>
      </c>
      <c r="B27" s="26">
        <f>IF(125.89759="","-",125.89759)</f>
        <v>125.89759</v>
      </c>
      <c r="C27" s="26">
        <f>IF(OR(519.76187="",125.89759=""),"-",125.89759/519.76187*100)</f>
        <v>24.222167355215955</v>
      </c>
      <c r="D27" s="26">
        <f>IF(519.76187="","-",519.76187/747953.45327*100)</f>
        <v>0.06949120533204808</v>
      </c>
      <c r="E27" s="26">
        <f>IF(125.89759="","-",125.89759/857186.04228*100)</f>
        <v>0.014687312180810746</v>
      </c>
      <c r="F27" s="26">
        <f>IF(OR(811971.85724="",1564.994="",519.76187=""),"-",(519.76187-1564.994)/811971.85724*100)</f>
        <v>-0.12872763023497913</v>
      </c>
      <c r="G27" s="26">
        <f>IF(OR(747953.45327="",125.89759="",519.76187=""),"-",(125.89759-519.76187)/747953.45327*100)</f>
        <v>-0.052658929279362644</v>
      </c>
      <c r="H27" s="8"/>
    </row>
    <row r="28" spans="1:8" s="9" customFormat="1" ht="39">
      <c r="A28" s="59" t="s">
        <v>56</v>
      </c>
      <c r="B28" s="26">
        <f>IF(3831.7961="","-",3831.7961)</f>
        <v>3831.7961</v>
      </c>
      <c r="C28" s="26" t="s">
        <v>211</v>
      </c>
      <c r="D28" s="26">
        <f>IF(2286.43284="","-",2286.43284/747953.45327*100)</f>
        <v>0.3056918622414103</v>
      </c>
      <c r="E28" s="26">
        <f>IF(3831.7961="","-",3831.7961/857186.04228*100)</f>
        <v>0.4470203562587109</v>
      </c>
      <c r="F28" s="26">
        <f>IF(OR(811971.85724="",2949.07719="",2286.43284=""),"-",(2286.43284-2949.07719)/811971.85724*100)</f>
        <v>-0.0816092755052393</v>
      </c>
      <c r="G28" s="26">
        <f>IF(OR(747953.45327="",3831.7961="",2286.43284=""),"-",(3831.7961-2286.43284)/747953.45327*100)</f>
        <v>0.2066122234269767</v>
      </c>
      <c r="H28" s="8"/>
    </row>
    <row r="29" spans="1:8" s="9" customFormat="1" ht="14.25" customHeight="1">
      <c r="A29" s="59" t="s">
        <v>57</v>
      </c>
      <c r="B29" s="26">
        <f>IF(6554.01653="","-",6554.01653)</f>
        <v>6554.01653</v>
      </c>
      <c r="C29" s="26">
        <f>IF(OR(4474.76794="",6554.01653=""),"-",6554.01653/4474.76794*100)</f>
        <v>146.4660652324241</v>
      </c>
      <c r="D29" s="26">
        <f>IF(4474.76794="","-",4474.76794/747953.45327*100)</f>
        <v>0.5982682372060224</v>
      </c>
      <c r="E29" s="26">
        <f>IF(6554.01653="","-",6554.01653/857186.04228*100)</f>
        <v>0.7645967394157742</v>
      </c>
      <c r="F29" s="26">
        <f>IF(OR(811971.85724="",8510.52262="",4474.76794=""),"-",(4474.76794-8510.52262)/811971.85724*100)</f>
        <v>-0.49703134954923994</v>
      </c>
      <c r="G29" s="26">
        <f>IF(OR(747953.45327="",6554.01653="",4474.76794=""),"-",(6554.01653-4474.76794)/747953.45327*100)</f>
        <v>0.27799170936502415</v>
      </c>
      <c r="H29" s="8"/>
    </row>
    <row r="30" spans="1:8" s="9" customFormat="1" ht="26.25">
      <c r="A30" s="59" t="s">
        <v>58</v>
      </c>
      <c r="B30" s="26">
        <f>IF(1100.95276="","-",1100.95276)</f>
        <v>1100.95276</v>
      </c>
      <c r="C30" s="26">
        <f>IF(OR(812.45015="",1100.95276=""),"-",1100.95276/812.45015*100)</f>
        <v>135.51019222533222</v>
      </c>
      <c r="D30" s="26">
        <f>IF(812.45015="","-",812.45015/747953.45327*100)</f>
        <v>0.10862308963853631</v>
      </c>
      <c r="E30" s="26">
        <f>IF(1100.95276="","-",1100.95276/857186.04228*100)</f>
        <v>0.12843801761769394</v>
      </c>
      <c r="F30" s="26">
        <f>IF(OR(811971.85724="",2170.99007="",812.45015=""),"-",(812.45015-2170.99007)/811971.85724*100)</f>
        <v>-0.16731367077399173</v>
      </c>
      <c r="G30" s="26">
        <f>IF(OR(747953.45327="",1100.95276="",812.45015=""),"-",(1100.95276-812.45015)/747953.45327*100)</f>
        <v>0.038572267931739165</v>
      </c>
      <c r="H30" s="8"/>
    </row>
    <row r="31" spans="1:8" s="9" customFormat="1" ht="26.25">
      <c r="A31" s="56" t="s">
        <v>59</v>
      </c>
      <c r="B31" s="25">
        <f>IF(5659.31182="","-",5659.31182)</f>
        <v>5659.31182</v>
      </c>
      <c r="C31" s="25" t="s">
        <v>181</v>
      </c>
      <c r="D31" s="25">
        <f>IF(1991.7017="","-",1991.7017/747953.45327*100)</f>
        <v>0.2662868513130623</v>
      </c>
      <c r="E31" s="25">
        <f>IF(5659.31182="","-",5659.31182/857186.04228*100)</f>
        <v>0.6602197820378629</v>
      </c>
      <c r="F31" s="25">
        <f>IF(811971.85724="","-",(1991.7017-3830.83444)/811971.85724*100)</f>
        <v>-0.2265020300397425</v>
      </c>
      <c r="G31" s="25">
        <f>IF(747953.45327="","-",(5659.31182-1991.7017)/747953.45327*100)</f>
        <v>0.49035272234728855</v>
      </c>
      <c r="H31" s="8"/>
    </row>
    <row r="32" spans="1:8" s="9" customFormat="1" ht="15" customHeight="1">
      <c r="A32" s="59" t="s">
        <v>61</v>
      </c>
      <c r="B32" s="26">
        <f>IF(5656.53763="","-",5656.53763)</f>
        <v>5656.53763</v>
      </c>
      <c r="C32" s="26" t="s">
        <v>181</v>
      </c>
      <c r="D32" s="26">
        <f>IF(1988.82461="","-",1988.82461/747953.45327*100)</f>
        <v>0.2659021896757075</v>
      </c>
      <c r="E32" s="26">
        <f>IF(5656.53763="","-",5656.53763/857186.04228*100)</f>
        <v>0.6598961428436664</v>
      </c>
      <c r="F32" s="26">
        <f>IF(OR(811971.85724="",3765.82847="",1988.82461=""),"-",(1988.82461-3765.82847)/811971.85724*100)</f>
        <v>-0.21885042494456294</v>
      </c>
      <c r="G32" s="26">
        <f>IF(OR(747953.45327="",5656.53763="",1988.82461=""),"-",(5656.53763-1988.82461)/747953.45327*100)</f>
        <v>0.4903664798878882</v>
      </c>
      <c r="H32" s="8"/>
    </row>
    <row r="33" spans="1:7" s="9" customFormat="1" ht="26.25">
      <c r="A33" s="56" t="s">
        <v>64</v>
      </c>
      <c r="B33" s="25">
        <f>IF(24354.06101="","-",24354.06101)</f>
        <v>24354.06101</v>
      </c>
      <c r="C33" s="25">
        <f>IF(22238.15761="","-",24354.06101/22238.15761*100)</f>
        <v>109.51474235009707</v>
      </c>
      <c r="D33" s="25">
        <f>IF(22238.15761="","-",22238.15761/747953.45327*100)</f>
        <v>2.9732007403370266</v>
      </c>
      <c r="E33" s="25">
        <f>IF(24354.06101="","-",24354.06101/857186.04228*100)</f>
        <v>2.841163972434906</v>
      </c>
      <c r="F33" s="25">
        <f>IF(811971.85724="","-",(22238.15761-36830.01353)/811971.85724*100)</f>
        <v>-1.7970888756661654</v>
      </c>
      <c r="G33" s="25">
        <f>IF(747953.45327="","-",(24354.06101-22238.15761)/747953.45327*100)</f>
        <v>0.28289238999424654</v>
      </c>
    </row>
    <row r="34" spans="1:7" s="9" customFormat="1" ht="26.25">
      <c r="A34" s="59" t="s">
        <v>66</v>
      </c>
      <c r="B34" s="26">
        <f>IF(24262.73068="","-",24262.73068)</f>
        <v>24262.73068</v>
      </c>
      <c r="C34" s="26">
        <f>IF(OR(22207.77402="",24262.73068=""),"-",24262.73068/22207.77402*100)</f>
        <v>109.25332119351239</v>
      </c>
      <c r="D34" s="26">
        <f>IF(22207.77402="","-",22207.77402/747953.45327*100)</f>
        <v>2.9691385102788375</v>
      </c>
      <c r="E34" s="26">
        <f>IF(24262.73068="","-",24262.73068/857186.04228*100)</f>
        <v>2.8305093040787725</v>
      </c>
      <c r="F34" s="26">
        <f>IF(OR(811971.85724="",36829.46875="",22207.77402=""),"-",(22207.77402-36829.46875)/811971.85724*100)</f>
        <v>-1.8007637333270488</v>
      </c>
      <c r="G34" s="26">
        <f>IF(OR(747953.45327="",24262.73068="",22207.77402=""),"-",(24262.73068-22207.77402)/747953.45327*100)</f>
        <v>0.2747439230363699</v>
      </c>
    </row>
    <row r="35" spans="1:7" s="9" customFormat="1" ht="26.25">
      <c r="A35" s="56" t="s">
        <v>68</v>
      </c>
      <c r="B35" s="25">
        <f>IF(47040.70333="","-",47040.70333)</f>
        <v>47040.70333</v>
      </c>
      <c r="C35" s="25">
        <f>IF(37231.85506="","-",47040.70333/37231.85506*100)</f>
        <v>126.34531170738823</v>
      </c>
      <c r="D35" s="25">
        <f>IF(37231.85506="","-",37231.85506/747953.45327*100)</f>
        <v>4.977830491620159</v>
      </c>
      <c r="E35" s="25">
        <f>IF(47040.70333="","-",47040.70333/857186.04228*100)</f>
        <v>5.487805564924742</v>
      </c>
      <c r="F35" s="25">
        <f>IF(811971.85724="","-",(37231.85506-44980.08111)/811971.85724*100)</f>
        <v>-0.9542481036642384</v>
      </c>
      <c r="G35" s="25">
        <f>IF(747953.45327="","-",(47040.70333-37231.85506)/747953.45327*100)</f>
        <v>1.3114249592827465</v>
      </c>
    </row>
    <row r="36" spans="1:7" s="9" customFormat="1" ht="15">
      <c r="A36" s="59" t="s">
        <v>69</v>
      </c>
      <c r="B36" s="26">
        <f>IF(9868.3444="","-",9868.3444)</f>
        <v>9868.3444</v>
      </c>
      <c r="C36" s="26" t="s">
        <v>211</v>
      </c>
      <c r="D36" s="26">
        <f>IF(5944.17364="","-",5944.17364/747953.45327*100)</f>
        <v>0.794725074670421</v>
      </c>
      <c r="E36" s="26">
        <f>IF(9868.3444="","-",9868.3444/857186.04228*100)</f>
        <v>1.1512488436875996</v>
      </c>
      <c r="F36" s="26">
        <f>IF(OR(811971.85724="",962.94291="",5944.17364=""),"-",(5944.17364-962.94291)/811971.85724*100)</f>
        <v>0.6134733224537934</v>
      </c>
      <c r="G36" s="26">
        <f>IF(OR(747953.45327="",9868.3444="",5944.17364=""),"-",(9868.3444-5944.17364)/747953.45327*100)</f>
        <v>0.5246544076832322</v>
      </c>
    </row>
    <row r="37" spans="1:7" s="9" customFormat="1" ht="15">
      <c r="A37" s="59" t="s">
        <v>70</v>
      </c>
      <c r="B37" s="26">
        <f>IF(480.05303="","-",480.05303)</f>
        <v>480.05303</v>
      </c>
      <c r="C37" s="26" t="s">
        <v>213</v>
      </c>
      <c r="D37" s="26">
        <f>IF(253.60245="","-",253.60245/747953.45327*100)</f>
        <v>0.033906180777863636</v>
      </c>
      <c r="E37" s="26">
        <f>IF(480.05303="","-",480.05303/857186.04228*100)</f>
        <v>0.056003365234823854</v>
      </c>
      <c r="F37" s="26">
        <f>IF(OR(811971.85724="",76.86293="",253.60245=""),"-",(253.60245-76.86293)/811971.85724*100)</f>
        <v>0.021766705141821177</v>
      </c>
      <c r="G37" s="26">
        <f>IF(OR(747953.45327="",480.05303="",253.60245=""),"-",(480.05303-253.60245)/747953.45327*100)</f>
        <v>0.030276025735287926</v>
      </c>
    </row>
    <row r="38" spans="1:7" s="9" customFormat="1" ht="15">
      <c r="A38" s="59" t="s">
        <v>71</v>
      </c>
      <c r="B38" s="26">
        <f>IF(376.70918="","-",376.70918)</f>
        <v>376.70918</v>
      </c>
      <c r="C38" s="26">
        <f>IF(OR(484.58826="",376.70918=""),"-",376.70918/484.58826*100)</f>
        <v>77.7379914238946</v>
      </c>
      <c r="D38" s="26">
        <f>IF(484.58826="","-",484.58826/747953.45327*100)</f>
        <v>0.06478855841649157</v>
      </c>
      <c r="E38" s="26">
        <f>IF(376.70918="","-",376.70918/857186.04228*100)</f>
        <v>0.04394719015699369</v>
      </c>
      <c r="F38" s="26">
        <f>IF(OR(811971.85724="",467.36952="",484.58826=""),"-",(484.58826-467.36952)/811971.85724*100)</f>
        <v>0.002120607980001764</v>
      </c>
      <c r="G38" s="26">
        <f>IF(OR(747953.45327="",376.70918="",484.58826=""),"-",(376.70918-484.58826)/747953.45327*100)</f>
        <v>-0.014423234431014419</v>
      </c>
    </row>
    <row r="39" spans="1:7" s="9" customFormat="1" ht="15">
      <c r="A39" s="59" t="s">
        <v>72</v>
      </c>
      <c r="B39" s="26">
        <f>IF(20719.74235="","-",20719.74235)</f>
        <v>20719.74235</v>
      </c>
      <c r="C39" s="26" t="s">
        <v>210</v>
      </c>
      <c r="D39" s="26">
        <f>IF(11287.29789="","-",11287.29789/747953.45327*100)</f>
        <v>1.509090952204676</v>
      </c>
      <c r="E39" s="26">
        <f>IF(20719.74235="","-",20719.74235/857186.04228*100)</f>
        <v>2.417181490133491</v>
      </c>
      <c r="F39" s="26">
        <f>IF(OR(811971.85724="",24395.39789="",11287.29789=""),"-",(11287.29789-24395.39789)/811971.85724*100)</f>
        <v>-1.6143539807594036</v>
      </c>
      <c r="G39" s="26">
        <f>IF(OR(747953.45327="",20719.74235="",11287.29789=""),"-",(20719.74235-11287.29789)/747953.45327*100)</f>
        <v>1.2611004627041984</v>
      </c>
    </row>
    <row r="40" spans="1:7" s="9" customFormat="1" ht="39">
      <c r="A40" s="59" t="s">
        <v>73</v>
      </c>
      <c r="B40" s="26">
        <f>IF(11773.70889="","-",11773.70889)</f>
        <v>11773.70889</v>
      </c>
      <c r="C40" s="26">
        <f>IF(OR(15285.39621="",11773.70889=""),"-",11773.70889/15285.39621*100)</f>
        <v>77.02586657385703</v>
      </c>
      <c r="D40" s="26">
        <f>IF(15285.39621="","-",15285.39621/747953.45327*100)</f>
        <v>2.0436293385869564</v>
      </c>
      <c r="E40" s="26">
        <f>IF(11773.70889="","-",11773.70889/857186.04228*100)</f>
        <v>1.3735301683965258</v>
      </c>
      <c r="F40" s="26">
        <f>IF(OR(811971.85724="",15796.84104="",15285.39621=""),"-",(15285.39621-15796.84104)/811971.85724*100)</f>
        <v>-0.06298799957654533</v>
      </c>
      <c r="G40" s="26">
        <f>IF(OR(747953.45327="",11773.70889="",15285.39621=""),"-",(11773.70889-15285.39621)/747953.45327*100)</f>
        <v>-0.4695061309827704</v>
      </c>
    </row>
    <row r="41" spans="1:7" s="9" customFormat="1" ht="15">
      <c r="A41" s="59" t="s">
        <v>75</v>
      </c>
      <c r="B41" s="26">
        <f>IF(1104.99964="","-",1104.99964)</f>
        <v>1104.99964</v>
      </c>
      <c r="C41" s="26">
        <f>IF(OR(1273.11019="",1104.99964=""),"-",1104.99964/1273.11019*100)</f>
        <v>86.79528674576078</v>
      </c>
      <c r="D41" s="26">
        <f>IF(1273.11019="","-",1273.11019/747953.45327*100)</f>
        <v>0.1702124890839198</v>
      </c>
      <c r="E41" s="26">
        <f>IF(1104.99964="","-",1104.99964/857186.04228*100)</f>
        <v>0.1289101298314248</v>
      </c>
      <c r="F41" s="26">
        <f>IF(OR(811971.85724="",1962.37972="",1273.11019=""),"-",(1273.11019-1962.37972)/811971.85724*100)</f>
        <v>-0.08488835220754057</v>
      </c>
      <c r="G41" s="26">
        <f>IF(OR(747953.45327="",1104.99964="",1273.11019=""),"-",(1104.99964-1273.11019)/747953.45327*100)</f>
        <v>-0.02247607110643484</v>
      </c>
    </row>
    <row r="42" spans="1:7" s="9" customFormat="1" ht="15">
      <c r="A42" s="59" t="s">
        <v>76</v>
      </c>
      <c r="B42" s="26">
        <f>IF(1396.45084="","-",1396.45084)</f>
        <v>1396.45084</v>
      </c>
      <c r="C42" s="26">
        <f>IF(OR(1250.09195="",1396.45084=""),"-",1396.45084/1250.09195*100)</f>
        <v>111.70784997055617</v>
      </c>
      <c r="D42" s="26">
        <f>IF(1250.09195="","-",1250.09195/747953.45327*100)</f>
        <v>0.16713499276387933</v>
      </c>
      <c r="E42" s="26">
        <f>IF(1396.45084="","-",1396.45084/857186.04228*100)</f>
        <v>0.16291105677428294</v>
      </c>
      <c r="F42" s="26">
        <f>IF(OR(811971.85724="",592.42338="",1250.09195=""),"-",(1250.09195-592.42338)/811971.85724*100)</f>
        <v>0.08099647347821914</v>
      </c>
      <c r="G42" s="26">
        <f>IF(OR(747953.45327="",1396.45084="",1250.09195=""),"-",(1396.45084-1250.09195)/747953.45327*100)</f>
        <v>0.01956791420109489</v>
      </c>
    </row>
    <row r="43" spans="1:7" s="9" customFormat="1" ht="15">
      <c r="A43" s="59" t="s">
        <v>77</v>
      </c>
      <c r="B43" s="26">
        <f>IF(1295.495="","-",1295.495)</f>
        <v>1295.495</v>
      </c>
      <c r="C43" s="26">
        <f>IF(OR(1438.94733="",1295.495=""),"-",1295.495/1438.94733*100)</f>
        <v>90.03074490572214</v>
      </c>
      <c r="D43" s="26">
        <f>IF(1438.94733="","-",1438.94733/747953.45327*100)</f>
        <v>0.19238460945785102</v>
      </c>
      <c r="E43" s="26">
        <f>IF(1295.495="","-",1295.495/857186.04228*100)</f>
        <v>0.15113346882715878</v>
      </c>
      <c r="F43" s="26">
        <f>IF(OR(811971.85724="",705.19979="",1438.94733=""),"-",(1438.94733-705.19979)/811971.85724*100)</f>
        <v>0.09036612949789974</v>
      </c>
      <c r="G43" s="26">
        <f>IF(OR(747953.45327="",1295.495="",1438.94733=""),"-",(1295.495-1438.94733)/747953.45327*100)</f>
        <v>-0.019179312478983357</v>
      </c>
    </row>
    <row r="44" spans="1:7" s="9" customFormat="1" ht="26.25">
      <c r="A44" s="56" t="s">
        <v>78</v>
      </c>
      <c r="B44" s="25">
        <f>IF(67771.26778="","-",67771.26778)</f>
        <v>67771.26778</v>
      </c>
      <c r="C44" s="25">
        <f>IF(71408.94391="","-",67771.26778/71408.94391*100)</f>
        <v>94.90585362166294</v>
      </c>
      <c r="D44" s="25">
        <f>IF(71408.94391="","-",71408.94391/747953.45327*100)</f>
        <v>9.547244363643902</v>
      </c>
      <c r="E44" s="25">
        <f>IF(67771.26778="","-",67771.26778/857186.04228*100)</f>
        <v>7.906249569782715</v>
      </c>
      <c r="F44" s="25">
        <f>IF(811971.85724="","-",(71408.94391-49581.13036)/811971.85724*100)</f>
        <v>2.688247548898509</v>
      </c>
      <c r="G44" s="25">
        <f>IF(747953.45327="","-",(67771.26778-71408.94391)/747953.45327*100)</f>
        <v>-0.48635060298155486</v>
      </c>
    </row>
    <row r="45" spans="1:7" s="9" customFormat="1" ht="15">
      <c r="A45" s="59" t="s">
        <v>79</v>
      </c>
      <c r="B45" s="26">
        <f>IF(1136.3789="","-",1136.3789)</f>
        <v>1136.3789</v>
      </c>
      <c r="C45" s="26">
        <f>IF(OR(744.60853="",1136.3789=""),"-",1136.3789/744.60853*100)</f>
        <v>152.6142737043316</v>
      </c>
      <c r="D45" s="26">
        <f>IF(744.60853="","-",744.60853/747953.45327*100)</f>
        <v>0.09955278991555207</v>
      </c>
      <c r="E45" s="26">
        <f>IF(1136.3789="","-",1136.3789/857186.04228*100)</f>
        <v>0.13257085906081534</v>
      </c>
      <c r="F45" s="26">
        <f>IF(OR(811971.85724="",547.7058="",744.60853=""),"-",(744.60853-547.7058)/811971.85724*100)</f>
        <v>0.024249945148259015</v>
      </c>
      <c r="G45" s="26">
        <f>IF(OR(747953.45327="",1136.3789="",744.60853=""),"-",(1136.3789-744.60853)/747953.45327*100)</f>
        <v>0.05237897736646677</v>
      </c>
    </row>
    <row r="46" spans="1:7" s="9" customFormat="1" ht="15">
      <c r="A46" s="59" t="s">
        <v>80</v>
      </c>
      <c r="B46" s="26">
        <f>IF(929.81653="","-",929.81653)</f>
        <v>929.81653</v>
      </c>
      <c r="C46" s="26">
        <f>IF(OR(5769.44484="",929.81653=""),"-",929.81653/5769.44484*100)</f>
        <v>16.116221851251808</v>
      </c>
      <c r="D46" s="26">
        <f>IF(5769.44484="","-",5769.44484/747953.45327*100)</f>
        <v>0.7713641557207058</v>
      </c>
      <c r="E46" s="26">
        <f>IF(929.81653="","-",929.81653/857186.04228*100)</f>
        <v>0.10847313000183864</v>
      </c>
      <c r="F46" s="26">
        <f>IF(OR(811971.85724="",2094.87273="",5769.44484=""),"-",(5769.44484-2094.87273)/811971.85724*100)</f>
        <v>0.45254919579237113</v>
      </c>
      <c r="G46" s="26">
        <f>IF(OR(747953.45327="",929.81653="",5769.44484=""),"-",(929.81653-5769.44484)/747953.45327*100)</f>
        <v>-0.6470493971037214</v>
      </c>
    </row>
    <row r="47" spans="1:7" s="9" customFormat="1" ht="15">
      <c r="A47" s="59" t="s">
        <v>81</v>
      </c>
      <c r="B47" s="26">
        <f>IF(3548.49167="","-",3548.49167)</f>
        <v>3548.49167</v>
      </c>
      <c r="C47" s="26">
        <f>IF(OR(3460.73565="",3548.49167=""),"-",3548.49167/3460.73565*100)</f>
        <v>102.53576201348982</v>
      </c>
      <c r="D47" s="26">
        <f>IF(3460.73565="","-",3460.73565/747953.45327*100)</f>
        <v>0.4626939864867134</v>
      </c>
      <c r="E47" s="26">
        <f>IF(3548.49167="","-",3548.49167/857186.04228*100)</f>
        <v>0.4139698379317385</v>
      </c>
      <c r="F47" s="26">
        <f>IF(OR(811971.85724="",2770.50763="",3460.73565=""),"-",(3460.73565-2770.50763)/811971.85724*100)</f>
        <v>0.08500639693919645</v>
      </c>
      <c r="G47" s="26">
        <f>IF(OR(747953.45327="",3548.49167="",3460.73565=""),"-",(3548.49167-3460.73565)/747953.45327*100)</f>
        <v>0.01173281834803177</v>
      </c>
    </row>
    <row r="48" spans="1:7" s="9" customFormat="1" ht="26.25">
      <c r="A48" s="59" t="s">
        <v>82</v>
      </c>
      <c r="B48" s="26">
        <f>IF(2730.11213="","-",2730.11213)</f>
        <v>2730.11213</v>
      </c>
      <c r="C48" s="26">
        <f>IF(OR(2802.20193="",2730.11213=""),"-",2730.11213/2802.20193*100)</f>
        <v>97.42738739745282</v>
      </c>
      <c r="D48" s="26">
        <f>IF(2802.20193="","-",2802.20193/747953.45327*100)</f>
        <v>0.3746492402366711</v>
      </c>
      <c r="E48" s="26">
        <f>IF(2730.11213="","-",2730.11213/857186.04228*100)</f>
        <v>0.3184970351055026</v>
      </c>
      <c r="F48" s="26">
        <f>IF(OR(811971.85724="",2741.1338="",2802.20193=""),"-",(2802.20193-2741.1338)/811971.85724*100)</f>
        <v>0.0075209663309734375</v>
      </c>
      <c r="G48" s="26">
        <f>IF(OR(747953.45327="",2730.11213="",2802.20193=""),"-",(2730.11213-2802.20193)/747953.45327*100)</f>
        <v>-0.009638273569675846</v>
      </c>
    </row>
    <row r="49" spans="1:7" s="9" customFormat="1" ht="39">
      <c r="A49" s="59" t="s">
        <v>83</v>
      </c>
      <c r="B49" s="26">
        <f>IF(35264.14739="","-",35264.14739)</f>
        <v>35264.14739</v>
      </c>
      <c r="C49" s="26">
        <f>IF(OR(32655.74654="",35264.14739=""),"-",35264.14739/32655.74654*100)</f>
        <v>107.98757072298125</v>
      </c>
      <c r="D49" s="26">
        <f>IF(32655.74654="","-",32655.74654/747953.45327*100)</f>
        <v>4.366013205398192</v>
      </c>
      <c r="E49" s="26">
        <f>IF(35264.14739="","-",35264.14739/857186.04228*100)</f>
        <v>4.113943257428935</v>
      </c>
      <c r="F49" s="26">
        <f>IF(OR(811971.85724="",19563.64496="",32655.74654=""),"-",(32655.74654-19563.64496)/811971.85724*100)</f>
        <v>1.6123836637025557</v>
      </c>
      <c r="G49" s="26">
        <f>IF(OR(747953.45327="",35264.14739="",32655.74654=""),"-",(35264.14739-32655.74654)/747953.45327*100)</f>
        <v>0.3487383925558806</v>
      </c>
    </row>
    <row r="50" spans="1:7" s="9" customFormat="1" ht="15">
      <c r="A50" s="59" t="s">
        <v>84</v>
      </c>
      <c r="B50" s="26">
        <f>IF(10599.27719="","-",10599.27719)</f>
        <v>10599.27719</v>
      </c>
      <c r="C50" s="26">
        <f>IF(OR(12543.11648="",10599.27719=""),"-",10599.27719/12543.11648*100)</f>
        <v>84.50274066178488</v>
      </c>
      <c r="D50" s="26">
        <f>IF(12543.11648="","-",12543.11648/747953.45327*100)</f>
        <v>1.676991586195956</v>
      </c>
      <c r="E50" s="26">
        <f>IF(10599.27719="","-",10599.27719/857186.04228*100)</f>
        <v>1.2365200396645917</v>
      </c>
      <c r="F50" s="26">
        <f>IF(OR(811971.85724="",12280.73621="",12543.11648=""),"-",(12543.11648-12280.73621)/811971.85724*100)</f>
        <v>0.03231396108873364</v>
      </c>
      <c r="G50" s="26">
        <f>IF(OR(747953.45327="",10599.27719="",12543.11648=""),"-",(10599.27719-12543.11648)/747953.45327*100)</f>
        <v>-0.2598877351928346</v>
      </c>
    </row>
    <row r="51" spans="1:7" s="9" customFormat="1" ht="15">
      <c r="A51" s="59" t="s">
        <v>85</v>
      </c>
      <c r="B51" s="26">
        <f>IF(965.56415="","-",965.56415)</f>
        <v>965.56415</v>
      </c>
      <c r="C51" s="26">
        <f>IF(OR(1289.70891="",965.56415=""),"-",965.56415/1289.70891*100)</f>
        <v>74.86682789529615</v>
      </c>
      <c r="D51" s="26">
        <f>IF(1289.70891="","-",1289.70891/747953.45327*100)</f>
        <v>0.1724317073958925</v>
      </c>
      <c r="E51" s="26">
        <f>IF(965.56415="","-",965.56415/857186.04228*100)</f>
        <v>0.1126434755554032</v>
      </c>
      <c r="F51" s="26">
        <f>IF(OR(811971.85724="",1221.17447="",1289.70891=""),"-",(1289.70891-1221.17447)/811971.85724*100)</f>
        <v>0.008440494505925092</v>
      </c>
      <c r="G51" s="26">
        <f>IF(OR(747953.45327="",965.56415="",1289.70891=""),"-",(965.56415-1289.70891)/747953.45327*100)</f>
        <v>-0.04333755778288901</v>
      </c>
    </row>
    <row r="52" spans="1:7" s="9" customFormat="1" ht="15">
      <c r="A52" s="59" t="s">
        <v>86</v>
      </c>
      <c r="B52" s="26">
        <f>IF(1401.10849="","-",1401.10849)</f>
        <v>1401.10849</v>
      </c>
      <c r="C52" s="26" t="s">
        <v>212</v>
      </c>
      <c r="D52" s="26">
        <f>IF(853.59="","-",853.59/747953.45327*100)</f>
        <v>0.11412341186047933</v>
      </c>
      <c r="E52" s="26">
        <f>IF(1401.10849="","-",1401.10849/857186.04228*100)</f>
        <v>0.1634544218981027</v>
      </c>
      <c r="F52" s="26">
        <f>IF(OR(811971.85724="",1785.2046="",853.59=""),"-",(853.59-1785.2046)/811971.85724*100)</f>
        <v>-0.11473483861456499</v>
      </c>
      <c r="G52" s="26">
        <f>IF(OR(747953.45327="",1401.10849="",853.59=""),"-",(1401.10849-853.59)/747953.45327*100)</f>
        <v>0.0732022143365055</v>
      </c>
    </row>
    <row r="53" spans="1:7" s="9" customFormat="1" ht="15">
      <c r="A53" s="59" t="s">
        <v>87</v>
      </c>
      <c r="B53" s="26">
        <f>IF(11196.37133="","-",11196.37133)</f>
        <v>11196.37133</v>
      </c>
      <c r="C53" s="26">
        <f>IF(OR(11289.79103="",11196.37133=""),"-",11196.37133/11289.79103*100)</f>
        <v>99.17252941394788</v>
      </c>
      <c r="D53" s="26">
        <f>IF(11289.79103="","-",11289.79103/747953.45327*100)</f>
        <v>1.509424280433739</v>
      </c>
      <c r="E53" s="26">
        <f>IF(11196.37133="","-",11196.37133/857186.04228*100)</f>
        <v>1.3061775131357893</v>
      </c>
      <c r="F53" s="26">
        <f>IF(OR(811971.85724="",6576.15016="",11289.79103=""),"-",(11289.79103-6576.15016)/811971.85724*100)</f>
        <v>0.5805177640050593</v>
      </c>
      <c r="G53" s="26">
        <f>IF(OR(747953.45327="",11196.37133="",11289.79103=""),"-",(11196.37133-11289.79103)/747953.45327*100)</f>
        <v>-0.012490041939318014</v>
      </c>
    </row>
    <row r="54" spans="1:7" s="9" customFormat="1" ht="15" customHeight="1">
      <c r="A54" s="56" t="s">
        <v>88</v>
      </c>
      <c r="B54" s="25">
        <f>IF(161733.91661="","-",161733.91661)</f>
        <v>161733.91661</v>
      </c>
      <c r="C54" s="25">
        <f>IF(121308.73544="","-",161733.91661/121308.73544*100)</f>
        <v>133.32421282224522</v>
      </c>
      <c r="D54" s="25">
        <f>IF(121308.73544="","-",121308.73544/747953.45327*100)</f>
        <v>16.21875464437616</v>
      </c>
      <c r="E54" s="25">
        <f>IF(161733.91661="","-",161733.91661/857186.04228*100)</f>
        <v>18.86800631748616</v>
      </c>
      <c r="F54" s="25">
        <f>IF(811971.85724="","-",(121308.73544-126898.00305)/811971.85724*100)</f>
        <v>-0.6883573069882811</v>
      </c>
      <c r="G54" s="25">
        <f>IF(747953.45327="","-",(161733.91661-121308.73544)/747953.45327*100)</f>
        <v>5.404772314809688</v>
      </c>
    </row>
    <row r="55" spans="1:7" s="9" customFormat="1" ht="26.25">
      <c r="A55" s="59" t="s">
        <v>89</v>
      </c>
      <c r="B55" s="26">
        <f>IF(963.75311="","-",963.75311)</f>
        <v>963.75311</v>
      </c>
      <c r="C55" s="26">
        <f>IF(OR(744.24665="",963.75311=""),"-",963.75311/744.24665*100)</f>
        <v>129.49377870898041</v>
      </c>
      <c r="D55" s="26">
        <f>IF(744.24665="","-",744.24665/747953.45327*100)</f>
        <v>0.09950440722563762</v>
      </c>
      <c r="E55" s="26">
        <f>IF(963.75311="","-",963.75311/857186.04228*100)</f>
        <v>0.11243219820011836</v>
      </c>
      <c r="F55" s="26">
        <f>IF(OR(811971.85724="",1737.53806="",744.24665=""),"-",(744.24665-1737.53806)/811971.85724*100)</f>
        <v>-0.12233076813478846</v>
      </c>
      <c r="G55" s="26">
        <f>IF(OR(747953.45327="",963.75311="",744.24665=""),"-",(963.75311-744.24665)/747953.45327*100)</f>
        <v>0.02934760967281227</v>
      </c>
    </row>
    <row r="56" spans="1:7" s="9" customFormat="1" ht="26.25">
      <c r="A56" s="59" t="s">
        <v>90</v>
      </c>
      <c r="B56" s="26">
        <f>IF(3134.64296="","-",3134.64296)</f>
        <v>3134.64296</v>
      </c>
      <c r="C56" s="26">
        <f>IF(OR(3484.8996="",3134.64296=""),"-",3134.64296/3484.8996*100)</f>
        <v>89.9493047088071</v>
      </c>
      <c r="D56" s="26">
        <f>IF(3484.8996="","-",3484.8996/747953.45327*100)</f>
        <v>0.4659246621249309</v>
      </c>
      <c r="E56" s="26">
        <f>IF(3134.64296="","-",3134.64296/857186.04228*100)</f>
        <v>0.36568992090238306</v>
      </c>
      <c r="F56" s="26">
        <f>IF(OR(811971.85724="",4426.76872="",3484.8996=""),"-",(3484.8996-4426.76872)/811971.85724*100)</f>
        <v>-0.11599775430660095</v>
      </c>
      <c r="G56" s="26">
        <f>IF(OR(747953.45327="",3134.64296="",3484.8996=""),"-",(3134.64296-3484.8996)/747953.45327*100)</f>
        <v>-0.046828668076696826</v>
      </c>
    </row>
    <row r="57" spans="1:7" s="9" customFormat="1" ht="26.25">
      <c r="A57" s="59" t="s">
        <v>91</v>
      </c>
      <c r="B57" s="26">
        <f>IF(613.28037="","-",613.28037)</f>
        <v>613.28037</v>
      </c>
      <c r="C57" s="26">
        <f>IF(OR(639.32819="",613.28037=""),"-",613.28037/639.32819*100)</f>
        <v>95.92575137348473</v>
      </c>
      <c r="D57" s="26">
        <f>IF(639.32819="","-",639.32819/747953.45327*100)</f>
        <v>0.08547700223923052</v>
      </c>
      <c r="E57" s="26">
        <f>IF(613.28037="","-",613.28037/857186.04228*100)</f>
        <v>0.07154577183370325</v>
      </c>
      <c r="F57" s="26">
        <f>IF(OR(811971.85724="",960.73187="",639.32819=""),"-",(639.32819-960.73187)/811971.85724*100)</f>
        <v>-0.03958310588405043</v>
      </c>
      <c r="G57" s="26">
        <f>IF(OR(747953.45327="",613.28037="",639.32819=""),"-",(613.28037-639.32819)/747953.45327*100)</f>
        <v>-0.003482545589718285</v>
      </c>
    </row>
    <row r="58" spans="1:7" s="9" customFormat="1" ht="39">
      <c r="A58" s="59" t="s">
        <v>92</v>
      </c>
      <c r="B58" s="26">
        <f>IF(11992.16569="","-",11992.16569)</f>
        <v>11992.16569</v>
      </c>
      <c r="C58" s="26">
        <f>IF(OR(12459.99896="",11992.16569=""),"-",11992.16569/12459.99896*100)</f>
        <v>96.24531854696076</v>
      </c>
      <c r="D58" s="26">
        <f>IF(12459.99896="","-",12459.99896/747953.45327*100)</f>
        <v>1.6658789267601826</v>
      </c>
      <c r="E58" s="26">
        <f>IF(11992.16569="","-",11992.16569/857186.04228*100)</f>
        <v>1.399015511043839</v>
      </c>
      <c r="F58" s="26">
        <f>IF(OR(811971.85724="",12284.17635="",12459.99896=""),"-",(12459.99896-12284.17635)/811971.85724*100)</f>
        <v>0.021653781277302567</v>
      </c>
      <c r="G58" s="26">
        <f>IF(OR(747953.45327="",11992.16569="",12459.99896=""),"-",(11992.16569-12459.99896)/747953.45327*100)</f>
        <v>-0.06254844709315356</v>
      </c>
    </row>
    <row r="59" spans="1:7" s="9" customFormat="1" ht="26.25">
      <c r="A59" s="59" t="s">
        <v>93</v>
      </c>
      <c r="B59" s="26">
        <f>IF(332.30069="","-",332.30069)</f>
        <v>332.30069</v>
      </c>
      <c r="C59" s="26">
        <f>IF(OR(249.63816="",332.30069=""),"-",332.30069/249.63816*100)</f>
        <v>133.11293834243932</v>
      </c>
      <c r="D59" s="26">
        <f>IF(249.63816="","-",249.63816/747953.45327*100)</f>
        <v>0.0333761625016369</v>
      </c>
      <c r="E59" s="26">
        <f>IF(332.30069="","-",332.30069/857186.04228*100)</f>
        <v>0.03876646067592569</v>
      </c>
      <c r="F59" s="26">
        <f>IF(OR(811971.85724="",310.44617="",249.63816=""),"-",(249.63816-310.44617)/811971.85724*100)</f>
        <v>-0.007488930737906912</v>
      </c>
      <c r="G59" s="26">
        <f>IF(OR(747953.45327="",332.30069="",249.63816=""),"-",(332.30069-249.63816)/747953.45327*100)</f>
        <v>0.011051828110239373</v>
      </c>
    </row>
    <row r="60" spans="1:7" s="9" customFormat="1" ht="39">
      <c r="A60" s="59" t="s">
        <v>94</v>
      </c>
      <c r="B60" s="26">
        <f>IF(1937.4692="","-",1937.4692)</f>
        <v>1937.4692</v>
      </c>
      <c r="C60" s="26">
        <f>IF(OR(1250.4583="",1937.4692=""),"-",1937.4692/1250.4583*100)</f>
        <v>154.94072853129128</v>
      </c>
      <c r="D60" s="26">
        <f>IF(1250.4583="","-",1250.4583/747953.45327*100)</f>
        <v>0.16718397308456617</v>
      </c>
      <c r="E60" s="26">
        <f>IF(1937.4692="","-",1937.4692/857186.04228*100)</f>
        <v>0.22602668550768648</v>
      </c>
      <c r="F60" s="26">
        <f>IF(OR(811971.85724="",1951.66303="",1250.4583=""),"-",(1250.4583-1951.66303)/811971.85724*100)</f>
        <v>-0.08635825536903308</v>
      </c>
      <c r="G60" s="26">
        <f>IF(OR(747953.45327="",1937.4692="",1250.4583=""),"-",(1937.4692-1250.4583)/747953.45327*100)</f>
        <v>0.09185209280021858</v>
      </c>
    </row>
    <row r="61" spans="1:7" s="9" customFormat="1" ht="52.5">
      <c r="A61" s="59" t="s">
        <v>95</v>
      </c>
      <c r="B61" s="26">
        <f>IF(117032.88297="","-",117032.88297)</f>
        <v>117032.88297</v>
      </c>
      <c r="C61" s="26">
        <f>IF(OR(92206.48949="",117032.88297=""),"-",117032.88297/92206.48949*100)</f>
        <v>126.92477895787636</v>
      </c>
      <c r="D61" s="26">
        <f>IF(92206.48949="","-",92206.48949/747953.45327*100)</f>
        <v>12.327837927197168</v>
      </c>
      <c r="E61" s="26">
        <f>IF(117032.88297="","-",117032.88297/857186.04228*100)</f>
        <v>13.653148464562982</v>
      </c>
      <c r="F61" s="26">
        <f>IF(OR(811971.85724="",97538.4119="",92206.48949=""),"-",(92206.48949-97538.4119)/811971.85724*100)</f>
        <v>-0.6566634499037824</v>
      </c>
      <c r="G61" s="26">
        <f>IF(OR(747953.45327="",117032.88297="",92206.48949=""),"-",(117032.88297-92206.48949)/747953.45327*100)</f>
        <v>3.319243112183084</v>
      </c>
    </row>
    <row r="62" spans="1:7" s="9" customFormat="1" ht="26.25">
      <c r="A62" s="59" t="s">
        <v>96</v>
      </c>
      <c r="B62" s="26">
        <f>IF(13313.12835="","-",13313.12835)</f>
        <v>13313.12835</v>
      </c>
      <c r="C62" s="26">
        <f>IF(OR(10064.38582="",13313.12835=""),"-",13313.12835/10064.38582*100)</f>
        <v>132.27959050957767</v>
      </c>
      <c r="D62" s="26">
        <f>IF(10064.38582="","-",10064.38582/747953.45327*100)</f>
        <v>1.3455898593688165</v>
      </c>
      <c r="E62" s="26">
        <f>IF(13313.12835="","-",13313.12835/857186.04228*100)</f>
        <v>1.55312005718022</v>
      </c>
      <c r="F62" s="26">
        <f>IF(OR(811971.85724="",5198.43952="",10064.38582=""),"-",(10064.38582-5198.43952)/811971.85724*100)</f>
        <v>0.5992752404670768</v>
      </c>
      <c r="G62" s="26">
        <f>IF(OR(747953.45327="",13313.12835="",10064.38582=""),"-",(13313.12835-10064.38582)/747953.45327*100)</f>
        <v>0.43435089654265613</v>
      </c>
    </row>
    <row r="63" spans="1:7" s="9" customFormat="1" ht="15">
      <c r="A63" s="59" t="s">
        <v>97</v>
      </c>
      <c r="B63" s="26">
        <f>IF(12414.29327="","-",12414.29327)</f>
        <v>12414.29327</v>
      </c>
      <c r="C63" s="26" t="s">
        <v>252</v>
      </c>
      <c r="D63" s="26">
        <f>IF(209.29027="","-",209.29027/747953.45327*100)</f>
        <v>0.027981723873992104</v>
      </c>
      <c r="E63" s="26">
        <f>IF(12414.29327="","-",12414.29327/857186.04228*100)</f>
        <v>1.4482612475793053</v>
      </c>
      <c r="F63" s="26">
        <f>IF(OR(811971.85724="",2489.82743="",209.29027=""),"-",(209.29027-2489.82743)/811971.85724*100)</f>
        <v>-0.2808640643964987</v>
      </c>
      <c r="G63" s="26">
        <f>IF(OR(747953.45327="",12414.29327="",209.29027=""),"-",(12414.29327-209.29027)/747953.45327*100)</f>
        <v>1.6317864362602492</v>
      </c>
    </row>
    <row r="64" spans="1:7" s="9" customFormat="1" ht="15" customHeight="1">
      <c r="A64" s="56" t="s">
        <v>98</v>
      </c>
      <c r="B64" s="25">
        <f>IF(198853.69152="","-",198853.69152)</f>
        <v>198853.69152</v>
      </c>
      <c r="C64" s="25">
        <f>IF(185514.99702="","-",198853.69152/185514.99702*100)</f>
        <v>107.19008959613221</v>
      </c>
      <c r="D64" s="25">
        <f>IF(185514.99702="","-",185514.99702/747953.45327*100)</f>
        <v>24.803013637939827</v>
      </c>
      <c r="E64" s="25">
        <f>IF(198853.69152="","-",198853.69152/857186.04228*100)</f>
        <v>23.198428545462058</v>
      </c>
      <c r="F64" s="25">
        <f>IF(811971.85724="","-",(185514.99702-167392.76365)/811971.85724*100)</f>
        <v>2.231879492917387</v>
      </c>
      <c r="G64" s="25">
        <f>IF(747953.45327="","-",(198853.69152-185514.99702)/747953.45327*100)</f>
        <v>1.7833589031087627</v>
      </c>
    </row>
    <row r="65" spans="1:7" s="9" customFormat="1" ht="39">
      <c r="A65" s="59" t="s">
        <v>99</v>
      </c>
      <c r="B65" s="26">
        <f>IF(4160.59597="","-",4160.59597)</f>
        <v>4160.59597</v>
      </c>
      <c r="C65" s="26" t="s">
        <v>186</v>
      </c>
      <c r="D65" s="26">
        <f>IF(1661.23528="","-",1661.23528/747953.45327*100)</f>
        <v>0.22210409922398192</v>
      </c>
      <c r="E65" s="26">
        <f>IF(4160.59597="","-",4160.59597/857186.04228*100)</f>
        <v>0.4853784085113393</v>
      </c>
      <c r="F65" s="26">
        <f>IF(OR(811971.85724="",1341.8864="",1661.23528=""),"-",(1661.23528-1341.8864)/811971.85724*100)</f>
        <v>0.039330042926057705</v>
      </c>
      <c r="G65" s="26">
        <f>IF(OR(747953.45327="",4160.59597="",1661.23528=""),"-",(4160.59597-1661.23528)/747953.45327*100)</f>
        <v>0.33415992386598</v>
      </c>
    </row>
    <row r="66" spans="1:7" s="9" customFormat="1" ht="15">
      <c r="A66" s="59" t="s">
        <v>100</v>
      </c>
      <c r="B66" s="26">
        <f>IF(49206.17485="","-",49206.17485)</f>
        <v>49206.17485</v>
      </c>
      <c r="C66" s="26">
        <f>IF(OR(47637.28133="",49206.17485=""),"-",49206.17485/47637.28133*100)</f>
        <v>103.29341531715828</v>
      </c>
      <c r="D66" s="26">
        <f>IF(47637.28133="","-",47637.28133/747953.45327*100)</f>
        <v>6.369016831426226</v>
      </c>
      <c r="E66" s="26">
        <f>IF(49206.17485="","-",49206.17485/857186.04228*100)</f>
        <v>5.740431180974222</v>
      </c>
      <c r="F66" s="26">
        <f>IF(OR(811971.85724="",36844.97944="",47637.28133=""),"-",(47637.28133-36844.97944)/811971.85724*100)</f>
        <v>1.3291472843263878</v>
      </c>
      <c r="G66" s="26">
        <f>IF(OR(747953.45327="",49206.17485="",47637.28133=""),"-",(49206.17485-47637.28133)/747953.45327*100)</f>
        <v>0.20975817587858075</v>
      </c>
    </row>
    <row r="67" spans="1:7" s="9" customFormat="1" ht="15">
      <c r="A67" s="59" t="s">
        <v>101</v>
      </c>
      <c r="B67" s="26">
        <f>IF(5006.40838="","-",5006.40838)</f>
        <v>5006.40838</v>
      </c>
      <c r="C67" s="26">
        <f>IF(OR(5919.55693="",5006.40838=""),"-",5006.40838/5919.55693*100)</f>
        <v>84.57403888841391</v>
      </c>
      <c r="D67" s="26">
        <f>IF(5919.55693="","-",5919.55693/747953.45327*100)</f>
        <v>0.7914338658535651</v>
      </c>
      <c r="E67" s="26">
        <f>IF(5006.40838="","-",5006.40838/857186.04228*100)</f>
        <v>0.58405155159592</v>
      </c>
      <c r="F67" s="26">
        <f>IF(OR(811971.85724="",6238.38946="",5919.55693=""),"-",(5919.55693-6238.38946)/811971.85724*100)</f>
        <v>-0.03926645082056841</v>
      </c>
      <c r="G67" s="26">
        <f>IF(OR(747953.45327="",5006.40838="",5919.55693=""),"-",(5006.40838-5919.55693)/747953.45327*100)</f>
        <v>-0.12208628037049343</v>
      </c>
    </row>
    <row r="68" spans="1:7" s="9" customFormat="1" ht="15">
      <c r="A68" s="59" t="s">
        <v>102</v>
      </c>
      <c r="B68" s="26">
        <f>IF(102359.30229="","-",102359.30229)</f>
        <v>102359.30229</v>
      </c>
      <c r="C68" s="26">
        <f>IF(OR(96587.39267="",102359.30229=""),"-",102359.30229/96587.39267*100)</f>
        <v>105.97584162947673</v>
      </c>
      <c r="D68" s="26">
        <f>IF(96587.39267="","-",96587.39267/747953.45327*100)</f>
        <v>12.91355661876106</v>
      </c>
      <c r="E68" s="26">
        <f>IF(102359.30229="","-",102359.30229/857186.04228*100)</f>
        <v>11.94131696518739</v>
      </c>
      <c r="F68" s="26">
        <f>IF(OR(811971.85724="",88128.27346="",96587.39267=""),"-",(96587.39267-88128.27346)/811971.85724*100)</f>
        <v>1.0417995567917429</v>
      </c>
      <c r="G68" s="26">
        <f>IF(OR(747953.45327="",102359.30229="",96587.39267=""),"-",(102359.30229-96587.39267)/747953.45327*100)</f>
        <v>0.7716936922699696</v>
      </c>
    </row>
    <row r="69" spans="1:7" s="9" customFormat="1" ht="14.25" customHeight="1">
      <c r="A69" s="59" t="s">
        <v>103</v>
      </c>
      <c r="B69" s="26">
        <f>IF(12560.73882="","-",12560.73882)</f>
        <v>12560.73882</v>
      </c>
      <c r="C69" s="26">
        <f>IF(OR(12264.22943="",12560.73882=""),"-",12560.73882/12264.22943*100)</f>
        <v>102.41767647688242</v>
      </c>
      <c r="D69" s="26">
        <f>IF(12264.22943="","-",12264.22943/747953.45327*100)</f>
        <v>1.6397049009375715</v>
      </c>
      <c r="E69" s="26">
        <f>IF(12560.73882="","-",12560.73882/857186.04228*100)</f>
        <v>1.4653457009857647</v>
      </c>
      <c r="F69" s="26">
        <f>IF(OR(811971.85724="",9968.66429="",12264.22943=""),"-",(12264.22943-9968.66429)/811971.85724*100)</f>
        <v>0.2827148649958052</v>
      </c>
      <c r="G69" s="26">
        <f>IF(OR(747953.45327="",12560.73882="",12264.22943=""),"-",(12560.73882-12264.22943)/747953.45327*100)</f>
        <v>0.03964275968025588</v>
      </c>
    </row>
    <row r="70" spans="1:7" ht="26.25">
      <c r="A70" s="53" t="s">
        <v>108</v>
      </c>
      <c r="B70" s="26">
        <f>IF(8928.47816="","-",8928.47816)</f>
        <v>8928.47816</v>
      </c>
      <c r="C70" s="26">
        <f>IF(OR(9995.38684="",8928.47816=""),"-",8928.47816/9995.38684*100)</f>
        <v>89.32598910799136</v>
      </c>
      <c r="D70" s="26">
        <f>IF(9995.38684="","-",9995.38684/747953.45327*100)</f>
        <v>1.3363648227440985</v>
      </c>
      <c r="E70" s="26">
        <f>IF(8928.47816="","-",8928.47816/857186.04228*100)</f>
        <v>1.0416033065880828</v>
      </c>
      <c r="F70" s="26">
        <f>IF(OR(811971.85724="",10587.5254="",9995.38684=""),"-",(9995.38684-10587.5254)/811971.85724*100)</f>
        <v>-0.07292599549111944</v>
      </c>
      <c r="G70" s="26">
        <f>IF(OR(747953.45327="",8928.47816="",9995.38684=""),"-",(8928.47816-9995.38684)/747953.45327*100)</f>
        <v>-0.14264372673667708</v>
      </c>
    </row>
    <row r="71" spans="1:7" ht="26.25">
      <c r="A71" s="53" t="s">
        <v>105</v>
      </c>
      <c r="B71" s="32">
        <f>IF(985.09292="","-",985.09292)</f>
        <v>985.09292</v>
      </c>
      <c r="C71" s="32" t="s">
        <v>211</v>
      </c>
      <c r="D71" s="32">
        <f>IF(569.87974="","-",569.87974/747953.45327*100)</f>
        <v>0.07619187230281854</v>
      </c>
      <c r="E71" s="32">
        <f>IF(985.09292="","-",985.09292/857186.04228*100)</f>
        <v>0.11492171727152543</v>
      </c>
      <c r="F71" s="32">
        <f>IF(OR(811971.85724="",418.97563="",569.87974=""),"-",(569.87974-418.97563)/811971.85724*100)</f>
        <v>0.018584894125880547</v>
      </c>
      <c r="G71" s="32">
        <f>IF(OR(747953.45327="",985.09292="",569.87974=""),"-",(985.09292-569.87974)/747953.45327*100)</f>
        <v>0.05551323791403291</v>
      </c>
    </row>
    <row r="72" spans="1:7" ht="15">
      <c r="A72" s="60" t="s">
        <v>106</v>
      </c>
      <c r="B72" s="33">
        <f>IF(15646.90013="","-",15646.90013)</f>
        <v>15646.90013</v>
      </c>
      <c r="C72" s="33">
        <f>IF(OR(10880.0348="",15646.90013=""),"-",15646.90013/10880.0348*100)</f>
        <v>143.81296032251663</v>
      </c>
      <c r="D72" s="33">
        <f>IF(10880.0348="","-",10880.0348/747953.45327*100)</f>
        <v>1.4546406266905045</v>
      </c>
      <c r="E72" s="33">
        <f>IF(15646.90013="","-",15646.90013/857186.04228*100)</f>
        <v>1.8253797143478145</v>
      </c>
      <c r="F72" s="33">
        <f>IF(OR(811971.85724="",13864.06957="",10880.0348=""),"-",(10880.0348-13864.06957)/811971.85724*100)</f>
        <v>-0.36750470393680024</v>
      </c>
      <c r="G72" s="33">
        <f>IF(OR(747953.45327="",15646.90013="",10880.0348=""),"-",(15646.90013-10880.0348)/747953.45327*100)</f>
        <v>0.637321120607118</v>
      </c>
    </row>
    <row r="73" spans="1:7" ht="15">
      <c r="A73" s="49" t="s">
        <v>28</v>
      </c>
      <c r="B73" s="49"/>
      <c r="C73" s="49"/>
      <c r="D73" s="49"/>
      <c r="E73" s="49"/>
      <c r="F73" s="49"/>
      <c r="G73" s="49"/>
    </row>
    <row r="74" spans="2:7" ht="15">
      <c r="B74" s="14"/>
      <c r="C74" s="15"/>
      <c r="D74" s="15"/>
      <c r="E74" s="15"/>
      <c r="F74" s="15"/>
      <c r="G74" s="15"/>
    </row>
  </sheetData>
  <sheetProtection/>
  <mergeCells count="11">
    <mergeCell ref="F5:G5"/>
    <mergeCell ref="A73:G73"/>
    <mergeCell ref="A1:G1"/>
    <mergeCell ref="A2:G2"/>
    <mergeCell ref="A4:A6"/>
    <mergeCell ref="B4:C4"/>
    <mergeCell ref="D4:E4"/>
    <mergeCell ref="F4:G4"/>
    <mergeCell ref="B5:B6"/>
    <mergeCell ref="C5:C6"/>
    <mergeCell ref="D5:E5"/>
  </mergeCells>
  <printOptions/>
  <pageMargins left="0.5905511811023623" right="0.3937007874015748" top="0.35433070866141736" bottom="0.1968503937007874" header="0.11811023622047245" footer="0.118110236220472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G80"/>
  <sheetViews>
    <sheetView zoomScalePageLayoutView="0" workbookViewId="0" topLeftCell="A1">
      <selection activeCell="A1" sqref="A1:G1"/>
    </sheetView>
  </sheetViews>
  <sheetFormatPr defaultColWidth="9.00390625" defaultRowHeight="15.75"/>
  <cols>
    <col min="1" max="1" width="27.375" style="0" customWidth="1"/>
    <col min="2" max="2" width="12.50390625" style="0" customWidth="1"/>
    <col min="3" max="3" width="10.50390625" style="0" customWidth="1"/>
    <col min="4" max="5" width="8.125" style="0" customWidth="1"/>
    <col min="6" max="6" width="10.125" style="0" customWidth="1"/>
    <col min="7" max="7" width="9.50390625" style="0" customWidth="1"/>
  </cols>
  <sheetData>
    <row r="1" spans="1:7" ht="15.75">
      <c r="A1" s="35" t="s">
        <v>264</v>
      </c>
      <c r="B1" s="35"/>
      <c r="C1" s="35"/>
      <c r="D1" s="35"/>
      <c r="E1" s="35"/>
      <c r="F1" s="35"/>
      <c r="G1" s="35"/>
    </row>
    <row r="2" spans="1:7" ht="15.75">
      <c r="A2" s="35" t="s">
        <v>34</v>
      </c>
      <c r="B2" s="35"/>
      <c r="C2" s="35"/>
      <c r="D2" s="35"/>
      <c r="E2" s="35"/>
      <c r="F2" s="35"/>
      <c r="G2" s="35"/>
    </row>
    <row r="3" ht="15">
      <c r="A3" s="5"/>
    </row>
    <row r="4" spans="1:7" ht="55.5" customHeight="1">
      <c r="A4" s="36"/>
      <c r="B4" s="46" t="s">
        <v>232</v>
      </c>
      <c r="C4" s="40"/>
      <c r="D4" s="39" t="s">
        <v>0</v>
      </c>
      <c r="E4" s="40"/>
      <c r="F4" s="41" t="s">
        <v>216</v>
      </c>
      <c r="G4" s="42"/>
    </row>
    <row r="5" spans="1:7" ht="18.75" customHeight="1">
      <c r="A5" s="37"/>
      <c r="B5" s="43" t="s">
        <v>192</v>
      </c>
      <c r="C5" s="43" t="s">
        <v>233</v>
      </c>
      <c r="D5" s="45" t="s">
        <v>234</v>
      </c>
      <c r="E5" s="45"/>
      <c r="F5" s="45" t="s">
        <v>234</v>
      </c>
      <c r="G5" s="39"/>
    </row>
    <row r="6" spans="1:7" ht="24" customHeight="1">
      <c r="A6" s="38"/>
      <c r="B6" s="44"/>
      <c r="C6" s="44"/>
      <c r="D6" s="11">
        <v>2016</v>
      </c>
      <c r="E6" s="11">
        <v>2017</v>
      </c>
      <c r="F6" s="11" t="s">
        <v>2</v>
      </c>
      <c r="G6" s="12" t="s">
        <v>182</v>
      </c>
    </row>
    <row r="7" spans="1:7" ht="15">
      <c r="A7" s="52" t="s">
        <v>194</v>
      </c>
      <c r="B7" s="24">
        <f>IF(1792653.68414="","-",1792653.68414)</f>
        <v>1792653.68414</v>
      </c>
      <c r="C7" s="24">
        <f>IF(1543712.83473="","-",1792653.68414/1543712.83473*100)</f>
        <v>116.12611126949272</v>
      </c>
      <c r="D7" s="24">
        <v>100</v>
      </c>
      <c r="E7" s="24">
        <v>100</v>
      </c>
      <c r="F7" s="24">
        <f>IF(1633636.53089="","-",(1543712.83473-1633636.53089)/1633636.53089*100)</f>
        <v>-5.50451060928528</v>
      </c>
      <c r="G7" s="24">
        <f>IF(1543712.83473="","-",(1792653.68414-1543712.83473)/1543712.83473*100)</f>
        <v>16.126111269492718</v>
      </c>
    </row>
    <row r="8" spans="1:7" ht="15">
      <c r="A8" s="53" t="s">
        <v>109</v>
      </c>
      <c r="B8" s="31"/>
      <c r="C8" s="31"/>
      <c r="D8" s="31"/>
      <c r="E8" s="31"/>
      <c r="F8" s="31"/>
      <c r="G8" s="31"/>
    </row>
    <row r="9" spans="1:7" ht="15">
      <c r="A9" s="54" t="s">
        <v>35</v>
      </c>
      <c r="B9" s="25">
        <f>IF(201595.55279="","-",201595.55279)</f>
        <v>201595.55279</v>
      </c>
      <c r="C9" s="25">
        <f>IF(178184.74234="","-",201595.55279/178184.74234*100)</f>
        <v>113.13850453330569</v>
      </c>
      <c r="D9" s="25">
        <f>IF(178184.74234="","-",178184.74234/1543712.83473*100)</f>
        <v>11.542609372109357</v>
      </c>
      <c r="E9" s="25">
        <f>IF(201595.55279="","-",201595.55279/1792653.68414*100)</f>
        <v>11.24564965188536</v>
      </c>
      <c r="F9" s="25">
        <f>IF(1633636.53089="","-",(178184.74234-165117.40917)/1633636.53089*100)</f>
        <v>0.7998923213893212</v>
      </c>
      <c r="G9" s="25">
        <f>IF(1543712.83473="","-",(201595.55279-178184.74234)/1543712.83473*100)</f>
        <v>1.5165262556163568</v>
      </c>
    </row>
    <row r="10" spans="1:7" ht="15">
      <c r="A10" s="53" t="s">
        <v>36</v>
      </c>
      <c r="B10" s="26">
        <f>IF(2413.18886="","-",2413.18886)</f>
        <v>2413.18886</v>
      </c>
      <c r="C10" s="26">
        <f>IF(OR(2814.06178="",2413.18886=""),"-",2413.18886/2814.06178*100)</f>
        <v>85.75465105815837</v>
      </c>
      <c r="D10" s="26">
        <f>IF(2814.06178="","-",2814.06178/1543712.83473*100)</f>
        <v>0.18229179136754328</v>
      </c>
      <c r="E10" s="26">
        <f>IF(2413.18886="","-",2413.18886/1792653.68414*100)</f>
        <v>0.13461545201675099</v>
      </c>
      <c r="F10" s="26">
        <f>IF(OR(1633636.53089="",3285.9452="",2814.06178=""),"-",(2814.06178-3285.9452)/1633636.53089*100)</f>
        <v>-0.028885459591364522</v>
      </c>
      <c r="G10" s="26">
        <f>IF(OR(1543712.83473="",2413.18886="",2814.06178=""),"-",(2413.18886-2814.06178)/1543712.83473*100)</f>
        <v>-0.02596810177264048</v>
      </c>
    </row>
    <row r="11" spans="1:7" s="9" customFormat="1" ht="15">
      <c r="A11" s="59" t="s">
        <v>37</v>
      </c>
      <c r="B11" s="26">
        <f>IF(10528.07534="","-",10528.07534)</f>
        <v>10528.07534</v>
      </c>
      <c r="C11" s="26">
        <f>IF(OR(7966.27242="",10528.07534=""),"-",10528.07534/7966.27242*100)</f>
        <v>132.15811341786875</v>
      </c>
      <c r="D11" s="26">
        <f>IF(7966.27242="","-",7966.27242/1543712.83473*100)</f>
        <v>0.5160462646145794</v>
      </c>
      <c r="E11" s="26">
        <f>IF(10528.07534="","-",10528.07534/1792653.68414*100)</f>
        <v>0.5872899731355916</v>
      </c>
      <c r="F11" s="26">
        <f>IF(OR(1633636.53089="",8505.40923="",7966.27242=""),"-",(7966.27242-8505.40923)/1633636.53089*100)</f>
        <v>-0.033002249876616006</v>
      </c>
      <c r="G11" s="26">
        <f>IF(OR(1543712.83473="",10528.07534="",7966.27242=""),"-",(10528.07534-7966.27242)/1543712.83473*100)</f>
        <v>0.1659507430634316</v>
      </c>
    </row>
    <row r="12" spans="1:7" s="9" customFormat="1" ht="15">
      <c r="A12" s="59" t="s">
        <v>38</v>
      </c>
      <c r="B12" s="26">
        <f>IF(21062.28053="","-",21062.28053)</f>
        <v>21062.28053</v>
      </c>
      <c r="C12" s="26">
        <f>IF(OR(14795.85135="",21062.28053=""),"-",21062.28053/14795.85135*100)</f>
        <v>142.35260974016205</v>
      </c>
      <c r="D12" s="26">
        <f>IF(14795.85135="","-",14795.85135/1543712.83473*100)</f>
        <v>0.9584587895576989</v>
      </c>
      <c r="E12" s="26">
        <f>IF(21062.28053="","-",21062.28053/1792653.68414*100)</f>
        <v>1.1749218890599233</v>
      </c>
      <c r="F12" s="26">
        <f>IF(OR(1633636.53089="",12857.6178="",14795.85135=""),"-",(14795.85135-12857.6178)/1633636.53089*100)</f>
        <v>0.11864533593308282</v>
      </c>
      <c r="G12" s="26">
        <f>IF(OR(1543712.83473="",21062.28053="",14795.85135=""),"-",(21062.28053-14795.85135)/1543712.83473*100)</f>
        <v>0.40593231066165336</v>
      </c>
    </row>
    <row r="13" spans="1:7" s="9" customFormat="1" ht="15">
      <c r="A13" s="59" t="s">
        <v>39</v>
      </c>
      <c r="B13" s="26">
        <f>IF(17314.47128="","-",17314.47128)</f>
        <v>17314.47128</v>
      </c>
      <c r="C13" s="26">
        <f>IF(OR(15996.51348="",17314.47128=""),"-",17314.47128/15996.51348*100)</f>
        <v>108.23903159677768</v>
      </c>
      <c r="D13" s="26">
        <f>IF(15996.51348="","-",15996.51348/1543712.83473*100)</f>
        <v>1.036236346561039</v>
      </c>
      <c r="E13" s="26">
        <f>IF(17314.47128="","-",17314.47128/1792653.68414*100)</f>
        <v>0.9658570103743362</v>
      </c>
      <c r="F13" s="26">
        <f>IF(OR(1633636.53089="",12999.87016="",15996.51348=""),"-",(15996.51348-12999.87016)/1633636.53089*100)</f>
        <v>0.18343390731887205</v>
      </c>
      <c r="G13" s="26">
        <f>IF(OR(1543712.83473="",17314.47128="",15996.51348=""),"-",(17314.47128-15996.51348)/1543712.83473*100)</f>
        <v>0.08537584001045873</v>
      </c>
    </row>
    <row r="14" spans="1:7" s="9" customFormat="1" ht="26.25">
      <c r="A14" s="59" t="s">
        <v>40</v>
      </c>
      <c r="B14" s="26">
        <f>IF(28990.59027="","-",28990.59027)</f>
        <v>28990.59027</v>
      </c>
      <c r="C14" s="26">
        <f>IF(OR(27317.44408="",28990.59027=""),"-",28990.59027/27317.44408*100)</f>
        <v>106.12482699735794</v>
      </c>
      <c r="D14" s="26">
        <f>IF(27317.44408="","-",27317.44408/1543712.83473*100)</f>
        <v>1.7695936359030082</v>
      </c>
      <c r="E14" s="26">
        <f>IF(28990.59027="","-",28990.59027/1792653.68414*100)</f>
        <v>1.6171885583080605</v>
      </c>
      <c r="F14" s="26">
        <f>IF(OR(1633636.53089="",25353.43044="",27317.44408=""),"-",(27317.44408-25353.43044)/1633636.53089*100)</f>
        <v>0.12022341584942477</v>
      </c>
      <c r="G14" s="26">
        <f>IF(OR(1543712.83473="",28990.59027="",27317.44408=""),"-",(28990.59027-27317.44408)/1543712.83473*100)</f>
        <v>0.10838454875531547</v>
      </c>
    </row>
    <row r="15" spans="1:7" s="9" customFormat="1" ht="15">
      <c r="A15" s="59" t="s">
        <v>41</v>
      </c>
      <c r="B15" s="26">
        <f>IF(49946.48969="","-",49946.48969)</f>
        <v>49946.48969</v>
      </c>
      <c r="C15" s="26">
        <f>IF(OR(49188.37291="",49946.48969=""),"-",49946.48969/49188.37291*100)</f>
        <v>101.54125199747332</v>
      </c>
      <c r="D15" s="26">
        <f>IF(49188.37291="","-",49188.37291/1543712.83473*100)</f>
        <v>3.186368073347216</v>
      </c>
      <c r="E15" s="26">
        <f>IF(49946.48969="","-",49946.48969/1792653.68414*100)</f>
        <v>2.7861761661991684</v>
      </c>
      <c r="F15" s="26">
        <f>IF(OR(1633636.53089="",49585.06824="",49188.37291=""),"-",(49188.37291-49585.06824)/1633636.53089*100)</f>
        <v>-0.024282961509429758</v>
      </c>
      <c r="G15" s="26">
        <f>IF(OR(1543712.83473="",49946.48969="",49188.37291=""),"-",(49946.48969-49188.37291)/1543712.83473*100)</f>
        <v>0.04910996157731634</v>
      </c>
    </row>
    <row r="16" spans="1:7" s="9" customFormat="1" ht="14.25" customHeight="1">
      <c r="A16" s="59" t="s">
        <v>42</v>
      </c>
      <c r="B16" s="26">
        <f>IF(16155.94113="","-",16155.94113)</f>
        <v>16155.94113</v>
      </c>
      <c r="C16" s="26" t="s">
        <v>27</v>
      </c>
      <c r="D16" s="26">
        <f>IF(7952.83748="","-",7952.83748/1543712.83473*100)</f>
        <v>0.5151759641482138</v>
      </c>
      <c r="E16" s="26">
        <f>IF(16155.94113="","-",16155.94113/1792653.68414*100)</f>
        <v>0.9012304648095252</v>
      </c>
      <c r="F16" s="26">
        <f>IF(OR(1633636.53089="",4120.94842="",7952.83748=""),"-",(7952.83748-4120.94842)/1633636.53089*100)</f>
        <v>0.23456191065416485</v>
      </c>
      <c r="G16" s="26">
        <f>IF(OR(1543712.83473="",16155.94113="",7952.83748=""),"-",(16155.94113-7952.83748)/1543712.83473*100)</f>
        <v>0.5313879282110617</v>
      </c>
    </row>
    <row r="17" spans="1:7" s="9" customFormat="1" ht="26.25">
      <c r="A17" s="59" t="s">
        <v>43</v>
      </c>
      <c r="B17" s="26">
        <f>IF(17067.49189="","-",17067.49189)</f>
        <v>17067.49189</v>
      </c>
      <c r="C17" s="26">
        <f>IF(OR(16607.05297="",17067.49189=""),"-",17067.49189/16607.05297*100)</f>
        <v>102.7725504388513</v>
      </c>
      <c r="D17" s="26">
        <f>IF(16607.05297="","-",16607.05297/1543712.83473*100)</f>
        <v>1.0757864154769836</v>
      </c>
      <c r="E17" s="26">
        <f>IF(17067.49189="","-",17067.49189/1792653.68414*100)</f>
        <v>0.9520797040164446</v>
      </c>
      <c r="F17" s="26">
        <f>IF(OR(1633636.53089="",16328.38357="",16607.05297=""),"-",(16607.05297-16328.38357)/1633636.53089*100)</f>
        <v>0.017058225298633746</v>
      </c>
      <c r="G17" s="26">
        <f>IF(OR(1543712.83473="",17067.49189="",16607.05297=""),"-",(17067.49189-16607.05297)/1543712.83473*100)</f>
        <v>0.02982672098340963</v>
      </c>
    </row>
    <row r="18" spans="1:7" s="9" customFormat="1" ht="26.25">
      <c r="A18" s="59" t="s">
        <v>44</v>
      </c>
      <c r="B18" s="26">
        <f>IF(11888.83075="","-",11888.83075)</f>
        <v>11888.83075</v>
      </c>
      <c r="C18" s="26">
        <f>IF(OR(10988.51921="",11888.83075=""),"-",11888.83075/10988.51921*100)</f>
        <v>108.1932016752601</v>
      </c>
      <c r="D18" s="26">
        <f>IF(10988.51921="","-",10988.51921/1543712.83473*100)</f>
        <v>0.7118240493169137</v>
      </c>
      <c r="E18" s="26">
        <f>IF(11888.83075="","-",11888.83075/1792653.68414*100)</f>
        <v>0.6631972954499293</v>
      </c>
      <c r="F18" s="26">
        <f>IF(OR(1633636.53089="",8986.2781="",10988.51921=""),"-",(10988.51921-8986.2781)/1633636.53089*100)</f>
        <v>0.12256343881519263</v>
      </c>
      <c r="G18" s="26">
        <f>IF(OR(1543712.83473="",11888.83075="",10988.51921=""),"-",(11888.83075-10988.51921)/1543712.83473*100)</f>
        <v>0.0583211799335377</v>
      </c>
    </row>
    <row r="19" spans="1:7" s="9" customFormat="1" ht="26.25">
      <c r="A19" s="59" t="s">
        <v>45</v>
      </c>
      <c r="B19" s="26">
        <f>IF(26228.19305="","-",26228.19305)</f>
        <v>26228.19305</v>
      </c>
      <c r="C19" s="26">
        <f>IF(OR(24557.81666="",26228.19305=""),"-",26228.19305/24557.81666*100)</f>
        <v>106.80181146852816</v>
      </c>
      <c r="D19" s="26">
        <f>IF(24557.81666="","-",24557.81666/1543712.83473*100)</f>
        <v>1.5908280418161602</v>
      </c>
      <c r="E19" s="26">
        <f>IF(26228.19305="","-",26228.19305/1792653.68414*100)</f>
        <v>1.4630931385156305</v>
      </c>
      <c r="F19" s="26">
        <f>IF(OR(1633636.53089="",23094.45801="",24557.81666=""),"-",(24557.81666-23094.45801)/1633636.53089*100)</f>
        <v>0.08957675849736102</v>
      </c>
      <c r="G19" s="26">
        <f>IF(OR(1543712.83473="",26228.19305="",24557.81666=""),"-",(26228.19305-24557.81666)/1543712.83473*100)</f>
        <v>0.1082051241928137</v>
      </c>
    </row>
    <row r="20" spans="1:7" s="9" customFormat="1" ht="15">
      <c r="A20" s="56" t="s">
        <v>46</v>
      </c>
      <c r="B20" s="25">
        <f>IF(37295.49493="","-",37295.49493)</f>
        <v>37295.49493</v>
      </c>
      <c r="C20" s="25">
        <f>IF(42546.20209="","-",37295.49493/42546.20209*100)</f>
        <v>87.65881112280496</v>
      </c>
      <c r="D20" s="25">
        <f>IF(42546.20209="","-",42546.20209/1543712.83473*100)</f>
        <v>2.756095637271906</v>
      </c>
      <c r="E20" s="25">
        <f>IF(37295.49493="","-",37295.49493/1792653.68414*100)</f>
        <v>2.0804629059121353</v>
      </c>
      <c r="F20" s="25">
        <f>IF(1633636.53089="","-",(42546.20209-33930.53911)/1633636.53089*100)</f>
        <v>0.5273916698781347</v>
      </c>
      <c r="G20" s="25">
        <f>IF(1543712.83473="","-",(37295.49493-42546.20209)/1543712.83473*100)</f>
        <v>-0.34013496823185785</v>
      </c>
    </row>
    <row r="21" spans="1:7" s="9" customFormat="1" ht="15">
      <c r="A21" s="59" t="s">
        <v>47</v>
      </c>
      <c r="B21" s="26">
        <f>IF(17670.22549="","-",17670.22549)</f>
        <v>17670.22549</v>
      </c>
      <c r="C21" s="26">
        <f>IF(OR(18169.82599="",17670.22549=""),"-",17670.22549/18169.82599*100)</f>
        <v>97.2503836840542</v>
      </c>
      <c r="D21" s="26">
        <f>IF(18169.82599="","-",18169.82599/1543712.83473*100)</f>
        <v>1.1770211130736603</v>
      </c>
      <c r="E21" s="26">
        <f>IF(17670.22549="","-",17670.22549/1792653.68414*100)</f>
        <v>0.9857021267594716</v>
      </c>
      <c r="F21" s="26">
        <f>IF(OR(1633636.53089="",12008.36446="",18169.82599=""),"-",(18169.82599-12008.36446)/1633636.53089*100)</f>
        <v>0.3771623254925167</v>
      </c>
      <c r="G21" s="26">
        <f>IF(OR(1543712.83473="",17670.22549="",18169.82599=""),"-",(17670.22549-18169.82599)/1543712.83473*100)</f>
        <v>-0.03236356456720023</v>
      </c>
    </row>
    <row r="22" spans="1:7" s="9" customFormat="1" ht="15">
      <c r="A22" s="59" t="s">
        <v>48</v>
      </c>
      <c r="B22" s="26">
        <f>IF(19625.26944="","-",19625.26944)</f>
        <v>19625.26944</v>
      </c>
      <c r="C22" s="26">
        <f>IF(OR(24376.3761="",19625.26944=""),"-",19625.26944/24376.3761*100)</f>
        <v>80.50938071963863</v>
      </c>
      <c r="D22" s="26">
        <f>IF(24376.3761="","-",24376.3761/1543712.83473*100)</f>
        <v>1.579074524198246</v>
      </c>
      <c r="E22" s="26">
        <f>IF(19625.26944="","-",19625.26944/1792653.68414*100)</f>
        <v>1.094760779152664</v>
      </c>
      <c r="F22" s="26">
        <f>IF(OR(1633636.53089="",21922.17465="",24376.3761=""),"-",(24376.3761-21922.17465)/1633636.53089*100)</f>
        <v>0.15022934438561797</v>
      </c>
      <c r="G22" s="26">
        <f>IF(OR(1543712.83473="",19625.26944="",24376.3761=""),"-",(19625.26944-24376.3761)/1543712.83473*100)</f>
        <v>-0.3077714036646579</v>
      </c>
    </row>
    <row r="23" spans="1:7" s="9" customFormat="1" ht="26.25">
      <c r="A23" s="56" t="s">
        <v>49</v>
      </c>
      <c r="B23" s="25">
        <f>IF(53731.68207="","-",53731.68207)</f>
        <v>53731.68207</v>
      </c>
      <c r="C23" s="25">
        <f>IF(48563.88198="","-",53731.68207/48563.88198*100)</f>
        <v>110.64124176096189</v>
      </c>
      <c r="D23" s="25">
        <f>IF(48563.88198="","-",48563.88198/1543712.83473*100)</f>
        <v>3.1459142456695304</v>
      </c>
      <c r="E23" s="25">
        <f>IF(53731.68207="","-",53731.68207/1792653.68414*100)</f>
        <v>2.9973263963573094</v>
      </c>
      <c r="F23" s="25">
        <f>IF(1633636.53089="","-",(48563.88198-51070.7048)/1633636.53089*100)</f>
        <v>-0.15345046297625897</v>
      </c>
      <c r="G23" s="25">
        <f>IF(1543712.83473="","-",(53731.68207-48563.88198)/1543712.83473*100)</f>
        <v>0.33476434047423514</v>
      </c>
    </row>
    <row r="24" spans="1:7" s="9" customFormat="1" ht="15">
      <c r="A24" s="59" t="s">
        <v>51</v>
      </c>
      <c r="B24" s="26">
        <f>IF(21167.24409="","-",21167.24409)</f>
        <v>21167.24409</v>
      </c>
      <c r="C24" s="26">
        <f>IF(OR(19502.68522="",21167.24409=""),"-",21167.24409/19502.68522*100)</f>
        <v>108.53502402988589</v>
      </c>
      <c r="D24" s="26">
        <f>IF(19502.68522="","-",19502.68522/1543712.83473*100)</f>
        <v>1.2633622511411635</v>
      </c>
      <c r="E24" s="26">
        <f>IF(21167.24409="","-",21167.24409/1792653.68414*100)</f>
        <v>1.1807770947211527</v>
      </c>
      <c r="F24" s="26">
        <f>IF(OR(1633636.53089="",16572.72167="",19502.68522=""),"-",(19502.68522-16572.72167)/1633636.53089*100)</f>
        <v>0.1793522301073768</v>
      </c>
      <c r="G24" s="26">
        <f>IF(OR(1543712.83473="",21167.24409="",19502.68522=""),"-",(21167.24409-19502.68522)/1543712.83473*100)</f>
        <v>0.10782827171940544</v>
      </c>
    </row>
    <row r="25" spans="1:7" s="9" customFormat="1" ht="26.25">
      <c r="A25" s="59" t="s">
        <v>52</v>
      </c>
      <c r="B25" s="26">
        <f>IF(266.87154="","-",266.87154)</f>
        <v>266.87154</v>
      </c>
      <c r="C25" s="26">
        <f>IF(OR(250.92004="",266.87154=""),"-",266.87154/250.92004*100)</f>
        <v>106.35720447039623</v>
      </c>
      <c r="D25" s="26">
        <f>IF(250.92004="","-",250.92004/1543712.83473*100)</f>
        <v>0.016254321033995073</v>
      </c>
      <c r="E25" s="26">
        <f>IF(266.87154="","-",266.87154/1792653.68414*100)</f>
        <v>0.014886954594803837</v>
      </c>
      <c r="F25" s="26">
        <f>IF(OR(1633636.53089="",1453.84847="",250.92004=""),"-",(250.92004-1453.84847)/1633636.53089*100)</f>
        <v>-0.07363501043556171</v>
      </c>
      <c r="G25" s="26">
        <f>IF(OR(1543712.83473="",266.87154="",250.92004=""),"-",(266.87154-250.92004)/1543712.83473*100)</f>
        <v>0.0010333204234056878</v>
      </c>
    </row>
    <row r="26" spans="1:7" s="9" customFormat="1" ht="15">
      <c r="A26" s="59" t="s">
        <v>53</v>
      </c>
      <c r="B26" s="26">
        <f>IF(10493.49245="","-",10493.49245)</f>
        <v>10493.49245</v>
      </c>
      <c r="C26" s="26">
        <f>IF(OR(8899.75312="",10493.49245=""),"-",10493.49245/8899.75312*100)</f>
        <v>117.90768023012306</v>
      </c>
      <c r="D26" s="26">
        <f>IF(8899.75312="","-",8899.75312/1543712.83473*100)</f>
        <v>0.5765161058310817</v>
      </c>
      <c r="E26" s="26">
        <f>IF(10493.49245="","-",10493.49245/1792653.68414*100)</f>
        <v>0.5853608280750614</v>
      </c>
      <c r="F26" s="26">
        <f>IF(OR(1633636.53089="",9689.42293="",8899.75312=""),"-",(8899.75312-9689.42293)/1633636.53089*100)</f>
        <v>-0.04833815815625717</v>
      </c>
      <c r="G26" s="26">
        <f>IF(OR(1543712.83473="",10493.49245="",8899.75312=""),"-",(10493.49245-8899.75312)/1543712.83473*100)</f>
        <v>0.103240660707388</v>
      </c>
    </row>
    <row r="27" spans="1:7" s="9" customFormat="1" ht="15">
      <c r="A27" s="59" t="s">
        <v>54</v>
      </c>
      <c r="B27" s="26">
        <f>IF(192.71381="","-",192.71381)</f>
        <v>192.71381</v>
      </c>
      <c r="C27" s="26">
        <f>IF(OR(236.08445="",192.71381=""),"-",192.71381/236.08445*100)</f>
        <v>81.6291839636198</v>
      </c>
      <c r="D27" s="26">
        <f>IF(236.08445="","-",236.08445/1543712.83473*100)</f>
        <v>0.015293288018900994</v>
      </c>
      <c r="E27" s="26">
        <f>IF(192.71381="","-",192.71381/1792653.68414*100)</f>
        <v>0.010750197414312719</v>
      </c>
      <c r="F27" s="26">
        <f>IF(OR(1633636.53089="",57.54427="",236.08445=""),"-",(236.08445-57.54427)/1633636.53089*100)</f>
        <v>0.010929002665160278</v>
      </c>
      <c r="G27" s="26">
        <f>IF(OR(1543712.83473="",192.71381="",236.08445=""),"-",(192.71381-236.08445)/1543712.83473*100)</f>
        <v>-0.0028095018078660764</v>
      </c>
    </row>
    <row r="28" spans="1:7" s="9" customFormat="1" ht="39">
      <c r="A28" s="59" t="s">
        <v>55</v>
      </c>
      <c r="B28" s="26">
        <f>IF(3228.17037="","-",3228.17037)</f>
        <v>3228.17037</v>
      </c>
      <c r="C28" s="26">
        <f>IF(OR(2953.1892="",3228.17037=""),"-",3228.17037/2953.1892*100)</f>
        <v>109.31132925719763</v>
      </c>
      <c r="D28" s="26">
        <f>IF(2953.1892="","-",2953.1892/1543712.83473*100)</f>
        <v>0.1913043108510866</v>
      </c>
      <c r="E28" s="26">
        <f>IF(3228.17037="","-",3228.17037/1792653.68414*100)</f>
        <v>0.1800777472280525</v>
      </c>
      <c r="F28" s="26">
        <f>IF(OR(1633636.53089="",4562.09068="",2953.1892=""),"-",(2953.1892-4562.09068)/1633636.53089*100)</f>
        <v>-0.0984858901951388</v>
      </c>
      <c r="G28" s="26">
        <f>IF(OR(1543712.83473="",3228.17037="",2953.1892=""),"-",(3228.17037-2953.1892)/1543712.83473*100)</f>
        <v>0.01781297426655749</v>
      </c>
    </row>
    <row r="29" spans="1:7" s="9" customFormat="1" ht="39">
      <c r="A29" s="59" t="s">
        <v>56</v>
      </c>
      <c r="B29" s="26">
        <f>IF(3581.24227="","-",3581.24227)</f>
        <v>3581.24227</v>
      </c>
      <c r="C29" s="26">
        <f>IF(OR(3827.31339="",3581.24227=""),"-",3581.24227/3827.31339*100)</f>
        <v>93.57065662187648</v>
      </c>
      <c r="D29" s="26">
        <f>IF(3827.31339="","-",3827.31339/1543712.83473*100)</f>
        <v>0.24792910338595509</v>
      </c>
      <c r="E29" s="26">
        <f>IF(3581.24227="","-",3581.24227/1792653.68414*100)</f>
        <v>0.19977323571663813</v>
      </c>
      <c r="F29" s="26">
        <f>IF(OR(1633636.53089="",3510.12482="",3827.31339=""),"-",(3827.31339-3510.12482)/1633636.53089*100)</f>
        <v>0.019416104133469423</v>
      </c>
      <c r="G29" s="26">
        <f>IF(OR(1543712.83473="",3581.24227="",3827.31339=""),"-",(3581.24227-3827.31339)/1543712.83473*100)</f>
        <v>-0.015940213390985905</v>
      </c>
    </row>
    <row r="30" spans="1:7" s="9" customFormat="1" ht="14.25" customHeight="1">
      <c r="A30" s="59" t="s">
        <v>57</v>
      </c>
      <c r="B30" s="26">
        <f>IF(494.11286="","-",494.11286)</f>
        <v>494.11286</v>
      </c>
      <c r="C30" s="26" t="s">
        <v>212</v>
      </c>
      <c r="D30" s="26">
        <f>IF(310.02325="","-",310.02325/1543712.83473*100)</f>
        <v>0.02008296122343402</v>
      </c>
      <c r="E30" s="26">
        <f>IF(494.11286="","-",494.11286/1792653.68414*100)</f>
        <v>0.02756320779476397</v>
      </c>
      <c r="F30" s="26">
        <f>IF(OR(1633636.53089="",302.16474="",310.02325=""),"-",(310.02325-302.16474)/1633636.53089*100)</f>
        <v>0.000481043968557604</v>
      </c>
      <c r="G30" s="26">
        <f>IF(OR(1543712.83473="",494.11286="",310.02325=""),"-",(494.11286-310.02325)/1543712.83473*100)</f>
        <v>0.011925120129755079</v>
      </c>
    </row>
    <row r="31" spans="1:7" s="9" customFormat="1" ht="26.25">
      <c r="A31" s="59" t="s">
        <v>58</v>
      </c>
      <c r="B31" s="26">
        <f>IF(14304.04209="","-",14304.04209)</f>
        <v>14304.04209</v>
      </c>
      <c r="C31" s="26">
        <f>IF(OR(12543.41459="",14304.04209=""),"-",14304.04209/12543.41459*100)</f>
        <v>114.03626968850753</v>
      </c>
      <c r="D31" s="26">
        <f>IF(12543.41459="","-",12543.41459/1543712.83473*100)</f>
        <v>0.8125484421585366</v>
      </c>
      <c r="E31" s="26">
        <f>IF(14304.04209="","-",14304.04209/1792653.68414*100)</f>
        <v>0.7979255679192806</v>
      </c>
      <c r="F31" s="26">
        <f>IF(OR(1633636.53089="",14915.12579="",12543.41459=""),"-",(12543.41459-14915.12579)/1633636.53089*100)</f>
        <v>-0.14517985825818297</v>
      </c>
      <c r="G31" s="26">
        <f>IF(OR(1543712.83473="",14304.04209="",12543.41459=""),"-",(14304.04209-12543.41459)/1543712.83473*100)</f>
        <v>0.11405149069113878</v>
      </c>
    </row>
    <row r="32" spans="1:7" s="9" customFormat="1" ht="26.25">
      <c r="A32" s="56" t="s">
        <v>59</v>
      </c>
      <c r="B32" s="25">
        <f>IF(298255.04521="","-",298255.04521)</f>
        <v>298255.04521</v>
      </c>
      <c r="C32" s="25">
        <f>IF(245007.42767="","-",298255.04521/245007.42767*100)</f>
        <v>121.7330625631967</v>
      </c>
      <c r="D32" s="25">
        <f>IF(245007.42767="","-",245007.42767/1543712.83473*100)</f>
        <v>15.871308585242963</v>
      </c>
      <c r="E32" s="25">
        <f>IF(298255.04521="","-",298255.04521/1792653.68414*100)</f>
        <v>16.63762766053074</v>
      </c>
      <c r="F32" s="25">
        <f>IF(1633636.53089="","-",(245007.42767-346272.6201)/1633636.53089*100)</f>
        <v>-6.198759057795496</v>
      </c>
      <c r="G32" s="25">
        <f>IF(1543712.83473="","-",(298255.04521-245007.42767)/1543712.83473*100)</f>
        <v>3.4493214244288626</v>
      </c>
    </row>
    <row r="33" spans="1:7" s="9" customFormat="1" ht="15">
      <c r="A33" s="59" t="s">
        <v>60</v>
      </c>
      <c r="B33" s="26">
        <f>IF(7383.30819="","-",7383.30819)</f>
        <v>7383.30819</v>
      </c>
      <c r="C33" s="26" t="s">
        <v>248</v>
      </c>
      <c r="D33" s="26">
        <f>IF(2173.26197="","-",2173.26197/1543712.83473*100)</f>
        <v>0.14078149258764894</v>
      </c>
      <c r="E33" s="26">
        <f>IF(7383.30819="","-",7383.30819/1792653.68414*100)</f>
        <v>0.4118647263172885</v>
      </c>
      <c r="F33" s="26">
        <f>IF(OR(1633636.53089="",4405.40193="",2173.26197=""),"-",(2173.26197-4405.40193)/1633636.53089*100)</f>
        <v>-0.1366362662558689</v>
      </c>
      <c r="G33" s="26">
        <f>IF(OR(1543712.83473="",7383.30819="",2173.26197=""),"-",(7383.30819-2173.26197)/1543712.83473*100)</f>
        <v>0.3375009977753572</v>
      </c>
    </row>
    <row r="34" spans="1:7" s="9" customFormat="1" ht="26.25">
      <c r="A34" s="59" t="s">
        <v>61</v>
      </c>
      <c r="B34" s="26">
        <f>IF(165242.08109="","-",165242.08109)</f>
        <v>165242.08109</v>
      </c>
      <c r="C34" s="26">
        <f>IF(OR(123395.14862="",165242.08109=""),"-",165242.08109/123395.14862*100)</f>
        <v>133.91294790597414</v>
      </c>
      <c r="D34" s="26">
        <f>IF(123395.14862="","-",123395.14862/1543712.83473*100)</f>
        <v>7.993400446241816</v>
      </c>
      <c r="E34" s="26">
        <f>IF(165242.08109="","-",165242.08109/1792653.68414*100)</f>
        <v>9.217735837765705</v>
      </c>
      <c r="F34" s="26">
        <f>IF(OR(1633636.53089="",163082.27477="",123395.14862=""),"-",(123395.14862-163082.27477)/1633636.53089*100)</f>
        <v>-2.429373082663532</v>
      </c>
      <c r="G34" s="26">
        <f>IF(OR(1543712.83473="",165242.08109="",123395.14862=""),"-",(165242.08109-123395.14862)/1543712.83473*100)</f>
        <v>2.710797729249893</v>
      </c>
    </row>
    <row r="35" spans="1:7" s="9" customFormat="1" ht="26.25">
      <c r="A35" s="59" t="s">
        <v>62</v>
      </c>
      <c r="B35" s="26">
        <f>IF(97485.8288="","-",97485.8288)</f>
        <v>97485.8288</v>
      </c>
      <c r="C35" s="26">
        <f>IF(OR(119187.0907="",97485.8288=""),"-",97485.8288/119187.0907*100)</f>
        <v>81.79227148464997</v>
      </c>
      <c r="D35" s="26">
        <f>IF(119187.0907="","-",119187.0907/1543712.83473*100)</f>
        <v>7.720807135793891</v>
      </c>
      <c r="E35" s="26">
        <f>IF(97485.8288="","-",97485.8288/1792653.68414*100)</f>
        <v>5.438073715100607</v>
      </c>
      <c r="F35" s="26">
        <f>IF(OR(1633636.53089="",178546.88146="",119187.0907=""),"-",(119187.0907-178546.88146)/1633636.53089*100)</f>
        <v>-3.633598394598888</v>
      </c>
      <c r="G35" s="26">
        <f>IF(OR(1543712.83473="",97485.8288="",119187.0907=""),"-",(97485.8288-119187.0907)/1543712.83473*100)</f>
        <v>-1.405783602479124</v>
      </c>
    </row>
    <row r="36" spans="1:7" s="9" customFormat="1" ht="15">
      <c r="A36" s="59" t="s">
        <v>63</v>
      </c>
      <c r="B36" s="26">
        <f>IF(28143.82713="","-",28143.82713)</f>
        <v>28143.82713</v>
      </c>
      <c r="C36" s="26" t="s">
        <v>253</v>
      </c>
      <c r="D36" s="26">
        <f>IF(251.92638="","-",251.92638/1543712.83473*100)</f>
        <v>0.01631951061960709</v>
      </c>
      <c r="E36" s="26">
        <f>IF(28143.82713="","-",28143.82713/1792653.68414*100)</f>
        <v>1.5699533813471396</v>
      </c>
      <c r="F36" s="26">
        <f>IF(OR(1633636.53089="",238.06194="",251.92638=""),"-",(251.92638-238.06194)/1633636.53089*100)</f>
        <v>0.0008486857227933498</v>
      </c>
      <c r="G36" s="26">
        <f>IF(OR(1543712.83473="",28143.82713="",251.92638=""),"-",(28143.82713-251.92638)/1543712.83473*100)</f>
        <v>1.8068062998827354</v>
      </c>
    </row>
    <row r="37" spans="1:7" s="9" customFormat="1" ht="26.25">
      <c r="A37" s="56" t="s">
        <v>64</v>
      </c>
      <c r="B37" s="25">
        <f>IF(5437.7655="","-",5437.7655)</f>
        <v>5437.7655</v>
      </c>
      <c r="C37" s="25">
        <f>IF(3682.96228="","-",5437.7655/3682.96228*100)</f>
        <v>147.64651621683186</v>
      </c>
      <c r="D37" s="25">
        <f>IF(3682.96228="","-",3682.96228/1543712.83473*100)</f>
        <v>0.2385781990757472</v>
      </c>
      <c r="E37" s="25">
        <f>IF(5437.7655="","-",5437.7655/1792653.68414*100)</f>
        <v>0.303336084828269</v>
      </c>
      <c r="F37" s="25">
        <f>IF(1633636.53089="","-",(3682.96228-3634.23825)/1633636.53089*100)</f>
        <v>0.0029825502233018514</v>
      </c>
      <c r="G37" s="25">
        <f>IF(1543712.83473="","-",(5437.7655-3682.96228)/1543712.83473*100)</f>
        <v>0.11367420031245129</v>
      </c>
    </row>
    <row r="38" spans="1:7" s="9" customFormat="1" ht="15">
      <c r="A38" s="59" t="s">
        <v>65</v>
      </c>
      <c r="B38" s="26">
        <f>IF(320.85497="","-",320.85497)</f>
        <v>320.85497</v>
      </c>
      <c r="C38" s="26">
        <f>IF(OR(258.77057="",320.85497=""),"-",320.85497/258.77057*100)</f>
        <v>123.99206370338017</v>
      </c>
      <c r="D38" s="26">
        <f>IF(258.77057="","-",258.77057/1543712.83473*100)</f>
        <v>0.01676286963340949</v>
      </c>
      <c r="E38" s="26">
        <f>IF(320.85497="","-",320.85497/1792653.68414*100)</f>
        <v>0.017898324302048647</v>
      </c>
      <c r="F38" s="26">
        <f>IF(OR(1633636.53089="",228.6567="",258.77057=""),"-",(258.77057-228.6567)/1633636.53089*100)</f>
        <v>0.0018433641407121374</v>
      </c>
      <c r="G38" s="26">
        <f>IF(OR(1543712.83473="",320.85497="",258.77057=""),"-",(320.85497-258.77057)/1543712.83473*100)</f>
        <v>0.0040217583609621745</v>
      </c>
    </row>
    <row r="39" spans="1:7" s="9" customFormat="1" ht="26.25">
      <c r="A39" s="59" t="s">
        <v>110</v>
      </c>
      <c r="B39" s="26">
        <f>IF(4104.54586="","-",4104.54586)</f>
        <v>4104.54586</v>
      </c>
      <c r="C39" s="26" t="s">
        <v>212</v>
      </c>
      <c r="D39" s="26">
        <f>IF(2630.37755="","-",2630.37755/1543712.83473*100)</f>
        <v>0.17039293130318897</v>
      </c>
      <c r="E39" s="26">
        <f>IF(4104.54586="","-",4104.54586/1792653.68414*100)</f>
        <v>0.2289647965088749</v>
      </c>
      <c r="F39" s="26">
        <f>IF(OR(1633636.53089="",2703.82491="",2630.37755=""),"-",(2630.37755-2703.82491)/1633636.53089*100)</f>
        <v>-0.004495942555838034</v>
      </c>
      <c r="G39" s="26">
        <f>IF(OR(1543712.83473="",4104.54586="",2630.37755=""),"-",(4104.54586-2630.37755)/1543712.83473*100)</f>
        <v>0.09549498305867467</v>
      </c>
    </row>
    <row r="40" spans="1:7" s="9" customFormat="1" ht="26.25">
      <c r="A40" s="59" t="s">
        <v>111</v>
      </c>
      <c r="B40" s="26">
        <f>IF(1012.36467="","-",1012.36467)</f>
        <v>1012.36467</v>
      </c>
      <c r="C40" s="26">
        <f>IF(OR(793.81416="",1012.36467=""),"-",1012.36467/793.81416*100)</f>
        <v>127.53169709141999</v>
      </c>
      <c r="D40" s="26">
        <f>IF(793.81416="","-",793.81416/1543712.83473*100)</f>
        <v>0.051422398139148756</v>
      </c>
      <c r="E40" s="26">
        <f>IF(1012.36467="","-",1012.36467/1792653.68414*100)</f>
        <v>0.056472964017345466</v>
      </c>
      <c r="F40" s="26">
        <f>IF(OR(1633636.53089="",701.75664="",793.81416=""),"-",(793.81416-701.75664)/1633636.53089*100)</f>
        <v>0.005635128638427755</v>
      </c>
      <c r="G40" s="26">
        <f>IF(OR(1543712.83473="",1012.36467="",793.81416=""),"-",(1012.36467-793.81416)/1543712.83473*100)</f>
        <v>0.014157458892814426</v>
      </c>
    </row>
    <row r="41" spans="1:7" s="9" customFormat="1" ht="26.25">
      <c r="A41" s="56" t="s">
        <v>68</v>
      </c>
      <c r="B41" s="25">
        <f>IF(295989.64928="","-",295989.64928)</f>
        <v>295989.64928</v>
      </c>
      <c r="C41" s="25">
        <f>IF(254503.41663="","-",295989.64928/254503.41663*100)</f>
        <v>116.30085489591411</v>
      </c>
      <c r="D41" s="25">
        <f>IF(254503.41663="","-",254503.41663/1543712.83473*100)</f>
        <v>16.486448185456293</v>
      </c>
      <c r="E41" s="25">
        <f>IF(295989.64928="","-",295989.64928/1792653.68414*100)</f>
        <v>16.511256574467524</v>
      </c>
      <c r="F41" s="25">
        <f>IF(1633636.53089="","-",(254503.41663-257875.11803)/1633636.53089*100)</f>
        <v>-0.20639238510191293</v>
      </c>
      <c r="G41" s="25">
        <f>IF(1543712.83473="","-",(295989.64928-254503.41663)/1543712.83473*100)</f>
        <v>2.687431996201294</v>
      </c>
    </row>
    <row r="42" spans="1:7" s="9" customFormat="1" ht="15">
      <c r="A42" s="59" t="s">
        <v>69</v>
      </c>
      <c r="B42" s="26">
        <f>IF(7158.00535="","-",7158.00535)</f>
        <v>7158.00535</v>
      </c>
      <c r="C42" s="26">
        <f>IF(OR(5904.46952="",7158.00535=""),"-",7158.00535/5904.46952*100)</f>
        <v>121.23028708597687</v>
      </c>
      <c r="D42" s="26">
        <f>IF(5904.46952="","-",5904.46952/1543712.83473*100)</f>
        <v>0.38248496657946807</v>
      </c>
      <c r="E42" s="26">
        <f>IF(7158.00535="","-",7158.00535/1792653.68414*100)</f>
        <v>0.399296607779207</v>
      </c>
      <c r="F42" s="26">
        <f>IF(OR(1633636.53089="",8116.17602="",5904.46952=""),"-",(5904.46952-8116.17602)/1633636.53089*100)</f>
        <v>-0.13538547027930806</v>
      </c>
      <c r="G42" s="26">
        <f>IF(OR(1543712.83473="",7158.00535="",5904.46952=""),"-",(7158.00535-5904.46952)/1543712.83473*100)</f>
        <v>0.08120265646552378</v>
      </c>
    </row>
    <row r="43" spans="1:7" s="9" customFormat="1" ht="15">
      <c r="A43" s="59" t="s">
        <v>70</v>
      </c>
      <c r="B43" s="26">
        <f>IF(4484.77822="","-",4484.77822)</f>
        <v>4484.77822</v>
      </c>
      <c r="C43" s="26">
        <f>IF(OR(5824.01177="",4484.77822=""),"-",4484.77822/5824.01177*100)</f>
        <v>77.00496491269969</v>
      </c>
      <c r="D43" s="26">
        <f>IF(5824.01177="","-",5824.01177/1543712.83473*100)</f>
        <v>0.3772730030464919</v>
      </c>
      <c r="E43" s="26">
        <f>IF(4484.77822="","-",4484.77822/1792653.68414*100)</f>
        <v>0.250175382991027</v>
      </c>
      <c r="F43" s="26">
        <f>IF(OR(1633636.53089="",4165.92202="",5824.01177=""),"-",(5824.01177-4165.92202)/1633636.53089*100)</f>
        <v>0.10149685800039487</v>
      </c>
      <c r="G43" s="26">
        <f>IF(OR(1543712.83473="",4484.77822="",5824.01177=""),"-",(4484.77822-5824.01177)/1543712.83473*100)</f>
        <v>-0.08675405942545239</v>
      </c>
    </row>
    <row r="44" spans="1:7" s="9" customFormat="1" ht="15">
      <c r="A44" s="59" t="s">
        <v>71</v>
      </c>
      <c r="B44" s="26">
        <f>IF(11023.56883="","-",11023.56883)</f>
        <v>11023.56883</v>
      </c>
      <c r="C44" s="26">
        <f>IF(OR(9515.97498="",11023.56883=""),"-",11023.56883/9515.97498*100)</f>
        <v>115.84276811539074</v>
      </c>
      <c r="D44" s="26">
        <f>IF(9515.97498="","-",9515.97498/1543712.83473*100)</f>
        <v>0.6164342723537939</v>
      </c>
      <c r="E44" s="26">
        <f>IF(11023.56883="","-",11023.56883/1792653.68414*100)</f>
        <v>0.6149301969213535</v>
      </c>
      <c r="F44" s="26">
        <f>IF(OR(1633636.53089="",9156.2913="",9515.97498=""),"-",(9515.97498-9156.2913)/1633636.53089*100)</f>
        <v>0.022017362687405475</v>
      </c>
      <c r="G44" s="26">
        <f>IF(OR(1543712.83473="",11023.56883="",9515.97498=""),"-",(11023.56883-9515.97498)/1543712.83473*100)</f>
        <v>0.0976602523528077</v>
      </c>
    </row>
    <row r="45" spans="1:7" s="9" customFormat="1" ht="15">
      <c r="A45" s="59" t="s">
        <v>72</v>
      </c>
      <c r="B45" s="26">
        <f>IF(83114.33="","-",83114.33)</f>
        <v>83114.33</v>
      </c>
      <c r="C45" s="26">
        <f>IF(OR(57440.73862="",83114.33=""),"-",83114.33/57440.73862*100)</f>
        <v>144.695789080715</v>
      </c>
      <c r="D45" s="26">
        <f>IF(57440.73862="","-",57440.73862/1543712.83473*100)</f>
        <v>3.720947142999336</v>
      </c>
      <c r="E45" s="26">
        <f>IF(83114.33="","-",83114.33/1792653.68414*100)</f>
        <v>4.636385194492985</v>
      </c>
      <c r="F45" s="26">
        <f>IF(OR(1633636.53089="",66723.36002="",57440.73862=""),"-",(57440.73862-66723.36002)/1633636.53089*100)</f>
        <v>-0.5682182801668162</v>
      </c>
      <c r="G45" s="26">
        <f>IF(OR(1543712.83473="",83114.33="",57440.73862=""),"-",(83114.33-57440.73862)/1543712.83473*100)</f>
        <v>1.6631066868398743</v>
      </c>
    </row>
    <row r="46" spans="1:7" s="9" customFormat="1" ht="39">
      <c r="A46" s="59" t="s">
        <v>73</v>
      </c>
      <c r="B46" s="26">
        <f>IF(42041.22327="","-",42041.22327)</f>
        <v>42041.22327</v>
      </c>
      <c r="C46" s="26">
        <f>IF(OR(44053.59383="",42041.22327=""),"-",42041.22327/44053.59383*100)</f>
        <v>95.4319945660606</v>
      </c>
      <c r="D46" s="26">
        <f>IF(44053.59383="","-",44053.59383/1543712.83473*100)</f>
        <v>2.853742797163768</v>
      </c>
      <c r="E46" s="26">
        <f>IF(42041.22327="","-",42041.22327/1792653.68414*100)</f>
        <v>2.34519492760637</v>
      </c>
      <c r="F46" s="26">
        <f>IF(OR(1633636.53089="",42881.59025="",44053.59383=""),"-",(44053.59383-42881.59025)/1633636.53089*100)</f>
        <v>0.07174200367333197</v>
      </c>
      <c r="G46" s="26">
        <f>IF(OR(1543712.83473="",42041.22327="",44053.59383=""),"-",(42041.22327-44053.59383)/1543712.83473*100)</f>
        <v>-0.13035912604509536</v>
      </c>
    </row>
    <row r="47" spans="1:7" s="9" customFormat="1" ht="15">
      <c r="A47" s="59" t="s">
        <v>74</v>
      </c>
      <c r="B47" s="26">
        <f>IF(28676.11044="","-",28676.11044)</f>
        <v>28676.11044</v>
      </c>
      <c r="C47" s="26">
        <f>IF(OR(24472.26146="",28676.11044=""),"-",28676.11044/24472.26146*100)</f>
        <v>117.17801596256727</v>
      </c>
      <c r="D47" s="26">
        <f>IF(24472.26146="","-",24472.26146/1543712.83473*100)</f>
        <v>1.5852858711432734</v>
      </c>
      <c r="E47" s="26">
        <f>IF(28676.11044="","-",28676.11044/1792653.68414*100)</f>
        <v>1.5996458598614909</v>
      </c>
      <c r="F47" s="26">
        <f>IF(OR(1633636.53089="",21406.76893="",24472.26146=""),"-",(24472.26146-21406.76893)/1633636.53089*100)</f>
        <v>0.18764838273602588</v>
      </c>
      <c r="G47" s="26">
        <f>IF(OR(1543712.83473="",28676.11044="",24472.26146=""),"-",(28676.11044-24472.26146)/1543712.83473*100)</f>
        <v>0.27232065999731514</v>
      </c>
    </row>
    <row r="48" spans="1:7" s="9" customFormat="1" ht="15">
      <c r="A48" s="59" t="s">
        <v>75</v>
      </c>
      <c r="B48" s="26">
        <f>IF(18253.46673="","-",18253.46673)</f>
        <v>18253.46673</v>
      </c>
      <c r="C48" s="26">
        <f>IF(OR(17186.91175="",18253.46673=""),"-",18253.46673/17186.91175*100)</f>
        <v>106.20562318300146</v>
      </c>
      <c r="D48" s="26">
        <f>IF(17186.91175="","-",17186.91175/1543712.83473*100)</f>
        <v>1.113349022132477</v>
      </c>
      <c r="E48" s="26">
        <f>IF(18253.46673="","-",18253.46673/1792653.68414*100)</f>
        <v>1.0182372028402598</v>
      </c>
      <c r="F48" s="26">
        <f>IF(OR(1633636.53089="",18611.33176="",17186.91175=""),"-",(17186.91175-18611.33176)/1633636.53089*100)</f>
        <v>-0.08719320259225484</v>
      </c>
      <c r="G48" s="26">
        <f>IF(OR(1543712.83473="",18253.46673="",17186.91175=""),"-",(18253.46673-17186.91175)/1543712.83473*100)</f>
        <v>0.069090245025173</v>
      </c>
    </row>
    <row r="49" spans="1:7" s="9" customFormat="1" ht="15">
      <c r="A49" s="59" t="s">
        <v>76</v>
      </c>
      <c r="B49" s="26">
        <f>IF(34570.00131="","-",34570.00131)</f>
        <v>34570.00131</v>
      </c>
      <c r="C49" s="26">
        <f>IF(OR(29777.94362="",34570.00131=""),"-",34570.00131/29777.94362*100)</f>
        <v>116.09264142330322</v>
      </c>
      <c r="D49" s="26">
        <f>IF(29777.94362="","-",29777.94362/1543712.83473*100)</f>
        <v>1.9289820587135464</v>
      </c>
      <c r="E49" s="26">
        <f>IF(34570.00131="","-",34570.00131/1792653.68414*100)</f>
        <v>1.9284260878633936</v>
      </c>
      <c r="F49" s="26">
        <f>IF(OR(1633636.53089="",30220.7934="",29777.94362=""),"-",(29777.94362-30220.7934)/1633636.53089*100)</f>
        <v>-0.027108219706542515</v>
      </c>
      <c r="G49" s="26">
        <f>IF(OR(1543712.83473="",34570.00131="",29777.94362=""),"-",(34570.00131-29777.94362)/1543712.83473*100)</f>
        <v>0.3104241658286236</v>
      </c>
    </row>
    <row r="50" spans="1:7" s="9" customFormat="1" ht="15">
      <c r="A50" s="59" t="s">
        <v>77</v>
      </c>
      <c r="B50" s="26">
        <f>IF(66668.16513="","-",66668.16513)</f>
        <v>66668.16513</v>
      </c>
      <c r="C50" s="26">
        <f>IF(OR(60327.51108="",66668.16513=""),"-",66668.16513/60327.51108*100)</f>
        <v>110.51038562090136</v>
      </c>
      <c r="D50" s="26">
        <f>IF(60327.51108="","-",60327.51108/1543712.83473*100)</f>
        <v>3.907949051324138</v>
      </c>
      <c r="E50" s="26">
        <f>IF(66668.16513="","-",66668.16513/1792653.68414*100)</f>
        <v>3.718965114111435</v>
      </c>
      <c r="F50" s="26">
        <f>IF(OR(1633636.53089="",56592.88433="",60327.51108=""),"-",(60327.51108-56592.88433)/1633636.53089*100)</f>
        <v>0.22860818054585147</v>
      </c>
      <c r="G50" s="26">
        <f>IF(OR(1543712.83473="",66668.16513="",60327.51108=""),"-",(66668.16513-60327.51108)/1543712.83473*100)</f>
        <v>0.4107405151625236</v>
      </c>
    </row>
    <row r="51" spans="1:7" s="9" customFormat="1" ht="26.25">
      <c r="A51" s="56" t="s">
        <v>78</v>
      </c>
      <c r="B51" s="25">
        <f>IF(341814.78328="","-",341814.78328)</f>
        <v>341814.78328</v>
      </c>
      <c r="C51" s="25">
        <f>IF(324409.50666="","-",341814.78328/324409.50666*100)</f>
        <v>105.36521780733193</v>
      </c>
      <c r="D51" s="25">
        <f>IF(324409.50666="","-",324409.50666/1543712.83473*100)</f>
        <v>21.01488692466175</v>
      </c>
      <c r="E51" s="25">
        <f>IF(341814.78328="","-",341814.78328/1792653.68414*100)</f>
        <v>19.067530237664435</v>
      </c>
      <c r="F51" s="25">
        <f>IF(1633636.53089="","-",(324409.50666-304267.35637)/1633636.53089*100)</f>
        <v>1.2329639983642287</v>
      </c>
      <c r="G51" s="25">
        <f>IF(1543712.83473="","-",(341814.78328-324409.50666)/1543712.83473*100)</f>
        <v>1.12749445547262</v>
      </c>
    </row>
    <row r="52" spans="1:7" s="9" customFormat="1" ht="15">
      <c r="A52" s="59" t="s">
        <v>79</v>
      </c>
      <c r="B52" s="26">
        <f>IF(14675.74811="","-",14675.74811)</f>
        <v>14675.74811</v>
      </c>
      <c r="C52" s="26">
        <f>IF(OR(15120.38325="",14675.74811=""),"-",14675.74811/15120.38325*100)</f>
        <v>97.05936593902142</v>
      </c>
      <c r="D52" s="26">
        <f>IF(15120.38325="","-",15120.38325/1543712.83473*100)</f>
        <v>0.9794816049867592</v>
      </c>
      <c r="E52" s="26">
        <f>IF(14675.74811="","-",14675.74811/1792653.68414*100)</f>
        <v>0.818660527676905</v>
      </c>
      <c r="F52" s="26">
        <f>IF(OR(1633636.53089="",12147.78423="",15120.38325=""),"-",(15120.38325-12147.78423)/1633636.53089*100)</f>
        <v>0.18196208053578106</v>
      </c>
      <c r="G52" s="26">
        <f>IF(OR(1543712.83473="",14675.74811="",15120.38325=""),"-",(14675.74811-15120.38325)/1543712.83473*100)</f>
        <v>-0.02880296969726033</v>
      </c>
    </row>
    <row r="53" spans="1:7" s="9" customFormat="1" ht="15">
      <c r="A53" s="59" t="s">
        <v>80</v>
      </c>
      <c r="B53" s="26">
        <f>IF(20135.07502="","-",20135.07502)</f>
        <v>20135.07502</v>
      </c>
      <c r="C53" s="26">
        <f>IF(OR(21931.76624="",20135.07502=""),"-",20135.07502/21931.76624*100)</f>
        <v>91.8078133774601</v>
      </c>
      <c r="D53" s="26">
        <f>IF(21931.76624="","-",21931.76624/1543712.83473*100)</f>
        <v>1.42071541718029</v>
      </c>
      <c r="E53" s="26">
        <f>IF(20135.07502="","-",20135.07502/1792653.68414*100)</f>
        <v>1.1231993774447022</v>
      </c>
      <c r="F53" s="26">
        <f>IF(OR(1633636.53089="",16918.59947="",21931.76624=""),"-",(21931.76624-16918.59947)/1633636.53089*100)</f>
        <v>0.30687161282251946</v>
      </c>
      <c r="G53" s="26">
        <f>IF(OR(1543712.83473="",20135.07502="",21931.76624=""),"-",(20135.07502-21931.76624)/1543712.83473*100)</f>
        <v>-0.11638765835060556</v>
      </c>
    </row>
    <row r="54" spans="1:7" s="9" customFormat="1" ht="15">
      <c r="A54" s="59" t="s">
        <v>81</v>
      </c>
      <c r="B54" s="26">
        <f>IF(21340.66003="","-",21340.66003)</f>
        <v>21340.66003</v>
      </c>
      <c r="C54" s="26">
        <f>IF(OR(18754.13937="",21340.66003=""),"-",21340.66003/18754.13937*100)</f>
        <v>113.79173210228734</v>
      </c>
      <c r="D54" s="26">
        <f>IF(18754.13937="","-",18754.13937/1543712.83473*100)</f>
        <v>1.2148722837612578</v>
      </c>
      <c r="E54" s="26">
        <f>IF(21340.66003="","-",21340.66003/1792653.68414*100)</f>
        <v>1.1904507947522431</v>
      </c>
      <c r="F54" s="26">
        <f>IF(OR(1633636.53089="",18827.46278="",18754.13937=""),"-",(18754.13937-18827.46278)/1633636.53089*100)</f>
        <v>-0.004488355188779631</v>
      </c>
      <c r="G54" s="26">
        <f>IF(OR(1543712.83473="",21340.66003="",18754.13937=""),"-",(21340.66003-18754.13937)/1543712.83473*100)</f>
        <v>0.1675519307612927</v>
      </c>
    </row>
    <row r="55" spans="1:7" s="9" customFormat="1" ht="26.25">
      <c r="A55" s="59" t="s">
        <v>82</v>
      </c>
      <c r="B55" s="26">
        <f>IF(32030.41403="","-",32030.41403)</f>
        <v>32030.41403</v>
      </c>
      <c r="C55" s="26">
        <f>IF(OR(29817.6966="",32030.41403=""),"-",32030.41403/29817.6966*100)</f>
        <v>107.42081945390778</v>
      </c>
      <c r="D55" s="26">
        <f>IF(29817.6966="","-",29817.6966/1543712.83473*100)</f>
        <v>1.9315572125313838</v>
      </c>
      <c r="E55" s="26">
        <f>IF(32030.41403="","-",32030.41403/1792653.68414*100)</f>
        <v>1.7867597246127398</v>
      </c>
      <c r="F55" s="26">
        <f>IF(OR(1633636.53089="",30196.73414="",29817.6966=""),"-",(29817.6966-30196.73414)/1633636.53089*100)</f>
        <v>-0.0232020729723461</v>
      </c>
      <c r="G55" s="26">
        <f>IF(OR(1543712.83473="",32030.41403="",29817.6966=""),"-",(32030.41403-29817.6966)/1543712.83473*100)</f>
        <v>0.14333737339088792</v>
      </c>
    </row>
    <row r="56" spans="1:7" s="9" customFormat="1" ht="39">
      <c r="A56" s="59" t="s">
        <v>83</v>
      </c>
      <c r="B56" s="26">
        <f>IF(109257.68063="","-",109257.68063)</f>
        <v>109257.68063</v>
      </c>
      <c r="C56" s="26">
        <f>IF(OR(103966.05962="",109257.68063=""),"-",109257.68063/103966.05962*100)</f>
        <v>105.08975816659887</v>
      </c>
      <c r="D56" s="26">
        <f>IF(103966.05962="","-",103966.05962/1543712.83473*100)</f>
        <v>6.734805676353917</v>
      </c>
      <c r="E56" s="26">
        <f>IF(109257.68063="","-",109257.68063/1792653.68414*100)</f>
        <v>6.094745549384505</v>
      </c>
      <c r="F56" s="26">
        <f>IF(OR(1633636.53089="",83027.98859="",103966.05962=""),"-",(103966.05962-83027.98859)/1633636.53089*100)</f>
        <v>1.28168479549077</v>
      </c>
      <c r="G56" s="26">
        <f>IF(OR(1543712.83473="",109257.68063="",103966.05962=""),"-",(109257.68063-103966.05962)/1543712.83473*100)</f>
        <v>0.3427853219167879</v>
      </c>
    </row>
    <row r="57" spans="1:7" s="9" customFormat="1" ht="15">
      <c r="A57" s="59" t="s">
        <v>84</v>
      </c>
      <c r="B57" s="26">
        <f>IF(39600.21284="","-",39600.21284)</f>
        <v>39600.21284</v>
      </c>
      <c r="C57" s="26">
        <f>IF(OR(35900.00064="",39600.21284=""),"-",39600.21284/35900.00064*100)</f>
        <v>110.30699758784183</v>
      </c>
      <c r="D57" s="26">
        <f>IF(35900.00064="","-",35900.00064/1543712.83473*100)</f>
        <v>2.325562101469411</v>
      </c>
      <c r="E57" s="26">
        <f>IF(39600.21284="","-",39600.21284/1792653.68414*100)</f>
        <v>2.209027498749578</v>
      </c>
      <c r="F57" s="26">
        <f>IF(OR(1633636.53089="",35561.59412="",35900.00064=""),"-",(35900.00064-35561.59412)/1633636.53089*100)</f>
        <v>0.020714921195820347</v>
      </c>
      <c r="G57" s="26">
        <f>IF(OR(1543712.83473="",39600.21284="",35900.00064=""),"-",(39600.21284-35900.00064)/1543712.83473*100)</f>
        <v>0.23969562970221595</v>
      </c>
    </row>
    <row r="58" spans="1:7" s="9" customFormat="1" ht="15">
      <c r="A58" s="59" t="s">
        <v>85</v>
      </c>
      <c r="B58" s="26">
        <f>IF(32806.25247="","-",32806.25247)</f>
        <v>32806.25247</v>
      </c>
      <c r="C58" s="26">
        <f>IF(OR(37080.27449="",32806.25247=""),"-",32806.25247/37080.27449*100)</f>
        <v>88.4735965987721</v>
      </c>
      <c r="D58" s="26">
        <f>IF(37080.27449="","-",37080.27449/1543712.83473*100)</f>
        <v>2.402018928377016</v>
      </c>
      <c r="E58" s="26">
        <f>IF(32806.25247="","-",32806.25247/1792653.68414*100)</f>
        <v>1.830038493226221</v>
      </c>
      <c r="F58" s="26">
        <f>IF(OR(1633636.53089="",41026.47229="",37080.27449=""),"-",(37080.27449-41026.47229)/1633636.53089*100)</f>
        <v>-0.2415591060424021</v>
      </c>
      <c r="G58" s="26">
        <f>IF(OR(1543712.83473="",32806.25247="",37080.27449=""),"-",(32806.25247-37080.27449)/1543712.83473*100)</f>
        <v>-0.2768663914585865</v>
      </c>
    </row>
    <row r="59" spans="1:7" s="9" customFormat="1" ht="15">
      <c r="A59" s="59" t="s">
        <v>86</v>
      </c>
      <c r="B59" s="26">
        <f>IF(25956.45911="","-",25956.45911)</f>
        <v>25956.45911</v>
      </c>
      <c r="C59" s="26">
        <f>IF(OR(20626.4054="",25956.45911=""),"-",25956.45911/20626.4054*100)</f>
        <v>125.84092383833394</v>
      </c>
      <c r="D59" s="26">
        <f>IF(20626.4054="","-",20626.4054/1543712.83473*100)</f>
        <v>1.3361555942240786</v>
      </c>
      <c r="E59" s="26">
        <f>IF(25956.45911="","-",25956.45911/1792653.68414*100)</f>
        <v>1.4479349435779194</v>
      </c>
      <c r="F59" s="26">
        <f>IF(OR(1633636.53089="",27691.34466="",20626.4054=""),"-",(20626.4054-27691.34466)/1633636.53089*100)</f>
        <v>-0.4324670222788813</v>
      </c>
      <c r="G59" s="26">
        <f>IF(OR(1543712.83473="",25956.45911="",20626.4054=""),"-",(25956.45911-20626.4054)/1543712.83473*100)</f>
        <v>0.3452749494650825</v>
      </c>
    </row>
    <row r="60" spans="1:7" s="9" customFormat="1" ht="15">
      <c r="A60" s="59" t="s">
        <v>87</v>
      </c>
      <c r="B60" s="26">
        <f>IF(46012.28104="","-",46012.28104)</f>
        <v>46012.28104</v>
      </c>
      <c r="C60" s="26">
        <f>IF(OR(41212.78105="",46012.28104=""),"-",46012.28104/41212.78105*100)</f>
        <v>111.64565910797715</v>
      </c>
      <c r="D60" s="26">
        <f>IF(41212.78105="","-",41212.78105/1543712.83473*100)</f>
        <v>2.6697181057776356</v>
      </c>
      <c r="E60" s="26">
        <f>IF(46012.28104="","-",46012.28104/1792653.68414*100)</f>
        <v>2.566713328239622</v>
      </c>
      <c r="F60" s="26">
        <f>IF(OR(1633636.53089="",38869.37609="",41212.78105=""),"-",(41212.78105-38869.37609)/1633636.53089*100)</f>
        <v>0.14344714480174608</v>
      </c>
      <c r="G60" s="26">
        <f>IF(OR(1543712.83473="",46012.28104="",41212.78105=""),"-",(46012.28104-41212.78105)/1543712.83473*100)</f>
        <v>0.31090626974280816</v>
      </c>
    </row>
    <row r="61" spans="1:7" s="9" customFormat="1" ht="15.75" customHeight="1">
      <c r="A61" s="56" t="s">
        <v>88</v>
      </c>
      <c r="B61" s="25">
        <f>IF(370052.38843="","-",370052.38843)</f>
        <v>370052.38843</v>
      </c>
      <c r="C61" s="25">
        <f>IF(301317.26174="","-",370052.38843/301317.26174*100)</f>
        <v>122.81154630606925</v>
      </c>
      <c r="D61" s="25">
        <f>IF(301317.26174="","-",301317.26174/1543712.83473*100)</f>
        <v>19.51899698966364</v>
      </c>
      <c r="E61" s="25">
        <f>IF(370052.38843="","-",370052.38843/1792653.68414*100)</f>
        <v>20.64271485920201</v>
      </c>
      <c r="F61" s="25">
        <f>IF(1633636.53089="","-",(301317.26174-324811.05368)/1633636.53089*100)</f>
        <v>-1.438128463447171</v>
      </c>
      <c r="G61" s="25">
        <f>IF(1543712.83473="","-",(370052.38843-301317.26174)/1543712.83473*100)</f>
        <v>4.4525850367773865</v>
      </c>
    </row>
    <row r="62" spans="1:7" s="9" customFormat="1" ht="26.25">
      <c r="A62" s="59" t="s">
        <v>112</v>
      </c>
      <c r="B62" s="26">
        <f>IF(5327.80898="","-",5327.80898)</f>
        <v>5327.80898</v>
      </c>
      <c r="C62" s="26">
        <f>IF(OR(4166.27301="",5327.80898=""),"-",5327.80898/4166.27301*100)</f>
        <v>127.87949726799108</v>
      </c>
      <c r="D62" s="26">
        <f>IF(4166.27301="","-",4166.27301/1543712.83473*100)</f>
        <v>0.2698865304652788</v>
      </c>
      <c r="E62" s="26">
        <f>IF(5327.80898="","-",5327.80898/1792653.68414*100)</f>
        <v>0.297202355766554</v>
      </c>
      <c r="F62" s="26">
        <f>IF(OR(1633636.53089="",4479.17774="",4166.27301=""),"-",(4166.27301-4479.17774)/1633636.53089*100)</f>
        <v>-0.019153876892648247</v>
      </c>
      <c r="G62" s="26">
        <f>IF(OR(1543712.83473="",5327.80898="",4166.27301=""),"-",(5327.80898-4166.27301)/1543712.83473*100)</f>
        <v>0.07524300788774332</v>
      </c>
    </row>
    <row r="63" spans="1:7" s="9" customFormat="1" ht="26.25">
      <c r="A63" s="59" t="s">
        <v>90</v>
      </c>
      <c r="B63" s="26">
        <f>IF(54748.67626="","-",54748.67626)</f>
        <v>54748.67626</v>
      </c>
      <c r="C63" s="26">
        <f>IF(OR(43998.09062="",54748.67626=""),"-",54748.67626/43998.09062*100)</f>
        <v>124.4342095043396</v>
      </c>
      <c r="D63" s="26">
        <f>IF(43998.09062="","-",43998.09062/1543712.83473*100)</f>
        <v>2.8501473609692054</v>
      </c>
      <c r="E63" s="26">
        <f>IF(54748.67626="","-",54748.67626/1792653.68414*100)</f>
        <v>3.0540576099206183</v>
      </c>
      <c r="F63" s="26">
        <f>IF(OR(1633636.53089="",50799.1178="",43998.09062=""),"-",(43998.09062-50799.1178)/1633636.53089*100)</f>
        <v>-0.41631213867963757</v>
      </c>
      <c r="G63" s="26">
        <f>IF(OR(1543712.83473="",54748.67626="",43998.09062=""),"-",(54748.67626-43998.09062)/1543712.83473*100)</f>
        <v>0.6964109773616223</v>
      </c>
    </row>
    <row r="64" spans="1:7" s="9" customFormat="1" ht="26.25">
      <c r="A64" s="59" t="s">
        <v>91</v>
      </c>
      <c r="B64" s="26">
        <f>IF(3844.41197="","-",3844.41197)</f>
        <v>3844.41197</v>
      </c>
      <c r="C64" s="26" t="s">
        <v>27</v>
      </c>
      <c r="D64" s="26">
        <f>IF(1901.07126="","-",1901.07126/1543712.83473*100)</f>
        <v>0.12314928121540836</v>
      </c>
      <c r="E64" s="26">
        <f>IF(3844.41197="","-",3844.41197/1792653.68414*100)</f>
        <v>0.21445368974567455</v>
      </c>
      <c r="F64" s="26">
        <f>IF(OR(1633636.53089="",3962.59884="",1901.07126=""),"-",(1901.07126-3962.59884)/1633636.53089*100)</f>
        <v>-0.12619254901681748</v>
      </c>
      <c r="G64" s="26">
        <f>IF(OR(1543712.83473="",3844.41197="",1901.07126=""),"-",(3844.41197-1901.07126)/1543712.83473*100)</f>
        <v>0.12588744916018635</v>
      </c>
    </row>
    <row r="65" spans="1:7" s="9" customFormat="1" ht="39">
      <c r="A65" s="59" t="s">
        <v>92</v>
      </c>
      <c r="B65" s="26">
        <f>IF(52153.64097="","-",52153.64097)</f>
        <v>52153.64097</v>
      </c>
      <c r="C65" s="26">
        <f>IF(OR(40968.08004="",52153.64097=""),"-",52153.64097/40968.08004*100)</f>
        <v>127.30311237206809</v>
      </c>
      <c r="D65" s="26">
        <f>IF(40968.08004="","-",40968.08004/1543712.83473*100)</f>
        <v>2.6538666465881553</v>
      </c>
      <c r="E65" s="26">
        <f>IF(52153.64097="","-",52153.64097/1792653.68414*100)</f>
        <v>2.909298177970162</v>
      </c>
      <c r="F65" s="26">
        <f>IF(OR(1633636.53089="",47132.48441="",40968.08004=""),"-",(40968.08004-47132.48441)/1633636.53089*100)</f>
        <v>-0.37734246593038956</v>
      </c>
      <c r="G65" s="26">
        <f>IF(OR(1543712.83473="",52153.64097="",40968.08004=""),"-",(52153.64097-40968.08004)/1543712.83473*100)</f>
        <v>0.7245881927227993</v>
      </c>
    </row>
    <row r="66" spans="1:7" s="9" customFormat="1" ht="26.25">
      <c r="A66" s="59" t="s">
        <v>93</v>
      </c>
      <c r="B66" s="26">
        <f>IF(14315.15094="","-",14315.15094)</f>
        <v>14315.15094</v>
      </c>
      <c r="C66" s="26">
        <f>IF(OR(12246.19348="",14315.15094=""),"-",14315.15094/12246.19348*100)</f>
        <v>116.8946984495953</v>
      </c>
      <c r="D66" s="26">
        <f>IF(12246.19348="","-",12246.19348/1543712.83473*100)</f>
        <v>0.79329478932148</v>
      </c>
      <c r="E66" s="26">
        <f>IF(14315.15094="","-",14315.15094/1792653.68414*100)</f>
        <v>0.798545255374715</v>
      </c>
      <c r="F66" s="26">
        <f>IF(OR(1633636.53089="",9091.14019="",12246.19348=""),"-",(12246.19348-9091.14019)/1633636.53089*100)</f>
        <v>0.1931306768881531</v>
      </c>
      <c r="G66" s="26">
        <f>IF(OR(1543712.83473="",14315.15094="",12246.19348=""),"-",(14315.15094-12246.19348)/1543712.83473*100)</f>
        <v>0.1340247624722163</v>
      </c>
    </row>
    <row r="67" spans="1:7" s="9" customFormat="1" ht="39">
      <c r="A67" s="59" t="s">
        <v>94</v>
      </c>
      <c r="B67" s="26">
        <f>IF(35423.9794="","-",35423.9794)</f>
        <v>35423.9794</v>
      </c>
      <c r="C67" s="26">
        <f>IF(OR(24087.4975="",35423.9794=""),"-",35423.9794/24087.4975*100)</f>
        <v>147.06375952919143</v>
      </c>
      <c r="D67" s="26">
        <f>IF(24087.4975="","-",24087.4975/1543712.83473*100)</f>
        <v>1.5603612898776589</v>
      </c>
      <c r="E67" s="26">
        <f>IF(35423.9794="","-",35423.9794/1792653.68414*100)</f>
        <v>1.9760637379881965</v>
      </c>
      <c r="F67" s="26">
        <f>IF(OR(1633636.53089="",29427.76432="",24087.4975=""),"-",(24087.4975-29427.76432)/1633636.53089*100)</f>
        <v>-0.3268944296373341</v>
      </c>
      <c r="G67" s="26">
        <f>IF(OR(1543712.83473="",35423.9794="",24087.4975=""),"-",(35423.9794-24087.4975)/1543712.83473*100)</f>
        <v>0.7343646852546108</v>
      </c>
    </row>
    <row r="68" spans="1:7" s="9" customFormat="1" ht="38.25" customHeight="1">
      <c r="A68" s="59" t="s">
        <v>95</v>
      </c>
      <c r="B68" s="26">
        <f>IF(110302.17432="","-",110302.17432)</f>
        <v>110302.17432</v>
      </c>
      <c r="C68" s="26">
        <f>IF(OR(94593.2016="",110302.17432=""),"-",110302.17432/94593.2016*100)</f>
        <v>116.60687285586071</v>
      </c>
      <c r="D68" s="26">
        <f>IF(94593.2016="","-",94593.2016/1543712.83473*100)</f>
        <v>6.127642361446366</v>
      </c>
      <c r="E68" s="26">
        <f>IF(110302.17432="","-",110302.17432/1792653.68414*100)</f>
        <v>6.153010773685264</v>
      </c>
      <c r="F68" s="26">
        <f>IF(OR(1633636.53089="",105563.47339="",94593.2016=""),"-",(94593.2016-105563.47339)/1633636.53089*100)</f>
        <v>-0.6715246373698212</v>
      </c>
      <c r="G68" s="26">
        <f>IF(OR(1543712.83473="",110302.17432="",94593.2016=""),"-",(110302.17432-94593.2016)/1543712.83473*100)</f>
        <v>1.017609776027259</v>
      </c>
    </row>
    <row r="69" spans="1:7" s="9" customFormat="1" ht="26.25">
      <c r="A69" s="59" t="s">
        <v>96</v>
      </c>
      <c r="B69" s="26">
        <f>IF(93222.38104="","-",93222.38104)</f>
        <v>93222.38104</v>
      </c>
      <c r="C69" s="26">
        <f>IF(OR(79102.91967="",93222.38104=""),"-",93222.38104/79102.91967*100)</f>
        <v>117.84948195199783</v>
      </c>
      <c r="D69" s="26">
        <f>IF(79102.91967="","-",79102.91967/1543712.83473*100)</f>
        <v>5.124199131494255</v>
      </c>
      <c r="E69" s="26">
        <f>IF(93222.38104="","-",93222.38104/1792653.68414*100)</f>
        <v>5.200244858488777</v>
      </c>
      <c r="F69" s="26">
        <f>IF(OR(1633636.53089="",72396.54028="",79102.91967=""),"-",(79102.91967-72396.54028)/1633636.53089*100)</f>
        <v>0.41051845151542904</v>
      </c>
      <c r="G69" s="26">
        <f>IF(OR(1543712.83473="",93222.38104="",79102.91967=""),"-",(93222.38104-79102.91967)/1543712.83473*100)</f>
        <v>0.9146429991604964</v>
      </c>
    </row>
    <row r="70" spans="1:7" s="9" customFormat="1" ht="15">
      <c r="A70" s="59" t="s">
        <v>97</v>
      </c>
      <c r="B70" s="26">
        <f>IF(714.16455="","-",714.16455)</f>
        <v>714.16455</v>
      </c>
      <c r="C70" s="26" t="s">
        <v>181</v>
      </c>
      <c r="D70" s="26">
        <f>IF(253.93456="","-",253.93456/1543712.83473*100)</f>
        <v>0.01644959828583753</v>
      </c>
      <c r="E70" s="26">
        <f>IF(714.16455="","-",714.16455/1792653.68414*100)</f>
        <v>0.039838400262045603</v>
      </c>
      <c r="F70" s="26">
        <f>IF(OR(1633636.53089="",1958.75671="",253.93456=""),"-",(253.93456-1958.75671)/1633636.53089*100)</f>
        <v>-0.10435749432410271</v>
      </c>
      <c r="G70" s="26">
        <f>IF(OR(1543712.83473="",714.16455="",253.93456=""),"-",(714.16455-253.93456)/1543712.83473*100)</f>
        <v>0.029813186730451427</v>
      </c>
    </row>
    <row r="71" spans="1:7" s="9" customFormat="1" ht="13.5" customHeight="1">
      <c r="A71" s="56" t="s">
        <v>98</v>
      </c>
      <c r="B71" s="25">
        <f>IF(188053.62084="","-",188053.62084)</f>
        <v>188053.62084</v>
      </c>
      <c r="C71" s="25">
        <f>IF(142208.96119="","-",188053.62084/142208.96119*100)</f>
        <v>132.23753219654608</v>
      </c>
      <c r="D71" s="25">
        <f>IF(142208.96119="","-",142208.96119/1543712.83473*100)</f>
        <v>9.212138293510579</v>
      </c>
      <c r="E71" s="25">
        <f>IF(188053.62084="","-",188053.62084/1792653.68414*100)</f>
        <v>10.490237043760967</v>
      </c>
      <c r="F71" s="25">
        <f>IF(1633636.53089="","-",(142208.96119-145223.24133)/1633636.53089*100)</f>
        <v>-0.18451351221668738</v>
      </c>
      <c r="G71" s="25">
        <f>IF(1543712.83473="","-",(188053.62084-142208.96119)/1543712.83473*100)</f>
        <v>2.9697660483608246</v>
      </c>
    </row>
    <row r="72" spans="1:7" s="9" customFormat="1" ht="39">
      <c r="A72" s="59" t="s">
        <v>99</v>
      </c>
      <c r="B72" s="26">
        <f>IF(12167.94645="","-",12167.94645)</f>
        <v>12167.94645</v>
      </c>
      <c r="C72" s="26">
        <f>IF(OR(10423.40833="",12167.94645=""),"-",12167.94645/10423.40833*100)</f>
        <v>116.73673394314774</v>
      </c>
      <c r="D72" s="26">
        <f>IF(10423.40833="","-",10423.40833/1543712.83473*100)</f>
        <v>0.6752167952158722</v>
      </c>
      <c r="E72" s="26">
        <f>IF(12167.94645="","-",12167.94645/1792653.68414*100)</f>
        <v>0.6787672687509299</v>
      </c>
      <c r="F72" s="26">
        <f>IF(OR(1633636.53089="",12343.8813="",10423.40833=""),"-",(10423.40833-12343.8813)/1633636.53089*100)</f>
        <v>-0.1175581552987023</v>
      </c>
      <c r="G72" s="26">
        <f>IF(OR(1543712.83473="",12167.94645="",10423.40833=""),"-",(12167.94645-10423.40833)/1543712.83473*100)</f>
        <v>0.11300923855472927</v>
      </c>
    </row>
    <row r="73" spans="1:7" s="9" customFormat="1" ht="15">
      <c r="A73" s="59" t="s">
        <v>100</v>
      </c>
      <c r="B73" s="26">
        <f>IF(17059.90741="","-",17059.90741)</f>
        <v>17059.90741</v>
      </c>
      <c r="C73" s="26">
        <f>IF(OR(15024.54815="",17059.90741=""),"-",17059.90741/15024.54815*100)</f>
        <v>113.54689165810288</v>
      </c>
      <c r="D73" s="26">
        <f>IF(15024.54815="","-",15024.54815/1543712.83473*100)</f>
        <v>0.9732735138286156</v>
      </c>
      <c r="E73" s="26">
        <f>IF(17059.90741="","-",17059.90741/1792653.68414*100)</f>
        <v>0.9516566172782138</v>
      </c>
      <c r="F73" s="26">
        <f>IF(OR(1633636.53089="",15399.67661="",15024.54815=""),"-",(15024.54815-15399.67661)/1633636.53089*100)</f>
        <v>-0.022962785962899048</v>
      </c>
      <c r="G73" s="26">
        <f>IF(OR(1543712.83473="",17059.90741="",15024.54815=""),"-",(17059.90741-15024.54815)/1543712.83473*100)</f>
        <v>0.1318483084553734</v>
      </c>
    </row>
    <row r="74" spans="1:7" s="9" customFormat="1" ht="15">
      <c r="A74" s="59" t="s">
        <v>101</v>
      </c>
      <c r="B74" s="26">
        <f>IF(7978.82405="","-",7978.82405)</f>
        <v>7978.82405</v>
      </c>
      <c r="C74" s="26" t="s">
        <v>254</v>
      </c>
      <c r="D74" s="26">
        <f>IF(1824.55344="","-",1824.55344/1543712.83473*100)</f>
        <v>0.1181925419645241</v>
      </c>
      <c r="E74" s="26">
        <f>IF(7978.82405="","-",7978.82405/1792653.68414*100)</f>
        <v>0.445084520261242</v>
      </c>
      <c r="F74" s="26">
        <f>IF(OR(1633636.53089="",1590.44004="",1824.55344=""),"-",(1824.55344-1590.44004)/1633636.53089*100)</f>
        <v>0.014330813223946193</v>
      </c>
      <c r="G74" s="26">
        <f>IF(OR(1543712.83473="",7978.82405="",1824.55344=""),"-",(7978.82405-1824.55344)/1543712.83473*100)</f>
        <v>0.39866680327733367</v>
      </c>
    </row>
    <row r="75" spans="1:7" s="9" customFormat="1" ht="15">
      <c r="A75" s="59" t="s">
        <v>102</v>
      </c>
      <c r="B75" s="26">
        <f>IF(48861.64127="","-",48861.64127)</f>
        <v>48861.64127</v>
      </c>
      <c r="C75" s="26">
        <f>IF(OR(37139.14404="",48861.64127=""),"-",48861.64127/37139.14404*100)</f>
        <v>131.56372483268467</v>
      </c>
      <c r="D75" s="26">
        <f>IF(37139.14404="","-",37139.14404/1543712.83473*100)</f>
        <v>2.4058324323316094</v>
      </c>
      <c r="E75" s="26">
        <f>IF(48861.64127="","-",48861.64127/1792653.68414*100)</f>
        <v>2.72565982500076</v>
      </c>
      <c r="F75" s="26">
        <f>IF(OR(1633636.53089="",30008.6018="",37139.14404=""),"-",(37139.14404-30008.6018)/1633636.53089*100)</f>
        <v>0.43648278580764244</v>
      </c>
      <c r="G75" s="26">
        <f>IF(OR(1543712.83473="",48861.64127="",37139.14404=""),"-",(48861.64127-37139.14404)/1543712.83473*100)</f>
        <v>0.7593703288766334</v>
      </c>
    </row>
    <row r="76" spans="1:7" s="9" customFormat="1" ht="15">
      <c r="A76" s="59" t="s">
        <v>103</v>
      </c>
      <c r="B76" s="26">
        <f>IF(17585.50557="","-",17585.50557)</f>
        <v>17585.50557</v>
      </c>
      <c r="C76" s="26" t="s">
        <v>210</v>
      </c>
      <c r="D76" s="26">
        <f>IF(9616.38762="","-",9616.38762/1543712.83473*100)</f>
        <v>0.6229388914604661</v>
      </c>
      <c r="E76" s="26">
        <f>IF(17585.50557="","-",17585.50557/1792653.68414*100)</f>
        <v>0.9809761765801629</v>
      </c>
      <c r="F76" s="26">
        <f>IF(OR(1633636.53089="",7957.97854="",9616.38762=""),"-",(9616.38762-7957.97854)/1633636.53089*100)</f>
        <v>0.10151640518815427</v>
      </c>
      <c r="G76" s="26">
        <f>IF(OR(1543712.83473="",17585.50557="",9616.38762=""),"-",(17585.50557-9616.38762)/1543712.83473*100)</f>
        <v>0.5162305948822291</v>
      </c>
    </row>
    <row r="77" spans="1:7" s="9" customFormat="1" ht="26.25">
      <c r="A77" s="59" t="s">
        <v>104</v>
      </c>
      <c r="B77" s="26">
        <f>IF(17372.766="","-",17372.766)</f>
        <v>17372.766</v>
      </c>
      <c r="C77" s="26">
        <f>IF(OR(13920.49688="",17372.766=""),"-",17372.766/13920.49688*100)</f>
        <v>124.79989866568613</v>
      </c>
      <c r="D77" s="26">
        <f>IF(13920.49688="","-",13920.49688/1543712.83473*100)</f>
        <v>0.9017543008531594</v>
      </c>
      <c r="E77" s="26">
        <f>IF(17372.766="","-",17372.766/1792653.68414*100)</f>
        <v>0.9691088777325295</v>
      </c>
      <c r="F77" s="26">
        <f>IF(OR(1633636.53089="",27750.91734="",13920.49688=""),"-",(13920.49688-27750.91734)/1633636.53089*100)</f>
        <v>-0.8466032803799527</v>
      </c>
      <c r="G77" s="26">
        <f>IF(OR(1543712.83473="",17372.766="",13920.49688=""),"-",(17372.766-13920.49688)/1543712.83473*100)</f>
        <v>0.22363415282504995</v>
      </c>
    </row>
    <row r="78" spans="1:7" ht="26.25">
      <c r="A78" s="53" t="s">
        <v>105</v>
      </c>
      <c r="B78" s="26">
        <f>IF(3853.09663="","-",3853.09663)</f>
        <v>3853.09663</v>
      </c>
      <c r="C78" s="26">
        <f>IF(OR(2688.21425="",3853.09663=""),"-",3853.09663/2688.21425*100)</f>
        <v>143.33294416544368</v>
      </c>
      <c r="D78" s="26">
        <f>IF(2688.21425="","-",2688.21425/1543712.83473*100)</f>
        <v>0.174139528383864</v>
      </c>
      <c r="E78" s="26">
        <f>IF(3853.09663="","-",3853.09663/1792653.68414*100)</f>
        <v>0.21493814807004777</v>
      </c>
      <c r="F78" s="26">
        <f>IF(OR(1633636.53089="",3065.36129="",2688.21425=""),"-",(2688.21425-3065.36129)/1633636.53089*100)</f>
        <v>-0.023086349556258472</v>
      </c>
      <c r="G78" s="26">
        <f>IF(OR(1543712.83473="",3853.09663="",2688.21425=""),"-",(3853.09663-2688.21425)/1543712.83473*100)</f>
        <v>0.0754597846045467</v>
      </c>
    </row>
    <row r="79" spans="1:7" ht="15">
      <c r="A79" s="60" t="s">
        <v>106</v>
      </c>
      <c r="B79" s="33">
        <f>IF(63173.93346="","-",63173.93346)</f>
        <v>63173.93346</v>
      </c>
      <c r="C79" s="33">
        <f>IF(OR(51572.20848="",63173.93346=""),"-",63173.93346/51572.20848*100)</f>
        <v>122.49607942327934</v>
      </c>
      <c r="D79" s="33">
        <f>IF(51572.20848="","-",51572.20848/1543712.83473*100)</f>
        <v>3.3407902894724675</v>
      </c>
      <c r="E79" s="33">
        <f>IF(63173.93346="","-",63173.93346/1792653.68414*100)</f>
        <v>3.524045610087081</v>
      </c>
      <c r="F79" s="33">
        <f>IF(OR(1633636.53089="",47106.38441="",51572.20848=""),"-",(51572.20848-47106.38441)/1633636.53089*100)</f>
        <v>0.2733670547613817</v>
      </c>
      <c r="G79" s="33">
        <f>IF(OR(1543712.83473="",63173.93346="",51572.20848=""),"-",(63173.93346-51572.20848)/1543712.83473*100)</f>
        <v>0.7515468368849298</v>
      </c>
    </row>
    <row r="80" spans="1:7" ht="15">
      <c r="A80" s="50" t="s">
        <v>114</v>
      </c>
      <c r="B80" s="50"/>
      <c r="C80" s="50"/>
      <c r="D80" s="50"/>
      <c r="E80" s="50"/>
      <c r="F80" s="50"/>
      <c r="G80" s="50"/>
    </row>
  </sheetData>
  <sheetProtection/>
  <mergeCells count="11">
    <mergeCell ref="F5:G5"/>
    <mergeCell ref="A80:G80"/>
    <mergeCell ref="A1:G1"/>
    <mergeCell ref="A2:G2"/>
    <mergeCell ref="A4:A6"/>
    <mergeCell ref="B4:C4"/>
    <mergeCell ref="D4:E4"/>
    <mergeCell ref="F4:G4"/>
    <mergeCell ref="B5:B6"/>
    <mergeCell ref="C5:C6"/>
    <mergeCell ref="D5:E5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E83"/>
  <sheetViews>
    <sheetView zoomScalePageLayoutView="0" workbookViewId="0" topLeftCell="A1">
      <selection activeCell="A1" sqref="A1:D1"/>
    </sheetView>
  </sheetViews>
  <sheetFormatPr defaultColWidth="9.00390625" defaultRowHeight="15.75"/>
  <cols>
    <col min="1" max="1" width="46.375" style="0" customWidth="1"/>
    <col min="2" max="2" width="12.125" style="0" customWidth="1"/>
    <col min="3" max="3" width="11.875" style="0" customWidth="1"/>
    <col min="4" max="4" width="14.625" style="0" customWidth="1"/>
  </cols>
  <sheetData>
    <row r="1" spans="1:4" ht="15.75">
      <c r="A1" s="35" t="s">
        <v>265</v>
      </c>
      <c r="B1" s="35"/>
      <c r="C1" s="35"/>
      <c r="D1" s="35"/>
    </row>
    <row r="2" spans="1:4" ht="15.75">
      <c r="A2" s="35" t="s">
        <v>34</v>
      </c>
      <c r="B2" s="35"/>
      <c r="C2" s="35"/>
      <c r="D2" s="35"/>
    </row>
    <row r="3" ht="15">
      <c r="A3" s="5"/>
    </row>
    <row r="4" spans="1:5" ht="25.5" customHeight="1">
      <c r="A4" s="43"/>
      <c r="B4" s="46" t="s">
        <v>235</v>
      </c>
      <c r="C4" s="40"/>
      <c r="D4" s="41" t="s">
        <v>236</v>
      </c>
      <c r="E4" s="1"/>
    </row>
    <row r="5" spans="1:5" ht="24" customHeight="1">
      <c r="A5" s="44"/>
      <c r="B5" s="13">
        <v>2016</v>
      </c>
      <c r="C5" s="12">
        <v>2017</v>
      </c>
      <c r="D5" s="47"/>
      <c r="E5" s="1"/>
    </row>
    <row r="6" spans="1:4" ht="15">
      <c r="A6" s="52" t="s">
        <v>196</v>
      </c>
      <c r="B6" s="24">
        <f>IF(-795759.38146="","-",-795759.38146)</f>
        <v>-795759.38146</v>
      </c>
      <c r="C6" s="24">
        <f>IF(-935467.64186="","-",-935467.64186)</f>
        <v>-935467.64186</v>
      </c>
      <c r="D6" s="24">
        <f>IF(-795759.38146="","-",-935467.64186/-795759.38146*100)</f>
        <v>117.55659608356407</v>
      </c>
    </row>
    <row r="7" spans="1:4" ht="15">
      <c r="A7" s="53" t="s">
        <v>31</v>
      </c>
      <c r="B7" s="31"/>
      <c r="C7" s="31"/>
      <c r="D7" s="31"/>
    </row>
    <row r="8" spans="1:4" ht="15">
      <c r="A8" s="54" t="s">
        <v>35</v>
      </c>
      <c r="B8" s="25">
        <f>IF(-21653.85409="","-",-21653.85409)</f>
        <v>-21653.85409</v>
      </c>
      <c r="C8" s="25">
        <f>IF(-18911.52849="","-",-18911.52849)</f>
        <v>-18911.52849</v>
      </c>
      <c r="D8" s="25">
        <f>IF(-21653.85409="","-",-18911.52849/-21653.85409*100)</f>
        <v>87.33562354026188</v>
      </c>
    </row>
    <row r="9" spans="1:4" ht="15">
      <c r="A9" s="53" t="s">
        <v>36</v>
      </c>
      <c r="B9" s="26">
        <f>IF(OR(1868.30024="",1868.30024=0),"-",1868.30024)</f>
        <v>1868.30024</v>
      </c>
      <c r="C9" s="26">
        <f>IF(OR(5.81048="",5.81048=0),"-",5.81048)</f>
        <v>5.81048</v>
      </c>
      <c r="D9" s="26">
        <f>IF(OR(1868.30024="",5.81048="",1868.30024=0,5.81048=0),"-",5.81048/1868.30024*100)</f>
        <v>0.311003546196622</v>
      </c>
    </row>
    <row r="10" spans="1:4" ht="15">
      <c r="A10" s="53" t="s">
        <v>37</v>
      </c>
      <c r="B10" s="26">
        <f>IF(OR(-6264.30619="",-6264.30619=0),"-",-6264.30619)</f>
        <v>-6264.30619</v>
      </c>
      <c r="C10" s="26">
        <f>IF(OR(-7207.03396="",-7207.03396=0),"-",-7207.03396)</f>
        <v>-7207.03396</v>
      </c>
      <c r="D10" s="26">
        <f>IF(OR(-6264.30619="",-7207.03396="",-6264.30619=0,-7207.03396=0),"-",-7207.03396/-6264.30619*100)</f>
        <v>115.04919685287605</v>
      </c>
    </row>
    <row r="11" spans="1:4" ht="15">
      <c r="A11" s="53" t="s">
        <v>38</v>
      </c>
      <c r="B11" s="26">
        <f>IF(OR(-8794.11786="",-8794.11786=0),"-",-8794.11786)</f>
        <v>-8794.11786</v>
      </c>
      <c r="C11" s="26">
        <f>IF(OR(-11266.80918="",-11266.80918=0),"-",-11266.80918)</f>
        <v>-11266.80918</v>
      </c>
      <c r="D11" s="26">
        <f>IF(OR(-8794.11786="",-11266.80918="",-8794.11786=0,-11266.80918=0),"-",-11266.80918/-8794.11786*100)</f>
        <v>128.11755947969522</v>
      </c>
    </row>
    <row r="12" spans="1:4" ht="15">
      <c r="A12" s="53" t="s">
        <v>39</v>
      </c>
      <c r="B12" s="26">
        <f>IF(OR(-15992.70746="",-15992.70746=0),"-",-15992.70746)</f>
        <v>-15992.70746</v>
      </c>
      <c r="C12" s="26">
        <f>IF(OR(-17307.5276="",-17307.5276=0),"-",-17307.5276)</f>
        <v>-17307.5276</v>
      </c>
      <c r="D12" s="26">
        <f>IF(OR(-15992.70746="",-17307.5276="",-15992.70746=0,-17307.5276=0),"-",-17307.5276/-15992.70746*100)</f>
        <v>108.2213730432358</v>
      </c>
    </row>
    <row r="13" spans="1:4" ht="15">
      <c r="A13" s="53" t="s">
        <v>40</v>
      </c>
      <c r="B13" s="26">
        <f>IF(OR(16420.8038="",16420.8038=0),"-",16420.8038)</f>
        <v>16420.8038</v>
      </c>
      <c r="C13" s="26">
        <f>IF(OR(27801.67192="",27801.67192=0),"-",27801.67192)</f>
        <v>27801.67192</v>
      </c>
      <c r="D13" s="26">
        <f>IF(OR(16420.8038="",27801.67192="",16420.8038=0,27801.67192=0),"-",27801.67192/16420.8038*100)</f>
        <v>169.30761891205347</v>
      </c>
    </row>
    <row r="14" spans="1:4" ht="15">
      <c r="A14" s="53" t="s">
        <v>41</v>
      </c>
      <c r="B14" s="26">
        <f>IF(OR(22039.26661="",22039.26661=0),"-",22039.26661)</f>
        <v>22039.26661</v>
      </c>
      <c r="C14" s="26">
        <f>IF(OR(31902.70231="",31902.70231=0),"-",31902.70231)</f>
        <v>31902.70231</v>
      </c>
      <c r="D14" s="26">
        <f>IF(OR(22039.26661="",31902.70231="",22039.26661=0,31902.70231=0),"-",31902.70231/22039.26661*100)</f>
        <v>144.75391978571832</v>
      </c>
    </row>
    <row r="15" spans="1:4" ht="15">
      <c r="A15" s="53" t="s">
        <v>42</v>
      </c>
      <c r="B15" s="26">
        <f>IF(OR(10638.57595="",10638.57595=0),"-",10638.57595)</f>
        <v>10638.57595</v>
      </c>
      <c r="C15" s="26">
        <f>IF(OR(1416.632="",1416.632=0),"-",1416.632)</f>
        <v>1416.632</v>
      </c>
      <c r="D15" s="26">
        <f>IF(OR(10638.57595="",1416.632="",10638.57595=0,1416.632=0),"-",1416.632/10638.57595*100)</f>
        <v>13.315992729271253</v>
      </c>
    </row>
    <row r="16" spans="1:4" ht="15">
      <c r="A16" s="53" t="s">
        <v>43</v>
      </c>
      <c r="B16" s="26">
        <f>IF(OR(-13570.61529="",-13570.61529=0),"-",-13570.61529)</f>
        <v>-13570.61529</v>
      </c>
      <c r="C16" s="26">
        <f>IF(OR(-13408.3418="",-13408.3418=0),"-",-13408.3418)</f>
        <v>-13408.3418</v>
      </c>
      <c r="D16" s="26">
        <f>IF(OR(-13570.61529="",-13408.3418="",-13570.61529=0,-13408.3418=0),"-",-13408.3418/-13570.61529*100)</f>
        <v>98.80422894222359</v>
      </c>
    </row>
    <row r="17" spans="1:4" ht="15">
      <c r="A17" s="53" t="s">
        <v>44</v>
      </c>
      <c r="B17" s="26">
        <f>IF(OR(-5082.43875="",-5082.43875=0),"-",-5082.43875)</f>
        <v>-5082.43875</v>
      </c>
      <c r="C17" s="26">
        <f>IF(OR(-5746.87243="",-5746.87243=0),"-",-5746.87243)</f>
        <v>-5746.87243</v>
      </c>
      <c r="D17" s="26">
        <f>IF(OR(-5082.43875="",-5746.87243="",-5082.43875=0,-5746.87243=0),"-",-5746.87243/-5082.43875*100)</f>
        <v>113.07312714786775</v>
      </c>
    </row>
    <row r="18" spans="1:4" ht="15">
      <c r="A18" s="53" t="s">
        <v>45</v>
      </c>
      <c r="B18" s="26">
        <f>IF(OR(-22916.61514="",-22916.61514=0),"-",-22916.61514)</f>
        <v>-22916.61514</v>
      </c>
      <c r="C18" s="26">
        <f>IF(OR(-25101.76023="",-25101.76023=0),"-",-25101.76023)</f>
        <v>-25101.76023</v>
      </c>
      <c r="D18" s="26">
        <f>IF(OR(-22916.61514="",-25101.76023="",-22916.61514=0,-25101.76023=0),"-",-25101.76023/-22916.61514*100)</f>
        <v>109.5352000138359</v>
      </c>
    </row>
    <row r="19" spans="1:4" ht="15">
      <c r="A19" s="54" t="s">
        <v>46</v>
      </c>
      <c r="B19" s="25">
        <f>IF(22045.28382="","-",22045.28382)</f>
        <v>22045.28382</v>
      </c>
      <c r="C19" s="25">
        <f>IF(30502.68896="","-",30502.68896)</f>
        <v>30502.68896</v>
      </c>
      <c r="D19" s="25">
        <f>IF(22045.28382="","-",30502.68896/22045.28382*100)</f>
        <v>138.3637843316276</v>
      </c>
    </row>
    <row r="20" spans="1:4" ht="15">
      <c r="A20" s="53" t="s">
        <v>47</v>
      </c>
      <c r="B20" s="26">
        <f>IF(OR(42066.62188="",42066.62188=0),"-",42066.62188)</f>
        <v>42066.62188</v>
      </c>
      <c r="C20" s="26">
        <f>IF(OR(44887.90524="",44887.90524=0),"-",44887.90524)</f>
        <v>44887.90524</v>
      </c>
      <c r="D20" s="26">
        <f>IF(OR(42066.62188="",44887.90524="",42066.62188=0,44887.90524=0),"-",44887.90524/42066.62188*100)</f>
        <v>106.70670292482254</v>
      </c>
    </row>
    <row r="21" spans="1:4" ht="15">
      <c r="A21" s="53" t="s">
        <v>48</v>
      </c>
      <c r="B21" s="26">
        <f>IF(OR(-20021.33806="",-20021.33806=0),"-",-20021.33806)</f>
        <v>-20021.33806</v>
      </c>
      <c r="C21" s="26">
        <f>IF(OR(-14385.21628="",-14385.21628=0),"-",-14385.21628)</f>
        <v>-14385.21628</v>
      </c>
      <c r="D21" s="26">
        <f>IF(OR(-20021.33806="",-14385.21628="",-20021.33806=0,-14385.21628=0),"-",-14385.21628/-20021.33806*100)</f>
        <v>71.84942503288416</v>
      </c>
    </row>
    <row r="22" spans="1:4" ht="15">
      <c r="A22" s="54" t="s">
        <v>49</v>
      </c>
      <c r="B22" s="25">
        <f>IF(38545.04802="","-",38545.04802)</f>
        <v>38545.04802</v>
      </c>
      <c r="C22" s="25">
        <f>IF(47465.7823="","-",47465.7823)</f>
        <v>47465.7823</v>
      </c>
      <c r="D22" s="25">
        <f>IF(38545.04802="","-",47465.7823/38545.04802*100)</f>
        <v>123.14365849374806</v>
      </c>
    </row>
    <row r="23" spans="1:4" ht="15">
      <c r="A23" s="53" t="s">
        <v>50</v>
      </c>
      <c r="B23" s="26">
        <f>IF(OR(1859.91416="",1859.91416=0),"-",1859.91416)</f>
        <v>1859.91416</v>
      </c>
      <c r="C23" s="26">
        <f>IF(OR(1789.01845="",1789.01845=0),"-",1789.01845)</f>
        <v>1789.01845</v>
      </c>
      <c r="D23" s="26">
        <f>IF(OR(1859.91416="",1789.01845="",1859.91416=0,1789.01845=0),"-",1789.01845/1859.91416*100)</f>
        <v>96.18822677278827</v>
      </c>
    </row>
    <row r="24" spans="1:4" ht="15">
      <c r="A24" s="53" t="s">
        <v>51</v>
      </c>
      <c r="B24" s="26">
        <f>IF(OR(55541.76741="",55541.76741=0),"-",55541.76741)</f>
        <v>55541.76741</v>
      </c>
      <c r="C24" s="26">
        <f>IF(OR(65396.19365="",65396.19365=0),"-",65396.19365)</f>
        <v>65396.19365</v>
      </c>
      <c r="D24" s="26">
        <f>IF(OR(55541.76741="",65396.19365="",55541.76741=0,65396.19365=0),"-",65396.19365/55541.76741*100)</f>
        <v>117.74237065100266</v>
      </c>
    </row>
    <row r="25" spans="1:4" ht="15">
      <c r="A25" s="53" t="s">
        <v>52</v>
      </c>
      <c r="B25" s="26">
        <f>IF(OR(-250.45889="",-250.45889=0),"-",-250.45889)</f>
        <v>-250.45889</v>
      </c>
      <c r="C25" s="26">
        <f>IF(OR(-266.4831="",-266.4831=0),"-",-266.4831)</f>
        <v>-266.4831</v>
      </c>
      <c r="D25" s="26">
        <f>IF(OR(-250.45889="",-266.4831="",-250.45889=0,-266.4831=0),"-",-266.4831/-250.45889*100)</f>
        <v>106.3979401968922</v>
      </c>
    </row>
    <row r="26" spans="1:4" ht="15">
      <c r="A26" s="53" t="s">
        <v>53</v>
      </c>
      <c r="B26" s="26">
        <f>IF(OR(-7814.85024="",-7814.85024=0),"-",-7814.85024)</f>
        <v>-7814.85024</v>
      </c>
      <c r="C26" s="26">
        <f>IF(OR(-10309.26802="",-10309.26802=0),"-",-10309.26802)</f>
        <v>-10309.26802</v>
      </c>
      <c r="D26" s="26">
        <f>IF(OR(-7814.85024="",-10309.26802="",-7814.85024=0,-10309.26802=0),"-",-10309.26802/-7814.85024*100)</f>
        <v>131.91894538467827</v>
      </c>
    </row>
    <row r="27" spans="1:4" ht="15">
      <c r="A27" s="53" t="s">
        <v>54</v>
      </c>
      <c r="B27" s="26">
        <f>IF(OR(749.20321="",749.20321=0),"-",749.20321)</f>
        <v>749.20321</v>
      </c>
      <c r="C27" s="26">
        <f>IF(OR(851.22593="",851.22593=0),"-",851.22593)</f>
        <v>851.22593</v>
      </c>
      <c r="D27" s="26">
        <f>IF(OR(749.20321="",851.22593="",749.20321=0,851.22593=0),"-",851.22593/749.20321*100)</f>
        <v>113.61749637992074</v>
      </c>
    </row>
    <row r="28" spans="1:4" ht="26.25">
      <c r="A28" s="53" t="s">
        <v>55</v>
      </c>
      <c r="B28" s="26">
        <f>IF(OR(-2433.42733="",-2433.42733=0),"-",-2433.42733)</f>
        <v>-2433.42733</v>
      </c>
      <c r="C28" s="26">
        <f>IF(OR(-3102.27278="",-3102.27278=0),"-",-3102.27278)</f>
        <v>-3102.27278</v>
      </c>
      <c r="D28" s="26">
        <f>IF(OR(-2433.42733="",-3102.27278="",-2433.42733=0,-3102.27278=0),"-",-3102.27278/-2433.42733*100)</f>
        <v>127.48573757491248</v>
      </c>
    </row>
    <row r="29" spans="1:4" ht="26.25">
      <c r="A29" s="53" t="s">
        <v>56</v>
      </c>
      <c r="B29" s="26">
        <f>IF(OR(-1540.88055="",-1540.88055=0),"-",-1540.88055)</f>
        <v>-1540.88055</v>
      </c>
      <c r="C29" s="26">
        <f>IF(OR(250.55383="",250.55383=0),"-",250.55383)</f>
        <v>250.55383</v>
      </c>
      <c r="D29" s="26" t="s">
        <v>32</v>
      </c>
    </row>
    <row r="30" spans="1:4" ht="15">
      <c r="A30" s="53" t="s">
        <v>57</v>
      </c>
      <c r="B30" s="26">
        <f>IF(OR(4164.74469="",4164.74469=0),"-",4164.74469)</f>
        <v>4164.74469</v>
      </c>
      <c r="C30" s="26">
        <f>IF(OR(6059.90367="",6059.90367=0),"-",6059.90367)</f>
        <v>6059.90367</v>
      </c>
      <c r="D30" s="26">
        <f>IF(OR(4164.74469="",6059.90367="",4164.74469=0,6059.90367=0),"-",6059.90367/4164.74469*100)</f>
        <v>145.5048057219565</v>
      </c>
    </row>
    <row r="31" spans="1:4" ht="15">
      <c r="A31" s="53" t="s">
        <v>58</v>
      </c>
      <c r="B31" s="26">
        <f>IF(OR(-11730.96444="",-11730.96444=0),"-",-11730.96444)</f>
        <v>-11730.96444</v>
      </c>
      <c r="C31" s="26">
        <f>IF(OR(-13203.08933="",-13203.08933=0),"-",-13203.08933)</f>
        <v>-13203.08933</v>
      </c>
      <c r="D31" s="26">
        <f>IF(OR(-11730.96444="",-13203.08933="",-11730.96444=0,-13203.08933=0),"-",-13203.08933/-11730.96444*100)</f>
        <v>112.54905253126827</v>
      </c>
    </row>
    <row r="32" spans="1:4" ht="15">
      <c r="A32" s="54" t="s">
        <v>59</v>
      </c>
      <c r="B32" s="25">
        <f>IF(-243015.72597="","-",-243015.72597)</f>
        <v>-243015.72597</v>
      </c>
      <c r="C32" s="25">
        <f>IF(-292595.73339="","-",-292595.73339)</f>
        <v>-292595.73339</v>
      </c>
      <c r="D32" s="25">
        <f>IF(-243015.72597="","-",-292595.73339/-243015.72597*100)</f>
        <v>120.40197490187141</v>
      </c>
    </row>
    <row r="33" spans="1:4" ht="15">
      <c r="A33" s="53" t="s">
        <v>60</v>
      </c>
      <c r="B33" s="26">
        <f>IF(OR(-2173.26197="",-2173.26197=0),"-",-2173.26197)</f>
        <v>-2173.26197</v>
      </c>
      <c r="C33" s="26">
        <f>IF(OR(-7383.30819="",-7383.30819=0),"-",-7383.30819)</f>
        <v>-7383.30819</v>
      </c>
      <c r="D33" s="26" t="s">
        <v>248</v>
      </c>
    </row>
    <row r="34" spans="1:4" ht="15">
      <c r="A34" s="53" t="s">
        <v>61</v>
      </c>
      <c r="B34" s="26">
        <f>IF(OR(-121406.32401="",-121406.32401=0),"-",-121406.32401)</f>
        <v>-121406.32401</v>
      </c>
      <c r="C34" s="26">
        <f>IF(OR(-159585.54346="",-159585.54346=0),"-",-159585.54346)</f>
        <v>-159585.54346</v>
      </c>
      <c r="D34" s="26">
        <f>IF(OR(-121406.32401="",-159585.54346="",-121406.32401=0,-159585.54346=0),"-",-159585.54346/-121406.32401*100)</f>
        <v>131.44747175349386</v>
      </c>
    </row>
    <row r="35" spans="1:4" ht="15">
      <c r="A35" s="53" t="s">
        <v>62</v>
      </c>
      <c r="B35" s="26">
        <f>IF(OR(-119187.0907="",-119187.0907=0),"-",-119187.0907)</f>
        <v>-119187.0907</v>
      </c>
      <c r="C35" s="26">
        <f>IF(OR(-97485.8288="",-97485.8288=0),"-",-97485.8288)</f>
        <v>-97485.8288</v>
      </c>
      <c r="D35" s="26">
        <f>IF(OR(-119187.0907="",-97485.8288="",-119187.0907=0,-97485.8288=0),"-",-97485.8288/-119187.0907*100)</f>
        <v>81.79227148464997</v>
      </c>
    </row>
    <row r="36" spans="1:4" ht="15">
      <c r="A36" s="53" t="s">
        <v>63</v>
      </c>
      <c r="B36" s="26">
        <f>IF(OR(-249.04929="",-249.04929=0),"-",-249.04929)</f>
        <v>-249.04929</v>
      </c>
      <c r="C36" s="26">
        <f>IF(OR(-28141.05294="",-28141.05294=0),"-",-28141.05294)</f>
        <v>-28141.05294</v>
      </c>
      <c r="D36" s="26" t="s">
        <v>255</v>
      </c>
    </row>
    <row r="37" spans="1:4" ht="15">
      <c r="A37" s="54" t="s">
        <v>64</v>
      </c>
      <c r="B37" s="25">
        <f>IF(18555.19533="","-",18555.19533)</f>
        <v>18555.19533</v>
      </c>
      <c r="C37" s="25">
        <f>IF(18916.29551="","-",18916.29551)</f>
        <v>18916.29551</v>
      </c>
      <c r="D37" s="25">
        <f>IF(18555.19533="","-",18916.29551/18555.19533*100)</f>
        <v>101.94608665431926</v>
      </c>
    </row>
    <row r="38" spans="1:4" ht="15">
      <c r="A38" s="53" t="s">
        <v>65</v>
      </c>
      <c r="B38" s="26">
        <f>IF(OR(-235.6326="",-235.6326=0),"-",-235.6326)</f>
        <v>-235.6326</v>
      </c>
      <c r="C38" s="26">
        <f>IF(OR(-320.85497="",-320.85497=0),"-",-320.85497)</f>
        <v>-320.85497</v>
      </c>
      <c r="D38" s="26">
        <f>IF(OR(-235.6326="",-320.85497="",-235.6326=0,-320.85497=0),"-",-320.85497/-235.6326*100)</f>
        <v>136.16747852376963</v>
      </c>
    </row>
    <row r="39" spans="1:4" ht="15">
      <c r="A39" s="53" t="s">
        <v>66</v>
      </c>
      <c r="B39" s="26">
        <f>IF(OR(19577.39647="",19577.39647=0),"-",19577.39647)</f>
        <v>19577.39647</v>
      </c>
      <c r="C39" s="26">
        <f>IF(OR(20158.18482="",20158.18482=0),"-",20158.18482)</f>
        <v>20158.18482</v>
      </c>
      <c r="D39" s="26">
        <f>IF(OR(19577.39647="",20158.18482="",19577.39647=0,20158.18482=0),"-",20158.18482/19577.39647*100)</f>
        <v>102.96662710432405</v>
      </c>
    </row>
    <row r="40" spans="1:4" ht="26.25">
      <c r="A40" s="53" t="s">
        <v>67</v>
      </c>
      <c r="B40" s="26">
        <f>IF(OR(-786.56854="",-786.56854=0),"-",-786.56854)</f>
        <v>-786.56854</v>
      </c>
      <c r="C40" s="26">
        <f>IF(OR(-921.03434="",-921.03434=0),"-",-921.03434)</f>
        <v>-921.03434</v>
      </c>
      <c r="D40" s="26">
        <f>IF(OR(-786.56854="",-921.03434="",-786.56854=0,-921.03434=0),"-",-921.03434/-786.56854*100)</f>
        <v>117.09524258369144</v>
      </c>
    </row>
    <row r="41" spans="1:4" ht="26.25">
      <c r="A41" s="54" t="s">
        <v>68</v>
      </c>
      <c r="B41" s="25">
        <f>IF(-217271.56157="","-",-217271.56157)</f>
        <v>-217271.56157</v>
      </c>
      <c r="C41" s="25">
        <f>IF(-248948.94595="","-",-248948.94595)</f>
        <v>-248948.94595</v>
      </c>
      <c r="D41" s="25">
        <f>IF(-217271.56157="","-",-248948.94595/-217271.56157*100)</f>
        <v>114.57962751825406</v>
      </c>
    </row>
    <row r="42" spans="1:4" ht="15">
      <c r="A42" s="53" t="s">
        <v>69</v>
      </c>
      <c r="B42" s="26">
        <f>IF(OR(39.70412="",39.70412=0),"-",39.70412)</f>
        <v>39.70412</v>
      </c>
      <c r="C42" s="26">
        <f>IF(OR(2710.33905="",2710.33905=0),"-",2710.33905)</f>
        <v>2710.33905</v>
      </c>
      <c r="D42" s="26" t="s">
        <v>256</v>
      </c>
    </row>
    <row r="43" spans="1:4" ht="15">
      <c r="A43" s="53" t="s">
        <v>70</v>
      </c>
      <c r="B43" s="26">
        <f>IF(OR(-5570.40932="",-5570.40932=0),"-",-5570.40932)</f>
        <v>-5570.40932</v>
      </c>
      <c r="C43" s="26">
        <f>IF(OR(-4004.72519="",-4004.72519=0),"-",-4004.72519)</f>
        <v>-4004.72519</v>
      </c>
      <c r="D43" s="26">
        <f>IF(OR(-5570.40932="",-4004.72519="",-5570.40932=0,-4004.72519=0),"-",-4004.72519/-5570.40932*100)</f>
        <v>71.89283515704014</v>
      </c>
    </row>
    <row r="44" spans="1:4" ht="15">
      <c r="A44" s="53" t="s">
        <v>71</v>
      </c>
      <c r="B44" s="26">
        <f>IF(OR(-9031.38672="",-9031.38672=0),"-",-9031.38672)</f>
        <v>-9031.38672</v>
      </c>
      <c r="C44" s="26">
        <f>IF(OR(-10646.85965="",-10646.85965=0),"-",-10646.85965)</f>
        <v>-10646.85965</v>
      </c>
      <c r="D44" s="26">
        <f>IF(OR(-9031.38672="",-10646.85965="",-9031.38672=0,-10646.85965=0),"-",-10646.85965/-9031.38672*100)</f>
        <v>117.88731874832175</v>
      </c>
    </row>
    <row r="45" spans="1:4" ht="15">
      <c r="A45" s="53" t="s">
        <v>72</v>
      </c>
      <c r="B45" s="26">
        <f>IF(OR(-46153.44073="",-46153.44073=0),"-",-46153.44073)</f>
        <v>-46153.44073</v>
      </c>
      <c r="C45" s="26">
        <f>IF(OR(-62394.58765="",-62394.58765=0),"-",-62394.58765)</f>
        <v>-62394.58765</v>
      </c>
      <c r="D45" s="26">
        <f>IF(OR(-46153.44073="",-62394.58765="",-46153.44073=0,-62394.58765=0),"-",-62394.58765/-46153.44073*100)</f>
        <v>135.18946077067483</v>
      </c>
    </row>
    <row r="46" spans="1:4" ht="26.25">
      <c r="A46" s="53" t="s">
        <v>73</v>
      </c>
      <c r="B46" s="26">
        <f>IF(OR(-28768.19762="",-28768.19762=0),"-",-28768.19762)</f>
        <v>-28768.19762</v>
      </c>
      <c r="C46" s="26">
        <f>IF(OR(-30267.51438="",-30267.51438=0),"-",-30267.51438)</f>
        <v>-30267.51438</v>
      </c>
      <c r="D46" s="26">
        <f>IF(OR(-28768.19762="",-30267.51438="",-28768.19762=0,-30267.51438=0),"-",-30267.51438/-28768.19762*100)</f>
        <v>105.2117160060026</v>
      </c>
    </row>
    <row r="47" spans="1:4" ht="15">
      <c r="A47" s="53" t="s">
        <v>74</v>
      </c>
      <c r="B47" s="26">
        <f>IF(OR(-24457.61432="",-24457.61432=0),"-",-24457.61432)</f>
        <v>-24457.61432</v>
      </c>
      <c r="C47" s="26">
        <f>IF(OR(-28650.91044="",-28650.91044=0),"-",-28650.91044)</f>
        <v>-28650.91044</v>
      </c>
      <c r="D47" s="26">
        <f>IF(OR(-24457.61432="",-28650.91044="",-24457.61432=0,-28650.91044=0),"-",-28650.91044/-24457.61432*100)</f>
        <v>117.14515596302853</v>
      </c>
    </row>
    <row r="48" spans="1:4" ht="15">
      <c r="A48" s="53" t="s">
        <v>75</v>
      </c>
      <c r="B48" s="26">
        <f>IF(OR(-15913.80156="",-15913.80156=0),"-",-15913.80156)</f>
        <v>-15913.80156</v>
      </c>
      <c r="C48" s="26">
        <f>IF(OR(-17148.46709="",-17148.46709=0),"-",-17148.46709)</f>
        <v>-17148.46709</v>
      </c>
      <c r="D48" s="26">
        <f>IF(OR(-15913.80156="",-17148.46709="",-15913.80156=0,-17148.46709=0),"-",-17148.46709/-15913.80156*100)</f>
        <v>107.75845749580905</v>
      </c>
    </row>
    <row r="49" spans="1:4" ht="15">
      <c r="A49" s="53" t="s">
        <v>76</v>
      </c>
      <c r="B49" s="26">
        <f>IF(OR(-28527.85167="",-28527.85167=0),"-",-28527.85167)</f>
        <v>-28527.85167</v>
      </c>
      <c r="C49" s="26">
        <f>IF(OR(-33173.55047="",-33173.55047=0),"-",-33173.55047)</f>
        <v>-33173.55047</v>
      </c>
      <c r="D49" s="26">
        <f>IF(OR(-28527.85167="",-33173.55047="",-28527.85167=0,-33173.55047=0),"-",-33173.55047/-28527.85167*100)</f>
        <v>116.2847832137512</v>
      </c>
    </row>
    <row r="50" spans="1:4" ht="15">
      <c r="A50" s="53" t="s">
        <v>77</v>
      </c>
      <c r="B50" s="26">
        <f>IF(OR(-58888.56375="",-58888.56375=0),"-",-58888.56375)</f>
        <v>-58888.56375</v>
      </c>
      <c r="C50" s="26">
        <f>IF(OR(-65372.67013="",-65372.67013=0),"-",-65372.67013)</f>
        <v>-65372.67013</v>
      </c>
      <c r="D50" s="26">
        <f>IF(OR(-58888.56375="",-65372.67013="",-58888.56375=0,-65372.67013=0),"-",-65372.67013/-58888.56375*100)</f>
        <v>111.01080747617995</v>
      </c>
    </row>
    <row r="51" spans="1:4" ht="26.25">
      <c r="A51" s="54" t="s">
        <v>78</v>
      </c>
      <c r="B51" s="25">
        <f>IF(-253000.56275="","-",-253000.56275)</f>
        <v>-253000.56275</v>
      </c>
      <c r="C51" s="25">
        <f>IF(-274043.5155="","-",-274043.5155)</f>
        <v>-274043.5155</v>
      </c>
      <c r="D51" s="25">
        <f>IF(-253000.56275="","-",-274043.5155/-253000.56275*100)</f>
        <v>108.31735412809866</v>
      </c>
    </row>
    <row r="52" spans="1:4" ht="15">
      <c r="A52" s="53" t="s">
        <v>79</v>
      </c>
      <c r="B52" s="26">
        <f>IF(OR(-14375.77472="",-14375.77472=0),"-",-14375.77472)</f>
        <v>-14375.77472</v>
      </c>
      <c r="C52" s="26">
        <f>IF(OR(-13539.36921="",-13539.36921=0),"-",-13539.36921)</f>
        <v>-13539.36921</v>
      </c>
      <c r="D52" s="26">
        <f>IF(OR(-14375.77472="",-13539.36921="",-14375.77472=0,-13539.36921=0),"-",-13539.36921/-14375.77472*100)</f>
        <v>94.18184044831777</v>
      </c>
    </row>
    <row r="53" spans="1:4" ht="15">
      <c r="A53" s="53" t="s">
        <v>80</v>
      </c>
      <c r="B53" s="26">
        <f>IF(OR(-16162.3214="",-16162.3214=0),"-",-16162.3214)</f>
        <v>-16162.3214</v>
      </c>
      <c r="C53" s="26">
        <f>IF(OR(-19205.25849="",-19205.25849=0),"-",-19205.25849)</f>
        <v>-19205.25849</v>
      </c>
      <c r="D53" s="26">
        <f>IF(OR(-16162.3214="",-19205.25849="",-16162.3214=0,-19205.25849=0),"-",-19205.25849/-16162.3214*100)</f>
        <v>118.82735168228989</v>
      </c>
    </row>
    <row r="54" spans="1:4" ht="15">
      <c r="A54" s="53" t="s">
        <v>81</v>
      </c>
      <c r="B54" s="26">
        <f>IF(OR(-15293.40372="",-15293.40372=0),"-",-15293.40372)</f>
        <v>-15293.40372</v>
      </c>
      <c r="C54" s="26">
        <f>IF(OR(-17792.16836="",-17792.16836=0),"-",-17792.16836)</f>
        <v>-17792.16836</v>
      </c>
      <c r="D54" s="26">
        <f>IF(OR(-15293.40372="",-17792.16836="",-15293.40372=0,-17792.16836=0),"-",-17792.16836/-15293.40372*100)</f>
        <v>116.33883918680725</v>
      </c>
    </row>
    <row r="55" spans="1:4" ht="26.25">
      <c r="A55" s="53" t="s">
        <v>82</v>
      </c>
      <c r="B55" s="26">
        <f>IF(OR(-27015.49467="",-27015.49467=0),"-",-27015.49467)</f>
        <v>-27015.49467</v>
      </c>
      <c r="C55" s="26">
        <f>IF(OR(-29300.3019="",-29300.3019=0),"-",-29300.3019)</f>
        <v>-29300.3019</v>
      </c>
      <c r="D55" s="26">
        <f>IF(OR(-27015.49467="",-29300.3019="",-27015.49467=0,-29300.3019=0),"-",-29300.3019/-27015.49467*100)</f>
        <v>108.45739549806288</v>
      </c>
    </row>
    <row r="56" spans="1:4" ht="26.25">
      <c r="A56" s="53" t="s">
        <v>83</v>
      </c>
      <c r="B56" s="26">
        <f>IF(OR(-71310.31308="",-71310.31308=0),"-",-71310.31308)</f>
        <v>-71310.31308</v>
      </c>
      <c r="C56" s="26">
        <f>IF(OR(-73993.53324="",-73993.53324=0),"-",-73993.53324)</f>
        <v>-73993.53324</v>
      </c>
      <c r="D56" s="26">
        <f>IF(OR(-71310.31308="",-73993.53324="",-71310.31308=0,-73993.53324=0),"-",-73993.53324/-71310.31308*100)</f>
        <v>103.7627378763431</v>
      </c>
    </row>
    <row r="57" spans="1:4" ht="15">
      <c r="A57" s="53" t="s">
        <v>84</v>
      </c>
      <c r="B57" s="26">
        <f>IF(OR(-23356.88416="",-23356.88416=0),"-",-23356.88416)</f>
        <v>-23356.88416</v>
      </c>
      <c r="C57" s="26">
        <f>IF(OR(-29000.93565="",-29000.93565=0),"-",-29000.93565)</f>
        <v>-29000.93565</v>
      </c>
      <c r="D57" s="26">
        <f>IF(OR(-23356.88416="",-29000.93565="",-23356.88416=0,-29000.93565=0),"-",-29000.93565/-23356.88416*100)</f>
        <v>124.16440245769493</v>
      </c>
    </row>
    <row r="58" spans="1:4" ht="15">
      <c r="A58" s="53" t="s">
        <v>85</v>
      </c>
      <c r="B58" s="26">
        <f>IF(OR(-35790.56558="",-35790.56558=0),"-",-35790.56558)</f>
        <v>-35790.56558</v>
      </c>
      <c r="C58" s="26">
        <f>IF(OR(-31840.68832="",-31840.68832=0),"-",-31840.68832)</f>
        <v>-31840.68832</v>
      </c>
      <c r="D58" s="26">
        <f>IF(OR(-35790.56558="",-31840.68832="",-35790.56558=0,-31840.68832=0),"-",-31840.68832/-35790.56558*100)</f>
        <v>88.96391494241371</v>
      </c>
    </row>
    <row r="59" spans="1:4" ht="15">
      <c r="A59" s="53" t="s">
        <v>86</v>
      </c>
      <c r="B59" s="26">
        <f>IF(OR(-19772.8154="",-19772.8154=0),"-",-19772.8154)</f>
        <v>-19772.8154</v>
      </c>
      <c r="C59" s="26">
        <f>IF(OR(-24555.35062="",-24555.35062=0),"-",-24555.35062)</f>
        <v>-24555.35062</v>
      </c>
      <c r="D59" s="26">
        <f>IF(OR(-19772.8154="",-24555.35062="",-19772.8154=0,-24555.35062=0),"-",-24555.35062/-19772.8154*100)</f>
        <v>124.18742664233847</v>
      </c>
    </row>
    <row r="60" spans="1:4" ht="15">
      <c r="A60" s="53" t="s">
        <v>87</v>
      </c>
      <c r="B60" s="26">
        <f>IF(OR(-29922.99002="",-29922.99002=0),"-",-29922.99002)</f>
        <v>-29922.99002</v>
      </c>
      <c r="C60" s="26">
        <f>IF(OR(-34815.90971="",-34815.90971=0),"-",-34815.90971)</f>
        <v>-34815.90971</v>
      </c>
      <c r="D60" s="26">
        <f>IF(OR(-29922.99002="",-34815.90971="",-29922.99002=0,-34815.90971=0),"-",-34815.90971/-29922.99002*100)</f>
        <v>116.35170712127918</v>
      </c>
    </row>
    <row r="61" spans="1:4" ht="15">
      <c r="A61" s="54" t="s">
        <v>88</v>
      </c>
      <c r="B61" s="25">
        <f>IF(-180008.5263="","-",-180008.5263)</f>
        <v>-180008.5263</v>
      </c>
      <c r="C61" s="25">
        <f>IF(-208318.47182="","-",-208318.47182)</f>
        <v>-208318.47182</v>
      </c>
      <c r="D61" s="25">
        <f>IF(-180008.5263="","-",-208318.47182/-180008.5263*100)</f>
        <v>115.72700254921202</v>
      </c>
    </row>
    <row r="62" spans="1:4" ht="15">
      <c r="A62" s="53" t="s">
        <v>89</v>
      </c>
      <c r="B62" s="26">
        <f>IF(OR(-3422.02636="",-3422.02636=0),"-",-3422.02636)</f>
        <v>-3422.02636</v>
      </c>
      <c r="C62" s="26">
        <f>IF(OR(-4364.05587="",-4364.05587=0),"-",-4364.05587)</f>
        <v>-4364.05587</v>
      </c>
      <c r="D62" s="26">
        <f>IF(OR(-3422.02636="",-4364.05587="",-3422.02636=0,-4364.05587=0),"-",-4364.05587/-3422.02636*100)</f>
        <v>127.52841185010628</v>
      </c>
    </row>
    <row r="63" spans="1:4" ht="15">
      <c r="A63" s="53" t="s">
        <v>90</v>
      </c>
      <c r="B63" s="26">
        <f>IF(OR(-40513.19102="",-40513.19102=0),"-",-40513.19102)</f>
        <v>-40513.19102</v>
      </c>
      <c r="C63" s="26">
        <f>IF(OR(-51614.0333="",-51614.0333=0),"-",-51614.0333)</f>
        <v>-51614.0333</v>
      </c>
      <c r="D63" s="26">
        <f>IF(OR(-40513.19102="",-51614.0333="",-40513.19102=0,-51614.0333=0),"-",-51614.0333/-40513.19102*100)</f>
        <v>127.40056263284688</v>
      </c>
    </row>
    <row r="64" spans="1:4" ht="15">
      <c r="A64" s="53" t="s">
        <v>91</v>
      </c>
      <c r="B64" s="26">
        <f>IF(OR(-1261.74307="",-1261.74307=0),"-",-1261.74307)</f>
        <v>-1261.74307</v>
      </c>
      <c r="C64" s="26">
        <f>IF(OR(-3231.1316="",-3231.1316=0),"-",-3231.1316)</f>
        <v>-3231.1316</v>
      </c>
      <c r="D64" s="26" t="s">
        <v>195</v>
      </c>
    </row>
    <row r="65" spans="1:4" ht="26.25">
      <c r="A65" s="53" t="s">
        <v>92</v>
      </c>
      <c r="B65" s="26">
        <f>IF(OR(-28508.08108="",-28508.08108=0),"-",-28508.08108)</f>
        <v>-28508.08108</v>
      </c>
      <c r="C65" s="26">
        <f>IF(OR(-40161.47528="",-40161.47528=0),"-",-40161.47528)</f>
        <v>-40161.47528</v>
      </c>
      <c r="D65" s="26">
        <f>IF(OR(-28508.08108="",-40161.47528="",-28508.08108=0,-40161.47528=0),"-",-40161.47528/-28508.08108*100)</f>
        <v>140.87751177393523</v>
      </c>
    </row>
    <row r="66" spans="1:4" ht="13.5" customHeight="1">
      <c r="A66" s="53" t="s">
        <v>93</v>
      </c>
      <c r="B66" s="26">
        <f>IF(OR(-11996.55532="",-11996.55532=0),"-",-11996.55532)</f>
        <v>-11996.55532</v>
      </c>
      <c r="C66" s="26">
        <f>IF(OR(-13982.85025="",-13982.85025=0),"-",-13982.85025)</f>
        <v>-13982.85025</v>
      </c>
      <c r="D66" s="26">
        <f>IF(OR(-11996.55532="",-13982.85025="",-11996.55532=0,-13982.85025=0),"-",-13982.85025/-11996.55532*100)</f>
        <v>116.55721060768633</v>
      </c>
    </row>
    <row r="67" spans="1:4" ht="26.25">
      <c r="A67" s="53" t="s">
        <v>94</v>
      </c>
      <c r="B67" s="26">
        <f>IF(OR(-22837.0391999999="",-22837.0391999999=0),"-",-22837.0391999999)</f>
        <v>-22837.0391999999</v>
      </c>
      <c r="C67" s="26">
        <f>IF(OR(-33486.5102="",-33486.5102=0),"-",-33486.5102)</f>
        <v>-33486.5102</v>
      </c>
      <c r="D67" s="26">
        <f>IF(OR(-22837.0391999999="",-33486.5102="",-22837.0391999999=0,-33486.5102=0),"-",-33486.5102/-22837.0391999999*100)</f>
        <v>146.6324504973488</v>
      </c>
    </row>
    <row r="68" spans="1:4" ht="26.25">
      <c r="A68" s="53" t="s">
        <v>95</v>
      </c>
      <c r="B68" s="26">
        <f>IF(OR(-2386.71211="",-2386.71211=0),"-",-2386.71211)</f>
        <v>-2386.71211</v>
      </c>
      <c r="C68" s="26">
        <f>IF(OR(6730.70865="",6730.70865=0),"-",6730.70865)</f>
        <v>6730.70865</v>
      </c>
      <c r="D68" s="26" t="s">
        <v>32</v>
      </c>
    </row>
    <row r="69" spans="1:4" ht="15">
      <c r="A69" s="53" t="s">
        <v>96</v>
      </c>
      <c r="B69" s="26">
        <f>IF(OR(-69038.53385="",-69038.53385=0),"-",-69038.53385)</f>
        <v>-69038.53385</v>
      </c>
      <c r="C69" s="26">
        <f>IF(OR(-79909.25269="",-79909.25269=0),"-",-79909.25269)</f>
        <v>-79909.25269</v>
      </c>
      <c r="D69" s="26">
        <f>IF(OR(-69038.53385="",-79909.25269="",-69038.53385=0,-79909.25269=0),"-",-79909.25269/-69038.53385*100)</f>
        <v>115.7458715209955</v>
      </c>
    </row>
    <row r="70" spans="1:4" ht="15">
      <c r="A70" s="53" t="s">
        <v>97</v>
      </c>
      <c r="B70" s="26">
        <f>IF(OR(-44.64429="",-44.64429=0),"-",-44.64429)</f>
        <v>-44.64429</v>
      </c>
      <c r="C70" s="26">
        <f>IF(OR(11700.12872="",11700.12872=0),"-",11700.12872)</f>
        <v>11700.12872</v>
      </c>
      <c r="D70" s="26" t="s">
        <v>32</v>
      </c>
    </row>
    <row r="71" spans="1:4" ht="15">
      <c r="A71" s="54" t="s">
        <v>98</v>
      </c>
      <c r="B71" s="25">
        <f>IF(43306.03583="","-",43306.03583)</f>
        <v>43306.03583</v>
      </c>
      <c r="C71" s="25">
        <f>IF(10800.07068="","-",10800.07068)</f>
        <v>10800.07068</v>
      </c>
      <c r="D71" s="25">
        <f>IF(43306.03583="","-",10800.07068/43306.03583*100)</f>
        <v>24.938950132485495</v>
      </c>
    </row>
    <row r="72" spans="1:4" ht="26.25">
      <c r="A72" s="53" t="s">
        <v>99</v>
      </c>
      <c r="B72" s="26">
        <f>IF(OR(-8762.17305="",-8762.17305=0),"-",-8762.17305)</f>
        <v>-8762.17305</v>
      </c>
      <c r="C72" s="26">
        <f>IF(OR(-8007.35048="",-8007.35048=0),"-",-8007.35048)</f>
        <v>-8007.35048</v>
      </c>
      <c r="D72" s="26">
        <f>IF(OR(-8762.17305="",-8007.35048="",-8762.17305=0,-8007.35048=0),"-",-8007.35048/-8762.17305*100)</f>
        <v>91.38544096661046</v>
      </c>
    </row>
    <row r="73" spans="1:4" ht="15">
      <c r="A73" s="53" t="s">
        <v>100</v>
      </c>
      <c r="B73" s="26">
        <f>IF(OR(32612.73318="",32612.73318=0),"-",32612.73318)</f>
        <v>32612.73318</v>
      </c>
      <c r="C73" s="26">
        <f>IF(OR(32146.26744="",32146.26744=0),"-",32146.26744)</f>
        <v>32146.26744</v>
      </c>
      <c r="D73" s="26">
        <f>IF(OR(32612.73318="",32146.26744="",32612.73318=0,32146.26744=0),"-",32146.26744/32612.73318*100)</f>
        <v>98.56968216240747</v>
      </c>
    </row>
    <row r="74" spans="1:4" ht="15">
      <c r="A74" s="53" t="s">
        <v>101</v>
      </c>
      <c r="B74" s="26">
        <f>IF(OR(4095.00349="",4095.00349=0),"-",4095.00349)</f>
        <v>4095.00349</v>
      </c>
      <c r="C74" s="26">
        <f>IF(OR(-2972.41567="",-2972.41567=0),"-",-2972.41567)</f>
        <v>-2972.41567</v>
      </c>
      <c r="D74" s="26" t="s">
        <v>32</v>
      </c>
    </row>
    <row r="75" spans="1:4" ht="15">
      <c r="A75" s="53" t="s">
        <v>102</v>
      </c>
      <c r="B75" s="26">
        <f>IF(OR(59448.24863="",59448.24863=0),"-",59448.24863)</f>
        <v>59448.24863</v>
      </c>
      <c r="C75" s="26">
        <f>IF(OR(53497.6610199999="",53497.6610199999=0),"-",53497.6610199999)</f>
        <v>53497.6610199999</v>
      </c>
      <c r="D75" s="26">
        <f>IF(OR(59448.24863="",53497.6610199999="",59448.24863=0,53497.6610199999=0),"-",53497.6610199999/59448.24863*100)</f>
        <v>89.99030627960805</v>
      </c>
    </row>
    <row r="76" spans="1:4" ht="15">
      <c r="A76" s="53" t="s">
        <v>103</v>
      </c>
      <c r="B76" s="26">
        <f>IF(OR(2647.84181="",2647.84181=0),"-",2647.84181)</f>
        <v>2647.84181</v>
      </c>
      <c r="C76" s="26">
        <f>IF(OR(-5024.76675="",-5024.76675=0),"-",-5024.76675)</f>
        <v>-5024.76675</v>
      </c>
      <c r="D76" s="26" t="s">
        <v>32</v>
      </c>
    </row>
    <row r="77" spans="1:4" ht="15">
      <c r="A77" s="53" t="s">
        <v>104</v>
      </c>
      <c r="B77" s="26">
        <f>IF(OR(-3925.11004="",-3925.11004=0),"-",-3925.11004)</f>
        <v>-3925.11004</v>
      </c>
      <c r="C77" s="26">
        <f>IF(OR(-8444.28784="",-8444.28784=0),"-",-8444.28784)</f>
        <v>-8444.28784</v>
      </c>
      <c r="D77" s="26" t="s">
        <v>190</v>
      </c>
    </row>
    <row r="78" spans="1:4" ht="26.25">
      <c r="A78" s="53" t="s">
        <v>105</v>
      </c>
      <c r="B78" s="26">
        <f>IF(OR(-2118.33451="",-2118.33451=0),"-",-2118.33451)</f>
        <v>-2118.33451</v>
      </c>
      <c r="C78" s="26">
        <f>IF(OR(-2868.00371="",-2868.00371=0),"-",-2868.00371)</f>
        <v>-2868.00371</v>
      </c>
      <c r="D78" s="26">
        <f>IF(OR(-2118.33451="",-2868.00371="",-2118.33451=0,-2868.00371=0),"-",-2868.00371/-2118.33451*100)</f>
        <v>135.3895570534797</v>
      </c>
    </row>
    <row r="79" spans="1:4" ht="15">
      <c r="A79" s="60" t="s">
        <v>106</v>
      </c>
      <c r="B79" s="33">
        <f>IF(OR(-40692.17368="",-40692.17368=0),"-",-40692.17368)</f>
        <v>-40692.17368</v>
      </c>
      <c r="C79" s="33">
        <f>IF(OR(-47527.03333="",-47527.03333=0),"-",-47527.03333)</f>
        <v>-47527.03333</v>
      </c>
      <c r="D79" s="33">
        <f>IF(OR(-40692.17368="",-47527.03333="",-40692.17368=0,-47527.03333=0),"-",-47527.03333/-40692.17368*100)</f>
        <v>116.7964967999714</v>
      </c>
    </row>
    <row r="80" spans="1:4" ht="15">
      <c r="A80" s="51" t="s">
        <v>28</v>
      </c>
      <c r="B80" s="51"/>
      <c r="C80" s="51"/>
      <c r="D80" s="51"/>
    </row>
    <row r="81" spans="2:4" ht="15">
      <c r="B81" s="14"/>
      <c r="C81" s="14"/>
      <c r="D81" s="15"/>
    </row>
    <row r="82" spans="2:4" ht="15">
      <c r="B82" s="14"/>
      <c r="C82" s="14"/>
      <c r="D82" s="15"/>
    </row>
    <row r="83" spans="2:4" ht="15">
      <c r="B83" s="14"/>
      <c r="C83" s="14"/>
      <c r="D83" s="15"/>
    </row>
  </sheetData>
  <sheetProtection/>
  <mergeCells count="6">
    <mergeCell ref="A80:D80"/>
    <mergeCell ref="A1:D1"/>
    <mergeCell ref="A2:D2"/>
    <mergeCell ref="A4:A5"/>
    <mergeCell ref="B4:C4"/>
    <mergeCell ref="D4:D5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TatianaGrosu</dc:creator>
  <cp:keywords/>
  <dc:description/>
  <cp:lastModifiedBy>Doina Vudvud</cp:lastModifiedBy>
  <cp:lastPrinted>2017-07-06T07:26:48Z</cp:lastPrinted>
  <dcterms:created xsi:type="dcterms:W3CDTF">2016-09-01T07:59:47Z</dcterms:created>
  <dcterms:modified xsi:type="dcterms:W3CDTF">2017-07-06T08:14:52Z</dcterms:modified>
  <cp:category/>
  <cp:version/>
  <cp:contentType/>
  <cp:contentStatus/>
</cp:coreProperties>
</file>