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tabRatio="816" activeTab="0"/>
  </bookViews>
  <sheets>
    <sheet name="Export_Tari" sheetId="1" r:id="rId1"/>
    <sheet name="Import_Tari" sheetId="2" r:id="rId2"/>
    <sheet name="Balanta Comerciala_Tari" sheetId="3" r:id="rId3"/>
    <sheet name="Export_Moduri_Transport" sheetId="4" r:id="rId4"/>
    <sheet name="Import_Moduri_Transport" sheetId="5" r:id="rId5"/>
    <sheet name="Export_Grupe_Marfuri_CSCI" sheetId="6" r:id="rId6"/>
    <sheet name="Import_Grupe_Marfuri_CSCI" sheetId="7" r:id="rId7"/>
    <sheet name="Balanta_Comerciala_Gr_Marf_CSCI" sheetId="8" r:id="rId8"/>
  </sheets>
  <definedNames>
    <definedName name="_xlnm.Print_Titles" localSheetId="2">'Balanta Comerciala_Tari'!$3:$4</definedName>
    <definedName name="_xlnm.Print_Titles" localSheetId="7">'Balanta_Comerciala_Gr_Marf_CSCI'!$4:$5</definedName>
    <definedName name="_xlnm.Print_Titles" localSheetId="5">'Export_Grupe_Marfuri_CSCI'!$4:$6</definedName>
    <definedName name="_xlnm.Print_Titles" localSheetId="0">'Export_Tari'!$3:$5</definedName>
    <definedName name="_xlnm.Print_Titles" localSheetId="6">'Import_Grupe_Marfuri_CSCI'!$4:$6</definedName>
    <definedName name="_xlnm.Print_Titles" localSheetId="1">'Import_Tari'!$3:$5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<sst xmlns="http://schemas.openxmlformats.org/spreadsheetml/2006/main" count="886" uniqueCount="319">
  <si>
    <t>Structura, %</t>
  </si>
  <si>
    <t>Gradul de influenţă a ţărilor, grupelor de ţări  la creşterea (+),  scăderea (-) exporturilor, %</t>
  </si>
  <si>
    <t xml:space="preserve">      din care:</t>
  </si>
  <si>
    <t>Italia</t>
  </si>
  <si>
    <t>Germania</t>
  </si>
  <si>
    <t>Polonia</t>
  </si>
  <si>
    <t>Bulgaria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</si>
  <si>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</si>
  <si>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</si>
  <si>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</si>
  <si>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</si>
  <si>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</si>
  <si>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</si>
  <si>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</si>
  <si>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</si>
  <si>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</si>
  <si>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</si>
  <si>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</si>
  <si>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</si>
  <si>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</si>
  <si>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</si>
  <si>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 xml:space="preserve">  din care:</t>
  </si>
  <si>
    <t>x</t>
  </si>
  <si>
    <t>conform Clasificării Standard de Comerţ Internaţional</t>
  </si>
  <si>
    <t>Produse alimentare şi animale vii</t>
  </si>
  <si>
    <t>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</si>
  <si>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</si>
  <si>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</si>
  <si>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</si>
  <si>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</si>
  <si>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</si>
  <si>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</si>
  <si>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</si>
  <si>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</si>
  <si>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</si>
  <si>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</si>
  <si>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Tutun brut şi prelucrat</t>
  </si>
  <si>
    <t>Materiale brute necomestibile, exclusiv combustibili</t>
  </si>
  <si>
    <t>Piei crude, piei tăbăcite şi blănuri brute</t>
  </si>
  <si>
    <t>Seminţe şi fructe oleaginoase</t>
  </si>
  <si>
    <t>Cauciuc brut (inclusiv cauciuc sintetic şi regenerat)</t>
  </si>
  <si>
    <t>Lemn şi plută</t>
  </si>
  <si>
    <t>Îngrăşăminte naturale şi minerale naturale (exclusiv cărbune, petrol şi pietre preţioase)</t>
  </si>
  <si>
    <t>Alte materii brute de origine animală sau vegetală</t>
  </si>
  <si>
    <t>Combustibili minerali, lubrifianţi şi materiale derivate</t>
  </si>
  <si>
    <t>Petrol, produse petroliere şi produse înrudite</t>
  </si>
  <si>
    <t>Gaz şi produse industriale obţinute din gaz</t>
  </si>
  <si>
    <t>Energie electrică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</si>
  <si>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</si>
  <si>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</si>
  <si>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</si>
  <si>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Produse chimice şi produse derivate nespecificate în altă parte</t>
  </si>
  <si>
    <t>Produse chimice organice</t>
  </si>
  <si>
    <t>Produse chimice anorganice</t>
  </si>
  <si>
    <t>Produse tanante şi colorante</t>
  </si>
  <si>
    <t>Produse medicinale şi farmaceutice</t>
  </si>
  <si>
    <t>Îngrăşăminte minerale sau chimice</t>
  </si>
  <si>
    <t>Materiale plastice sub forme primare</t>
  </si>
  <si>
    <t>Materiale plastice prelucrate</t>
  </si>
  <si>
    <t>Alte materiale şi produse chimice</t>
  </si>
  <si>
    <t>Piele, altă piele şi blană prelucrate</t>
  </si>
  <si>
    <t>Cauciuc prelucrat</t>
  </si>
  <si>
    <t>Articole din lemn (exclusiv mobilă)</t>
  </si>
  <si>
    <t>Articole din minerale nemetalice</t>
  </si>
  <si>
    <t>Metale neferoase</t>
  </si>
  <si>
    <t>Articole prelucrate din metal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</si>
  <si>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</si>
  <si>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</si>
  <si>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</si>
  <si>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</si>
  <si>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</si>
  <si>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</si>
  <si>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</si>
  <si>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</si>
  <si>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</si>
  <si>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</si>
  <si>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Articole manufacturate diverse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</si>
  <si>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</si>
  <si>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</si>
  <si>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</si>
  <si>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</si>
  <si>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ştiinţifice şi de control</t>
  </si>
  <si>
    <t>Aparate fotografice, echipamente şi furnituri de optică; ceasuri şi orologii</t>
  </si>
  <si>
    <t>Alte articole diverse</t>
  </si>
  <si>
    <t xml:space="preserve">    din care:</t>
  </si>
  <si>
    <t>Coreea de Sud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</si>
  <si>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</si>
  <si>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</si>
  <si>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</si>
  <si>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</si>
  <si>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</si>
  <si>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</si>
  <si>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</si>
  <si>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</si>
  <si>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</si>
  <si>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</si>
  <si>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</si>
  <si>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</si>
  <si>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</si>
  <si>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</si>
  <si>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</si>
  <si>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</si>
  <si>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</si>
  <si>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</si>
  <si>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</si>
  <si>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</si>
  <si>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</si>
  <si>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</si>
  <si>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</si>
  <si>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</si>
  <si>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</si>
  <si>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</si>
  <si>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</si>
  <si>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Macedonia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</si>
  <si>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</si>
  <si>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</si>
  <si>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</si>
  <si>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</si>
  <si>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</si>
  <si>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</si>
  <si>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</si>
  <si>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</si>
  <si>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</si>
  <si>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</si>
  <si>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</si>
  <si>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</si>
  <si>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</si>
  <si>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</si>
  <si>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Cote D'Ivoire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</si>
  <si>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</si>
  <si>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</si>
  <si>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</si>
  <si>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</si>
  <si>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</si>
  <si>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</si>
  <si>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</si>
  <si>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</si>
  <si>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</si>
  <si>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</si>
  <si>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</si>
  <si>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</si>
  <si>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</si>
  <si>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</si>
  <si>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</si>
  <si>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</si>
  <si>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de 2,1 ori</t>
  </si>
  <si>
    <t>2017¹</t>
  </si>
  <si>
    <t>Mongolia</t>
  </si>
  <si>
    <t>de 2,5 ori</t>
  </si>
  <si>
    <t>Peru</t>
  </si>
  <si>
    <t>Kenya</t>
  </si>
  <si>
    <t>de 2,2 ori</t>
  </si>
  <si>
    <t>mii dolari        SUA</t>
  </si>
  <si>
    <t>EXPORT - total</t>
  </si>
  <si>
    <t xml:space="preserve">IMPORT - total </t>
  </si>
  <si>
    <t>de 2,6 ori</t>
  </si>
  <si>
    <t>Oman</t>
  </si>
  <si>
    <t>Ghana</t>
  </si>
  <si>
    <t>de 3,1 ori</t>
  </si>
  <si>
    <t>Albania</t>
  </si>
  <si>
    <t>de 1,8 ori</t>
  </si>
  <si>
    <t>de 1,7 ori</t>
  </si>
  <si>
    <t>de 1,9 ori</t>
  </si>
  <si>
    <t>Gradul de influenţă a grupelor de mărfuri  la creşterea (+),  scăderea (-) exporturilor, %</t>
  </si>
  <si>
    <t>Panama</t>
  </si>
  <si>
    <t>ins.Virgine Britanice</t>
  </si>
  <si>
    <t>Qatar</t>
  </si>
  <si>
    <t xml:space="preserve">. </t>
  </si>
  <si>
    <t>Gibraltar</t>
  </si>
  <si>
    <t>Ponderea, %</t>
  </si>
  <si>
    <t>Swaziland</t>
  </si>
  <si>
    <t>de 2,9 ori</t>
  </si>
  <si>
    <t>de 2,3 ori</t>
  </si>
  <si>
    <t>Andorra</t>
  </si>
  <si>
    <t>de 3,7 ori</t>
  </si>
  <si>
    <t>2018¹</t>
  </si>
  <si>
    <t>mii dolari         SUA</t>
  </si>
  <si>
    <t>Belize</t>
  </si>
  <si>
    <t>Angola</t>
  </si>
  <si>
    <t>Nepal</t>
  </si>
  <si>
    <t>de 5,5 ori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</si>
  <si>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</si>
  <si>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</si>
  <si>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</si>
  <si>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</si>
  <si>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</si>
  <si>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</si>
  <si>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</si>
  <si>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 xml:space="preserve"> 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</si>
  <si>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</si>
  <si>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</si>
  <si>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Etiopia</t>
  </si>
  <si>
    <t>Senegal</t>
  </si>
  <si>
    <t>Mali</t>
  </si>
  <si>
    <t>Siria</t>
  </si>
  <si>
    <t>Kosovo</t>
  </si>
  <si>
    <t>Somalia</t>
  </si>
  <si>
    <t>de 3,4 ori</t>
  </si>
  <si>
    <t>ins.Faroe</t>
  </si>
  <si>
    <t>San Marino</t>
  </si>
  <si>
    <t>Madagascar</t>
  </si>
  <si>
    <t>de 2,7 ori</t>
  </si>
  <si>
    <t>mii dolari SUA</t>
  </si>
  <si>
    <t>Benin</t>
  </si>
  <si>
    <t>Burkina Faso</t>
  </si>
  <si>
    <t>de 36,3 ori</t>
  </si>
  <si>
    <t>de 4,7 ori</t>
  </si>
  <si>
    <r>
      <rPr>
        <b/>
        <sz val="12"/>
        <rFont val="Times New Roman"/>
        <family val="1"/>
      </rPr>
      <t xml:space="preserve">Anexa 1.  </t>
    </r>
    <r>
      <rPr>
        <b/>
        <i/>
        <sz val="12"/>
        <rFont val="Times New Roman"/>
        <family val="1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</si>
  <si>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</rPr>
      <t xml:space="preserve">Anexa 2.  </t>
    </r>
    <r>
      <rPr>
        <b/>
        <i/>
        <sz val="12"/>
        <color indexed="8"/>
        <rFont val="Times New Roman"/>
        <family val="1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</si>
  <si>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</rPr>
      <t xml:space="preserve">Anexa 3.  </t>
    </r>
    <r>
      <rPr>
        <b/>
        <i/>
        <sz val="12"/>
        <color indexed="8"/>
        <rFont val="Times New Roman"/>
        <family val="1"/>
      </rPr>
      <t>Balanţa comercială structurată pe principalele ţări şi grupe de ţări</t>
    </r>
  </si>
  <si>
    <r>
      <rPr>
        <b/>
        <sz val="12"/>
        <color indexed="8"/>
        <rFont val="Times New Roman"/>
        <family val="1"/>
      </rPr>
      <t>Anexa 6.</t>
    </r>
    <r>
      <rPr>
        <b/>
        <i/>
        <sz val="12"/>
        <color indexed="8"/>
        <rFont val="Times New Roman"/>
        <family val="1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</si>
  <si>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</rPr>
      <t>Anexa 7.</t>
    </r>
    <r>
      <rPr>
        <b/>
        <i/>
        <sz val="12"/>
        <color indexed="8"/>
        <rFont val="Times New Roman"/>
        <family val="1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</si>
  <si>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</rPr>
      <t xml:space="preserve">Anexa 8.  </t>
    </r>
    <r>
      <rPr>
        <b/>
        <i/>
        <sz val="12"/>
        <color indexed="8"/>
        <rFont val="Times New Roman"/>
        <family val="1"/>
      </rPr>
      <t xml:space="preserve">Balanţa comercială structurată pe grupe de mărfuri, </t>
    </r>
  </si>
  <si>
    <t>Libia</t>
  </si>
  <si>
    <t>Liberia</t>
  </si>
  <si>
    <t>Sierra Leone</t>
  </si>
  <si>
    <t>de 33,8 ori</t>
  </si>
  <si>
    <t>Palau</t>
  </si>
  <si>
    <t>ins.Folkland</t>
  </si>
  <si>
    <t>Guatemala</t>
  </si>
  <si>
    <t>Cuba</t>
  </si>
  <si>
    <t xml:space="preserve"> -</t>
  </si>
  <si>
    <t xml:space="preserve">   din care:</t>
  </si>
  <si>
    <t>de 3,6 ori</t>
  </si>
  <si>
    <t>Bunuri neclasificate în altă secţiune din CSCI</t>
  </si>
  <si>
    <t>de 1,6 ori</t>
  </si>
  <si>
    <t>de 2,8 ori</t>
  </si>
  <si>
    <t>România</t>
  </si>
  <si>
    <t>Regatul Unit al Marii Britanii şi Irlandei de Nord</t>
  </si>
  <si>
    <t>Franţa</t>
  </si>
  <si>
    <t>Republica Cehă</t>
  </si>
  <si>
    <t>Croaţia</t>
  </si>
  <si>
    <t>de 198,9 ori</t>
  </si>
  <si>
    <t>de 4,4 ori</t>
  </si>
  <si>
    <t>de 7,0 ori</t>
  </si>
  <si>
    <t>Mozambic</t>
  </si>
  <si>
    <t>Federaţia Rusă</t>
  </si>
  <si>
    <t>Kîrgîzstan</t>
  </si>
  <si>
    <t>Elveţia</t>
  </si>
  <si>
    <t>Arabia Saudită</t>
  </si>
  <si>
    <t>de 891,5 ori</t>
  </si>
  <si>
    <t>IMPORT - total</t>
  </si>
  <si>
    <t>de 4,3 ori</t>
  </si>
  <si>
    <t>Noua Zeelandă</t>
  </si>
  <si>
    <t>Şri Lanka</t>
  </si>
  <si>
    <t>de 6,6 ori</t>
  </si>
  <si>
    <t>Trinidad Tobago</t>
  </si>
  <si>
    <t>Republica Dominicană</t>
  </si>
  <si>
    <t>de 5,6 ori</t>
  </si>
  <si>
    <t>Paraguay</t>
  </si>
  <si>
    <t xml:space="preserve">Celelalte ţări ale lumii </t>
  </si>
  <si>
    <t xml:space="preserve">Ţările CSI </t>
  </si>
  <si>
    <t>Băuturi</t>
  </si>
  <si>
    <t>Pastă de hârtie şi deşeuri de hârtie</t>
  </si>
  <si>
    <t>Minereuri metalifere şi deseuri de metale</t>
  </si>
  <si>
    <t>Alte uleiuri şi grăsimi animale sau vegetale prelucrate; ceară de origine animală sau vegetală, amestecuri sau preparate necomestibile din uleiuri animale sau vegetale</t>
  </si>
  <si>
    <t>Uleiuri esenţiale, rezinoide şi substanţe parfumate, preparate pentru toaletă, produse pentru infrumuseţare</t>
  </si>
  <si>
    <t>Fire, tesături, articole textile necuprinse în altă parte şi produse conexe</t>
  </si>
  <si>
    <t>Construcţii prefabricate; alte instalaţii şi accesorii pentru instalaţii sanitare, de încălzit şi de iluminat</t>
  </si>
  <si>
    <t>Carbune, cocs şi brichete</t>
  </si>
  <si>
    <t>BALANŢA COMERCIALĂ - total, mii dolari SUA</t>
  </si>
  <si>
    <t xml:space="preserve">Țările CSI </t>
  </si>
  <si>
    <t xml:space="preserve">Celelalte țări ale lumii </t>
  </si>
  <si>
    <t xml:space="preserve">IMPORT - total      </t>
  </si>
  <si>
    <t>Celelalte țări ale lumii</t>
  </si>
  <si>
    <t xml:space="preserve">EXPORT - total      </t>
  </si>
  <si>
    <t>Țările Uniunii Europene (UE-28)</t>
  </si>
  <si>
    <r>
      <rPr>
        <b/>
        <sz val="12"/>
        <rFont val="Times New Roman"/>
        <family val="1"/>
      </rPr>
      <t>Anexa 5.</t>
    </r>
    <r>
      <rPr>
        <b/>
        <i/>
        <sz val="12"/>
        <rFont val="Times New Roman"/>
        <family val="1"/>
      </rPr>
      <t xml:space="preserve">  Importurile structurate pe moduri de transport a mărfurilor și grupe de ţări   </t>
    </r>
  </si>
  <si>
    <r>
      <rPr>
        <b/>
        <sz val="12"/>
        <rFont val="Times New Roman"/>
        <family val="1"/>
      </rPr>
      <t xml:space="preserve">Anexa 4.  </t>
    </r>
    <r>
      <rPr>
        <b/>
        <i/>
        <sz val="12"/>
        <rFont val="Times New Roman"/>
        <family val="1"/>
      </rPr>
      <t xml:space="preserve">Exporturile structurate pe moduri de transport a mărfurilor și  grupe de ţări </t>
    </r>
  </si>
  <si>
    <t>Ianuarie-iulie 2018</t>
  </si>
  <si>
    <t>în % faţă de ianuarie-iulie 2017¹</t>
  </si>
  <si>
    <t>ianuarie-iulie</t>
  </si>
  <si>
    <t>Ianuarie-iulie</t>
  </si>
  <si>
    <t>Ianuarie-iulie 2018           în % faţă de                 ianuarie-iulie 2017¹</t>
  </si>
  <si>
    <t>Ianuarie-iulie 2018    în % faţă de                          ianuarie-iulie 2017¹</t>
  </si>
  <si>
    <t>Ţările Uniunii Europene (UE-28 )</t>
  </si>
  <si>
    <t>de 139,7 ori</t>
  </si>
  <si>
    <t>Bosnia şi Hertegovina</t>
  </si>
  <si>
    <t>Haiti</t>
  </si>
  <si>
    <t>Kuwait</t>
  </si>
  <si>
    <t>Guinea</t>
  </si>
  <si>
    <t>Afganistan</t>
  </si>
  <si>
    <t xml:space="preserve"> de 2,0 ori</t>
  </si>
  <si>
    <t>de 5,2 ori</t>
  </si>
  <si>
    <t>de 5,1 ori</t>
  </si>
  <si>
    <t>de 34,6 ori</t>
  </si>
  <si>
    <t>de 8,5 ori</t>
  </si>
  <si>
    <t>de 11,3 ori</t>
  </si>
  <si>
    <t>de 91,6 ori</t>
  </si>
  <si>
    <t>Ţările CSI</t>
  </si>
  <si>
    <t>Celelalte ţări ale lumii</t>
  </si>
  <si>
    <t>Liechtenstein</t>
  </si>
  <si>
    <t>Ţările Uniunii Europene  (UE-28)</t>
  </si>
  <si>
    <t>de 1647,6 ori</t>
  </si>
  <si>
    <t>de 2,4 ori</t>
  </si>
  <si>
    <t>de 23,3 ori</t>
  </si>
  <si>
    <t>de 3,2 ori</t>
  </si>
  <si>
    <t>de 226,2 ori</t>
  </si>
  <si>
    <t>Republica Yemen</t>
  </si>
  <si>
    <t>de 6,8 ori</t>
  </si>
  <si>
    <t>de 3,3 ori</t>
  </si>
  <si>
    <t>de 12,0 ori</t>
  </si>
  <si>
    <t>de 866,6 ori</t>
  </si>
  <si>
    <t>Piei crude, piei tăbăcite şi blanuri brute</t>
  </si>
  <si>
    <t>Fibre textile (cu excepţia lânii în fuior şi a lânii pieptănate) şi deşeurile lor (neprelucrate în fire sau ţesături)</t>
  </si>
  <si>
    <t>Minereuri metalifere şi deşeuri de metale</t>
  </si>
  <si>
    <t>Marfuri manufacturate, clasificate mai ales după materia primă</t>
  </si>
  <si>
    <t>Hârtie, carton şi articole din pastă de celuloză, din hârtie sau din carton</t>
  </si>
  <si>
    <t>Fire, ţesături, articole textile necuprinse în altă parte şi produse conexe</t>
  </si>
  <si>
    <t>Fier şi oţel</t>
  </si>
  <si>
    <t>Maţini şi echipamente pentru transport</t>
  </si>
  <si>
    <t>Mobilă şi partile ei</t>
  </si>
  <si>
    <r>
      <t xml:space="preserve">   </t>
    </r>
    <r>
      <rPr>
        <sz val="10"/>
        <rFont val="Times New Roman"/>
        <family val="1"/>
      </rPr>
      <t>din care:</t>
    </r>
  </si>
  <si>
    <t>Produse lactate şi oua de păsări</t>
  </si>
  <si>
    <t>Mărfuri manufacturate, clasificate mai ales după materia primă</t>
  </si>
  <si>
    <t>de 3,8 ori</t>
  </si>
  <si>
    <t xml:space="preserve">EXPORT- total      </t>
  </si>
  <si>
    <t>de 3,5 ori</t>
  </si>
  <si>
    <t xml:space="preserve">de 3,2 ori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</si>
</sst>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.000"/>
  </numFmts>
  <fonts count="66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C00000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left" vertical="top" wrapText="1"/>
    </xf>
    <xf numFmtId="165" fontId="13" fillId="0" borderId="0" xfId="0" applyNumberFormat="1" applyFont="1" applyFill="1" applyAlignment="1" applyProtection="1">
      <alignment horizontal="right"/>
      <protection/>
    </xf>
    <xf numFmtId="165" fontId="11" fillId="0" borderId="0" xfId="0" applyNumberFormat="1" applyFont="1" applyFill="1" applyAlignment="1" applyProtection="1">
      <alignment horizontal="right"/>
      <protection/>
    </xf>
    <xf numFmtId="0" fontId="11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4" fontId="11" fillId="0" borderId="0" xfId="0" applyNumberFormat="1" applyFont="1" applyFill="1" applyAlignment="1" applyProtection="1">
      <alignment horizontal="right"/>
      <protection/>
    </xf>
    <xf numFmtId="164" fontId="11" fillId="0" borderId="0" xfId="0" applyNumberFormat="1" applyFont="1" applyFill="1" applyAlignment="1" applyProtection="1">
      <alignment horizontal="right"/>
      <protection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2" fontId="15" fillId="0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 indent="1"/>
    </xf>
    <xf numFmtId="4" fontId="4" fillId="0" borderId="0" xfId="0" applyNumberFormat="1" applyFont="1" applyAlignment="1">
      <alignment horizontal="right" vertical="top" wrapText="1"/>
    </xf>
    <xf numFmtId="38" fontId="11" fillId="0" borderId="0" xfId="0" applyNumberFormat="1" applyFont="1" applyFill="1" applyAlignment="1" applyProtection="1">
      <alignment horizontal="left" vertical="top" wrapText="1"/>
      <protection/>
    </xf>
    <xf numFmtId="4" fontId="13" fillId="0" borderId="0" xfId="0" applyNumberFormat="1" applyFont="1" applyFill="1" applyAlignment="1" applyProtection="1">
      <alignment horizontal="right"/>
      <protection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0" xfId="0" applyNumberFormat="1" applyFont="1" applyFill="1" applyAlignment="1" applyProtection="1">
      <alignment horizontal="left" vertical="top" wrapText="1"/>
      <protection/>
    </xf>
    <xf numFmtId="0" fontId="11" fillId="0" borderId="0" xfId="0" applyNumberFormat="1" applyFont="1" applyFill="1" applyAlignment="1" applyProtection="1">
      <alignment horizontal="left" vertical="top" wrapText="1"/>
      <protection/>
    </xf>
    <xf numFmtId="4" fontId="13" fillId="0" borderId="0" xfId="0" applyNumberFormat="1" applyFont="1" applyFill="1" applyAlignment="1" applyProtection="1">
      <alignment horizontal="right" vertical="top" wrapText="1"/>
      <protection/>
    </xf>
    <xf numFmtId="4" fontId="14" fillId="0" borderId="0" xfId="0" applyNumberFormat="1" applyFont="1" applyFill="1" applyBorder="1" applyAlignment="1" applyProtection="1">
      <alignment horizontal="right"/>
      <protection/>
    </xf>
    <xf numFmtId="4" fontId="14" fillId="0" borderId="0" xfId="0" applyNumberFormat="1" applyFont="1" applyFill="1" applyBorder="1" applyAlignment="1" applyProtection="1">
      <alignment horizontal="right" vertical="top"/>
      <protection/>
    </xf>
    <xf numFmtId="4" fontId="11" fillId="0" borderId="0" xfId="0" applyNumberFormat="1" applyFont="1" applyFill="1" applyAlignment="1" applyProtection="1">
      <alignment horizontal="right" vertical="top" wrapText="1"/>
      <protection/>
    </xf>
    <xf numFmtId="2" fontId="11" fillId="0" borderId="0" xfId="0" applyNumberFormat="1" applyFont="1" applyAlignment="1">
      <alignment horizontal="right" vertical="top" wrapText="1"/>
    </xf>
    <xf numFmtId="2" fontId="13" fillId="0" borderId="0" xfId="0" applyNumberFormat="1" applyFont="1" applyAlignment="1">
      <alignment horizontal="right" vertical="top" wrapText="1"/>
    </xf>
    <xf numFmtId="0" fontId="23" fillId="0" borderId="0" xfId="0" applyFont="1" applyAlignment="1">
      <alignment/>
    </xf>
    <xf numFmtId="0" fontId="5" fillId="0" borderId="0" xfId="0" applyFont="1" applyAlignment="1">
      <alignment/>
    </xf>
    <xf numFmtId="38" fontId="11" fillId="0" borderId="13" xfId="0" applyNumberFormat="1" applyFont="1" applyFill="1" applyBorder="1" applyAlignment="1" applyProtection="1">
      <alignment horizontal="left" vertical="top" wrapText="1"/>
      <protection/>
    </xf>
    <xf numFmtId="4" fontId="11" fillId="0" borderId="0" xfId="0" applyNumberFormat="1" applyFont="1" applyFill="1" applyBorder="1" applyAlignment="1" applyProtection="1">
      <alignment horizontal="right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2" fontId="11" fillId="0" borderId="13" xfId="0" applyNumberFormat="1" applyFont="1" applyBorder="1" applyAlignment="1">
      <alignment horizontal="right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4" fontId="11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Border="1" applyAlignment="1">
      <alignment horizontal="left" vertical="top" wrapText="1"/>
    </xf>
    <xf numFmtId="38" fontId="13" fillId="0" borderId="13" xfId="0" applyNumberFormat="1" applyFont="1" applyFill="1" applyBorder="1" applyAlignment="1" applyProtection="1">
      <alignment horizontal="left" vertical="top" wrapText="1"/>
      <protection/>
    </xf>
    <xf numFmtId="4" fontId="13" fillId="0" borderId="13" xfId="0" applyNumberFormat="1" applyFont="1" applyFill="1" applyBorder="1" applyAlignment="1" applyProtection="1">
      <alignment horizontal="right" vertical="top" wrapText="1"/>
      <protection/>
    </xf>
    <xf numFmtId="4" fontId="63" fillId="0" borderId="0" xfId="0" applyNumberFormat="1" applyFont="1" applyBorder="1" applyAlignment="1">
      <alignment horizontal="right" vertical="top" wrapText="1"/>
    </xf>
    <xf numFmtId="4" fontId="64" fillId="0" borderId="0" xfId="0" applyNumberFormat="1" applyFont="1" applyBorder="1" applyAlignment="1">
      <alignment horizontal="right" vertical="top" wrapText="1"/>
    </xf>
    <xf numFmtId="4" fontId="64" fillId="0" borderId="0" xfId="0" applyNumberFormat="1" applyFont="1" applyAlignment="1">
      <alignment horizontal="right" vertical="top" wrapText="1"/>
    </xf>
    <xf numFmtId="4" fontId="11" fillId="0" borderId="13" xfId="0" applyNumberFormat="1" applyFont="1" applyFill="1" applyBorder="1" applyAlignment="1" applyProtection="1">
      <alignment horizontal="right" vertical="top" wrapText="1"/>
      <protection/>
    </xf>
    <xf numFmtId="166" fontId="15" fillId="0" borderId="0" xfId="0" applyNumberFormat="1" applyFont="1" applyAlignment="1">
      <alignment/>
    </xf>
    <xf numFmtId="0" fontId="14" fillId="0" borderId="14" xfId="0" applyNumberFormat="1" applyFont="1" applyFill="1" applyBorder="1" applyAlignment="1" applyProtection="1">
      <alignment horizontal="left" vertical="top" wrapText="1"/>
      <protection/>
    </xf>
    <xf numFmtId="4" fontId="14" fillId="0" borderId="14" xfId="0" applyNumberFormat="1" applyFont="1" applyFill="1" applyBorder="1" applyAlignment="1" applyProtection="1">
      <alignment horizontal="right" vertical="top" wrapText="1"/>
      <protection/>
    </xf>
    <xf numFmtId="38" fontId="13" fillId="0" borderId="0" xfId="0" applyNumberFormat="1" applyFont="1" applyFill="1" applyBorder="1" applyAlignment="1" applyProtection="1">
      <alignment horizontal="left" vertical="top" wrapText="1"/>
      <protection/>
    </xf>
    <xf numFmtId="38" fontId="1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4" fontId="14" fillId="0" borderId="0" xfId="0" applyNumberFormat="1" applyFont="1" applyFill="1" applyAlignment="1" applyProtection="1">
      <alignment horizontal="right" vertical="top" wrapText="1"/>
      <protection/>
    </xf>
    <xf numFmtId="4" fontId="11" fillId="0" borderId="0" xfId="0" applyNumberFormat="1" applyFont="1" applyAlignment="1">
      <alignment horizontal="right" vertical="top" wrapText="1"/>
    </xf>
    <xf numFmtId="4" fontId="13" fillId="0" borderId="0" xfId="0" applyNumberFormat="1" applyFont="1" applyAlignment="1">
      <alignment horizontal="right" vertical="top" wrapText="1"/>
    </xf>
    <xf numFmtId="2" fontId="14" fillId="0" borderId="14" xfId="0" applyNumberFormat="1" applyFont="1" applyFill="1" applyBorder="1" applyAlignment="1" applyProtection="1">
      <alignment horizontal="right" vertical="top" wrapText="1"/>
      <protection/>
    </xf>
    <xf numFmtId="2" fontId="5" fillId="0" borderId="0" xfId="0" applyNumberFormat="1" applyFont="1" applyAlignment="1">
      <alignment horizontal="right" vertical="top" wrapText="1" indent="1"/>
    </xf>
    <xf numFmtId="2" fontId="13" fillId="0" borderId="0" xfId="0" applyNumberFormat="1" applyFont="1" applyFill="1" applyAlignment="1" applyProtection="1">
      <alignment horizontal="right" vertical="top" wrapText="1"/>
      <protection/>
    </xf>
    <xf numFmtId="2" fontId="11" fillId="0" borderId="0" xfId="0" applyNumberFormat="1" applyFont="1" applyFill="1" applyAlignment="1" applyProtection="1">
      <alignment horizontal="right" vertical="top" wrapText="1"/>
      <protection/>
    </xf>
    <xf numFmtId="2" fontId="11" fillId="0" borderId="0" xfId="0" applyNumberFormat="1" applyFont="1" applyFill="1" applyBorder="1" applyAlignment="1" applyProtection="1">
      <alignment horizontal="right" vertical="top" wrapText="1"/>
      <protection/>
    </xf>
    <xf numFmtId="2" fontId="11" fillId="0" borderId="13" xfId="0" applyNumberFormat="1" applyFont="1" applyFill="1" applyBorder="1" applyAlignment="1" applyProtection="1">
      <alignment horizontal="right" vertical="top" wrapText="1"/>
      <protection/>
    </xf>
    <xf numFmtId="38" fontId="13" fillId="0" borderId="0" xfId="0" applyNumberFormat="1" applyFont="1" applyFill="1" applyAlignment="1" applyProtection="1">
      <alignment horizontal="left" vertical="top" wrapText="1"/>
      <protection/>
    </xf>
    <xf numFmtId="0" fontId="14" fillId="0" borderId="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horizontal="right" vertical="top" wrapText="1"/>
      <protection/>
    </xf>
    <xf numFmtId="4" fontId="64" fillId="0" borderId="0" xfId="0" applyNumberFormat="1" applyFont="1" applyFill="1" applyBorder="1" applyAlignment="1" applyProtection="1">
      <alignment horizontal="right" vertical="top" wrapText="1"/>
      <protection/>
    </xf>
    <xf numFmtId="164" fontId="14" fillId="0" borderId="14" xfId="0" applyNumberFormat="1" applyFont="1" applyFill="1" applyBorder="1" applyAlignment="1" applyProtection="1">
      <alignment horizontal="right" vertical="top" wrapText="1"/>
      <protection/>
    </xf>
    <xf numFmtId="4" fontId="14" fillId="0" borderId="0" xfId="0" applyNumberFormat="1" applyFont="1" applyFill="1" applyAlignment="1" applyProtection="1">
      <alignment horizontal="right" vertical="center"/>
      <protection/>
    </xf>
    <xf numFmtId="4" fontId="64" fillId="0" borderId="0" xfId="0" applyNumberFormat="1" applyFont="1" applyFill="1" applyAlignment="1" applyProtection="1">
      <alignment horizontal="right" vertical="top"/>
      <protection/>
    </xf>
    <xf numFmtId="2" fontId="65" fillId="0" borderId="0" xfId="0" applyNumberFormat="1" applyFont="1" applyAlignment="1">
      <alignment horizontal="right" vertical="top" wrapText="1"/>
    </xf>
    <xf numFmtId="4" fontId="64" fillId="0" borderId="0" xfId="0" applyNumberFormat="1" applyFont="1" applyFill="1" applyAlignment="1" applyProtection="1">
      <alignment horizontal="right" vertical="top" wrapText="1"/>
      <protection/>
    </xf>
    <xf numFmtId="4" fontId="11" fillId="0" borderId="0" xfId="0" applyNumberFormat="1" applyFont="1" applyFill="1" applyAlignment="1" applyProtection="1">
      <alignment horizontal="right" vertical="center"/>
      <protection/>
    </xf>
    <xf numFmtId="4" fontId="13" fillId="0" borderId="0" xfId="0" applyNumberFormat="1" applyFont="1" applyFill="1" applyAlignment="1" applyProtection="1">
      <alignment horizontal="right" vertical="center"/>
      <protection/>
    </xf>
    <xf numFmtId="2" fontId="64" fillId="0" borderId="0" xfId="0" applyNumberFormat="1" applyFont="1" applyAlignment="1">
      <alignment horizontal="right" vertical="top" wrapText="1"/>
    </xf>
    <xf numFmtId="4" fontId="11" fillId="0" borderId="13" xfId="0" applyNumberFormat="1" applyFont="1" applyFill="1" applyBorder="1" applyAlignment="1" applyProtection="1">
      <alignment horizontal="right" vertical="center"/>
      <protection/>
    </xf>
    <xf numFmtId="4" fontId="65" fillId="0" borderId="0" xfId="0" applyNumberFormat="1" applyFont="1" applyAlignment="1">
      <alignment horizontal="right" vertical="top" wrapText="1"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4" fontId="11" fillId="0" borderId="13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 3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17"/>
  <sheetViews>
    <sheetView tabSelected="1" zoomScalePageLayoutView="0" workbookViewId="0" topLeftCell="A1">
      <selection activeCell="A1" sqref="A1:G1"/>
    </sheetView>
  </sheetViews>
  <sheetFormatPr defaultColWidth="9.00390625" defaultRowHeight="15.75"/>
  <cols>
    <col min="1" max="1" width="27.875" style="11" customWidth="1"/>
    <col min="2" max="2" width="12.125" style="11" customWidth="1"/>
    <col min="3" max="3" width="11.625" style="11" customWidth="1"/>
    <col min="4" max="4" width="8.50390625" style="11" customWidth="1"/>
    <col min="5" max="5" width="8.25390625" style="11" customWidth="1"/>
    <col min="6" max="6" width="10.00390625" style="11" customWidth="1"/>
    <col min="7" max="7" width="10.125" style="11" customWidth="1"/>
  </cols>
  <sheetData>
    <row r="1" spans="1:7" ht="15.75">
      <c r="A1" s="90" t="s">
        <v>207</v>
      </c>
      <c r="B1" s="90"/>
      <c r="C1" s="90"/>
      <c r="D1" s="90"/>
      <c r="E1" s="90"/>
      <c r="F1" s="90"/>
      <c r="G1" s="90"/>
    </row>
    <row r="3" spans="1:7" ht="55.5" customHeight="1">
      <c r="A3" s="91"/>
      <c r="B3" s="94" t="s">
        <v>269</v>
      </c>
      <c r="C3" s="95"/>
      <c r="D3" s="94" t="s">
        <v>169</v>
      </c>
      <c r="E3" s="95"/>
      <c r="F3" s="96" t="s">
        <v>1</v>
      </c>
      <c r="G3" s="97"/>
    </row>
    <row r="4" spans="1:7" ht="21.75" customHeight="1">
      <c r="A4" s="92"/>
      <c r="B4" s="98" t="s">
        <v>152</v>
      </c>
      <c r="C4" s="100" t="s">
        <v>270</v>
      </c>
      <c r="D4" s="102" t="s">
        <v>271</v>
      </c>
      <c r="E4" s="102"/>
      <c r="F4" s="102" t="s">
        <v>271</v>
      </c>
      <c r="G4" s="94"/>
    </row>
    <row r="5" spans="1:7" ht="23.25" customHeight="1">
      <c r="A5" s="93"/>
      <c r="B5" s="99"/>
      <c r="C5" s="101"/>
      <c r="D5" s="32">
        <v>2017</v>
      </c>
      <c r="E5" s="32">
        <v>2018</v>
      </c>
      <c r="F5" s="32" t="s">
        <v>146</v>
      </c>
      <c r="G5" s="28" t="s">
        <v>175</v>
      </c>
    </row>
    <row r="6" spans="1:7" ht="15.75" customHeight="1">
      <c r="A6" s="64" t="s">
        <v>265</v>
      </c>
      <c r="B6" s="60">
        <f>IF(1534061.00855="","-",1534061.00855)</f>
        <v>1534061.00855</v>
      </c>
      <c r="C6" s="60">
        <f>IF(1219791.03674="","-",1534061.00855/1219791.03674*100)</f>
        <v>125.76424669014739</v>
      </c>
      <c r="D6" s="60">
        <v>100</v>
      </c>
      <c r="E6" s="60">
        <v>100</v>
      </c>
      <c r="F6" s="60">
        <f>IF(1071013.38714="","-",(1219791.03674-1071013.38714)/1071013.38714*100)</f>
        <v>13.891296914344926</v>
      </c>
      <c r="G6" s="60">
        <f>IF(1219791.03674="","-",(1534061.00855-1219791.03674)/1219791.03674*100)</f>
        <v>25.764246690147395</v>
      </c>
    </row>
    <row r="7" spans="1:7" ht="13.5" customHeight="1">
      <c r="A7" s="10" t="s">
        <v>2</v>
      </c>
      <c r="B7" s="54"/>
      <c r="C7" s="55"/>
      <c r="D7" s="56"/>
      <c r="E7" s="56"/>
      <c r="F7" s="56"/>
      <c r="G7" s="56"/>
    </row>
    <row r="8" spans="1:7" ht="15.75" customHeight="1">
      <c r="A8" s="35" t="s">
        <v>275</v>
      </c>
      <c r="B8" s="37">
        <f>IF(1053586.45628="","-",1053586.45628)</f>
        <v>1053586.45628</v>
      </c>
      <c r="C8" s="37">
        <f>IF(778221.72122="","-",1053586.45628/778221.72122*100)</f>
        <v>135.38384081959538</v>
      </c>
      <c r="D8" s="37">
        <f>IF(778221.72122="","-",778221.72122/1219791.03674*100)</f>
        <v>63.799593354929605</v>
      </c>
      <c r="E8" s="37">
        <f>IF(1053586.45628="","-",1053586.45628/1534061.00855*100)</f>
        <v>68.67956687562601</v>
      </c>
      <c r="F8" s="37">
        <f>IF(1071013.38714="","-",(778221.72122-681375.0491)/1071013.38714*100)</f>
        <v>9.042526758569869</v>
      </c>
      <c r="G8" s="37">
        <f>IF(1219791.03674="","-",(1053586.45628-778221.72122)/1219791.03674*100)</f>
        <v>22.574746556257445</v>
      </c>
    </row>
    <row r="9" spans="1:7" s="18" customFormat="1" ht="15.75">
      <c r="A9" s="26" t="s">
        <v>227</v>
      </c>
      <c r="B9" s="40">
        <f>IF(412165.25819="","-",412165.25819)</f>
        <v>412165.25819</v>
      </c>
      <c r="C9" s="40">
        <f>IF(OR(299983.93806="",412165.25819=""),"-",412165.25819/299983.93806*100)</f>
        <v>137.3957755390099</v>
      </c>
      <c r="D9" s="40">
        <f>IF(299983.93806="","-",299983.93806/1219791.03674*100)</f>
        <v>24.593059714697837</v>
      </c>
      <c r="E9" s="40">
        <f>IF(412165.25819="","-",412165.25819/1534061.00855*100)</f>
        <v>26.867592350814007</v>
      </c>
      <c r="F9" s="40">
        <f>IF(OR(1071013.38714="",258985.35528="",299983.93806=""),"-",(299983.93806-258985.35528)/1071013.38714*100)</f>
        <v>3.8280177701122233</v>
      </c>
      <c r="G9" s="40">
        <f>IF(OR(1219791.03674="",412165.25819="",299983.93806=""),"-",(412165.25819-299983.93806)/1219791.03674*100)</f>
        <v>9.196765409083065</v>
      </c>
    </row>
    <row r="10" spans="1:7" s="18" customFormat="1" ht="15.75">
      <c r="A10" s="26" t="s">
        <v>3</v>
      </c>
      <c r="B10" s="40">
        <f>IF(176976.08154="","-",176976.08154)</f>
        <v>176976.08154</v>
      </c>
      <c r="C10" s="40" t="s">
        <v>225</v>
      </c>
      <c r="D10" s="40">
        <f>IF(110747.51583="","-",110747.51583/1219791.03674*100)</f>
        <v>9.079220333179574</v>
      </c>
      <c r="E10" s="40">
        <f>IF(176976.08154="","-",176976.08154/1534061.00855*100)</f>
        <v>11.536443502157613</v>
      </c>
      <c r="F10" s="40">
        <f>IF(OR(1071013.38714="",108094.60252="",110747.51583=""),"-",(110747.51583-108094.60252)/1071013.38714*100)</f>
        <v>0.24770122781417875</v>
      </c>
      <c r="G10" s="40">
        <f>IF(OR(1219791.03674="",176976.08154="",110747.51583=""),"-",(176976.08154-110747.51583)/1219791.03674*100)</f>
        <v>5.429500932143406</v>
      </c>
    </row>
    <row r="11" spans="1:7" s="18" customFormat="1" ht="15.75">
      <c r="A11" s="26" t="s">
        <v>4</v>
      </c>
      <c r="B11" s="40">
        <f>IF(129436.64263="","-",129436.64263)</f>
        <v>129436.64263</v>
      </c>
      <c r="C11" s="40" t="s">
        <v>225</v>
      </c>
      <c r="D11" s="40">
        <f>IF(81907.88465="","-",81907.88465/1219791.03674*100)</f>
        <v>6.714911176008156</v>
      </c>
      <c r="E11" s="40">
        <f>IF(129436.64263="","-",129436.64263/1534061.00855*100)</f>
        <v>8.437515972871507</v>
      </c>
      <c r="F11" s="40">
        <f>IF(OR(1071013.38714="",67523.52912="",81907.88465=""),"-",(81907.88465-67523.52912)/1071013.38714*100)</f>
        <v>1.3430602924965789</v>
      </c>
      <c r="G11" s="40">
        <f>IF(OR(1219791.03674="",129436.64263="",81907.88465=""),"-",(129436.64263-81907.88465)/1219791.03674*100)</f>
        <v>3.8964672266345577</v>
      </c>
    </row>
    <row r="12" spans="1:7" s="18" customFormat="1" ht="15.75">
      <c r="A12" s="26" t="s">
        <v>5</v>
      </c>
      <c r="B12" s="40">
        <f>IF(52980.69558="","-",52980.69558)</f>
        <v>52980.69558</v>
      </c>
      <c r="C12" s="40">
        <f>IF(OR(39443.51002="",52980.69558=""),"-",52980.69558/39443.51002*100)</f>
        <v>134.32043840199796</v>
      </c>
      <c r="D12" s="40">
        <f>IF(39443.51002="","-",39443.51002/1219791.03674*100)</f>
        <v>3.2336284520844067</v>
      </c>
      <c r="E12" s="40">
        <f>IF(52980.69558="","-",52980.69558/1534061.00855*100)</f>
        <v>3.4536237662462685</v>
      </c>
      <c r="F12" s="40">
        <f>IF(OR(1071013.38714="",38693.59676="",39443.51002=""),"-",(39443.51002-38693.59676)/1071013.38714*100)</f>
        <v>0.0700190370171325</v>
      </c>
      <c r="G12" s="40">
        <f>IF(OR(1219791.03674="",52980.69558="",39443.51002=""),"-",(52980.69558-39443.51002)/1219791.03674*100)</f>
        <v>1.1097954610471095</v>
      </c>
    </row>
    <row r="13" spans="1:7" s="18" customFormat="1" ht="25.5">
      <c r="A13" s="26" t="s">
        <v>228</v>
      </c>
      <c r="B13" s="40">
        <f>IF(50559.22428="","-",50559.22428)</f>
        <v>50559.22428</v>
      </c>
      <c r="C13" s="40">
        <f>IF(OR(74210.46552="",50559.22428=""),"-",50559.22428/74210.46552*100)</f>
        <v>68.12950697145823</v>
      </c>
      <c r="D13" s="40">
        <f>IF(74210.46552="","-",74210.46552/1219791.03674*100)</f>
        <v>6.083867095657144</v>
      </c>
      <c r="E13" s="40">
        <f>IF(50559.22428="","-",50559.22428/1534061.00855*100)</f>
        <v>3.2957766345804442</v>
      </c>
      <c r="F13" s="40">
        <f>IF(OR(1071013.38714="",67087.45609="",74210.46552=""),"-",(74210.46552-67087.45609)/1071013.38714*100)</f>
        <v>0.6650719323892905</v>
      </c>
      <c r="G13" s="40">
        <f>IF(OR(1219791.03674="",50559.22428="",74210.46552=""),"-",(50559.22428-74210.46552)/1219791.03674*100)</f>
        <v>-1.9389584385871568</v>
      </c>
    </row>
    <row r="14" spans="1:7" s="18" customFormat="1" ht="15.75">
      <c r="A14" s="26" t="s">
        <v>229</v>
      </c>
      <c r="B14" s="40">
        <f>IF(33792.3882="","-",33792.3882)</f>
        <v>33792.3882</v>
      </c>
      <c r="C14" s="40" t="s">
        <v>161</v>
      </c>
      <c r="D14" s="40">
        <f>IF(20295.59399="","-",20295.59399/1219791.03674*100)</f>
        <v>1.6638582657765533</v>
      </c>
      <c r="E14" s="40">
        <f>IF(33792.3882="","-",33792.3882/1534061.00855*100)</f>
        <v>2.2028060169484847</v>
      </c>
      <c r="F14" s="40">
        <f>IF(OR(1071013.38714="",26337.62204="",20295.59399=""),"-",(20295.59399-26337.62204)/1071013.38714*100)</f>
        <v>-0.5641412257352296</v>
      </c>
      <c r="G14" s="40">
        <f>IF(OR(1219791.03674="",33792.3882="",20295.59399=""),"-",(33792.3882-20295.59399)/1219791.03674*100)</f>
        <v>1.1064841274839488</v>
      </c>
    </row>
    <row r="15" spans="1:7" s="20" customFormat="1" ht="15.75">
      <c r="A15" s="26" t="s">
        <v>6</v>
      </c>
      <c r="B15" s="40">
        <f>IF(32007.68056="","-",32007.68056)</f>
        <v>32007.68056</v>
      </c>
      <c r="C15" s="40">
        <f>IF(OR(44852.39623="",32007.68056=""),"-",32007.68056/44852.39623*100)</f>
        <v>71.36225319126055</v>
      </c>
      <c r="D15" s="40">
        <f>IF(44852.39623="","-",44852.39623/1219791.03674*100)</f>
        <v>3.677055731600719</v>
      </c>
      <c r="E15" s="40">
        <f>IF(32007.68056="","-",32007.68056/1534061.00855*100)</f>
        <v>2.0864672514070204</v>
      </c>
      <c r="F15" s="40">
        <f>IF(OR(1071013.38714="",33140.91717="",44852.39623=""),"-",(44852.39623-33140.91717)/1071013.38714*100)</f>
        <v>1.0934951141249465</v>
      </c>
      <c r="G15" s="40">
        <f>IF(OR(1219791.03674="",32007.68056="",44852.39623=""),"-",(32007.68056-44852.39623)/1219791.03674*100)</f>
        <v>-1.0530259104320558</v>
      </c>
    </row>
    <row r="16" spans="1:7" s="18" customFormat="1" ht="15.75">
      <c r="A16" s="26" t="s">
        <v>7</v>
      </c>
      <c r="B16" s="40">
        <f>IF(24803.4322="","-",24803.4322)</f>
        <v>24803.4322</v>
      </c>
      <c r="C16" s="40">
        <f>IF(OR(17924.8812="",24803.4322=""),"-",24803.4322/17924.8812*100)</f>
        <v>138.37431848641762</v>
      </c>
      <c r="D16" s="40">
        <f>IF(17924.8812="","-",17924.8812/1219791.03674*100)</f>
        <v>1.4695042560655176</v>
      </c>
      <c r="E16" s="40">
        <f>IF(24803.4322="","-",24803.4322/1534061.00855*100)</f>
        <v>1.616847834718405</v>
      </c>
      <c r="F16" s="40">
        <f>IF(OR(1071013.38714="",12409.86535="",17924.8812=""),"-",(17924.8812-12409.86535)/1071013.38714*100)</f>
        <v>0.5149343524759408</v>
      </c>
      <c r="G16" s="40">
        <f>IF(OR(1219791.03674="",24803.4322="",17924.8812=""),"-",(24803.4322-17924.8812)/1219791.03674*100)</f>
        <v>0.5639122433940439</v>
      </c>
    </row>
    <row r="17" spans="1:7" s="18" customFormat="1" ht="15.75">
      <c r="A17" s="26" t="s">
        <v>230</v>
      </c>
      <c r="B17" s="40">
        <f>IF(23914.83151="","-",23914.83151)</f>
        <v>23914.83151</v>
      </c>
      <c r="C17" s="40">
        <f>IF(OR(17138.3246="",23914.83151=""),"-",23914.83151/17138.3246*100)</f>
        <v>139.54007797238245</v>
      </c>
      <c r="D17" s="40">
        <f>IF(17138.3246="","-",17138.3246/1219791.03674*100)</f>
        <v>1.4050213588881337</v>
      </c>
      <c r="E17" s="40">
        <f>IF(23914.83151="","-",23914.83151/1534061.00855*100)</f>
        <v>1.5589231051902157</v>
      </c>
      <c r="F17" s="40">
        <f>IF(OR(1071013.38714="",16616.92674="",17138.3246=""),"-",(17138.3246-16616.92674)/1071013.38714*100)</f>
        <v>0.048682665059147874</v>
      </c>
      <c r="G17" s="40">
        <f>IF(OR(1219791.03674="",23914.83151="",17138.3246=""),"-",(23914.83151-17138.3246)/1219791.03674*100)</f>
        <v>0.5555465408329953</v>
      </c>
    </row>
    <row r="18" spans="1:7" s="18" customFormat="1" ht="15.75">
      <c r="A18" s="26" t="s">
        <v>9</v>
      </c>
      <c r="B18" s="40">
        <f>IF(22722.39954="","-",22722.39954)</f>
        <v>22722.39954</v>
      </c>
      <c r="C18" s="40" t="s">
        <v>161</v>
      </c>
      <c r="D18" s="40">
        <f>IF(13008.34368="","-",13008.34368/1219791.03674*100)</f>
        <v>1.0664403400410252</v>
      </c>
      <c r="E18" s="40">
        <f>IF(22722.39954="","-",22722.39954/1534061.00855*100)</f>
        <v>1.481192691383069</v>
      </c>
      <c r="F18" s="40">
        <f>IF(OR(1071013.38714="",10892.87848="",13008.34368=""),"-",(13008.34368-10892.87848)/1071013.38714*100)</f>
        <v>0.19751995870463127</v>
      </c>
      <c r="G18" s="40">
        <f>IF(OR(1219791.03674="",22722.39954="",13008.34368=""),"-",(22722.39954-13008.34368)/1219791.03674*100)</f>
        <v>0.7963704903064117</v>
      </c>
    </row>
    <row r="19" spans="1:7" s="18" customFormat="1" ht="15.75">
      <c r="A19" s="26" t="s">
        <v>8</v>
      </c>
      <c r="B19" s="40">
        <f>IF(21372.25421="","-",21372.25421)</f>
        <v>21372.25421</v>
      </c>
      <c r="C19" s="40" t="s">
        <v>225</v>
      </c>
      <c r="D19" s="40">
        <f>IF(13064.41924="","-",13064.41924/1219791.03674*100)</f>
        <v>1.0710374848232875</v>
      </c>
      <c r="E19" s="40">
        <f>IF(21372.25421="","-",21372.25421/1534061.00855*100)</f>
        <v>1.3931815026184085</v>
      </c>
      <c r="F19" s="40">
        <f>IF(OR(1071013.38714="",11234.85924="",13064.41924=""),"-",(13064.41924-11234.85924)/1071013.38714*100)</f>
        <v>0.17082512898233682</v>
      </c>
      <c r="G19" s="40">
        <f>IF(OR(1219791.03674="",21372.25421="",13064.41924=""),"-",(21372.25421-13064.41924)/1219791.03674*100)</f>
        <v>0.6810867369712298</v>
      </c>
    </row>
    <row r="20" spans="1:9" s="18" customFormat="1" ht="15.75">
      <c r="A20" s="26" t="s">
        <v>88</v>
      </c>
      <c r="B20" s="40">
        <f>IF(18351.10061="","-",18351.10061)</f>
        <v>18351.10061</v>
      </c>
      <c r="C20" s="40" t="s">
        <v>225</v>
      </c>
      <c r="D20" s="40">
        <f>IF(11578.77861="","-",11578.77861/1219791.03674*100)</f>
        <v>0.9492428015330656</v>
      </c>
      <c r="E20" s="40">
        <f>IF(18351.10061="","-",18351.10061/1534061.00855*100)</f>
        <v>1.196243207259764</v>
      </c>
      <c r="F20" s="40">
        <f>IF(OR(1071013.38714="",3803.8615="",11578.77861=""),"-",(11578.77861-3803.8615)/1071013.38714*100)</f>
        <v>0.7259402359817266</v>
      </c>
      <c r="G20" s="40">
        <f>IF(OR(1219791.03674="",18351.10061="",11578.77861=""),"-",(18351.10061-11578.77861)/1219791.03674*100)</f>
        <v>0.5552034566592353</v>
      </c>
      <c r="I20" s="18" t="s">
        <v>188</v>
      </c>
    </row>
    <row r="21" spans="1:7" s="18" customFormat="1" ht="15.75">
      <c r="A21" s="26" t="s">
        <v>92</v>
      </c>
      <c r="B21" s="40">
        <f>IF(12040.4375="","-",12040.4375)</f>
        <v>12040.4375</v>
      </c>
      <c r="C21" s="40" t="s">
        <v>294</v>
      </c>
      <c r="D21" s="40">
        <f>IF(5074.92414="","-",5074.92414/1219791.03674*100)</f>
        <v>0.41604864990344465</v>
      </c>
      <c r="E21" s="40">
        <f>IF(12040.4375="","-",12040.4375/1534061.00855*100)</f>
        <v>0.7848734458990432</v>
      </c>
      <c r="F21" s="40">
        <f>IF(OR(1071013.38714="",4143.98763="",5074.92414=""),"-",(5074.92414-4143.98763)/1071013.38714*100)</f>
        <v>0.08692108998618062</v>
      </c>
      <c r="G21" s="40">
        <f>IF(OR(1219791.03674="",12040.4375="",5074.92414=""),"-",(12040.4375-5074.92414)/1219791.03674*100)</f>
        <v>0.5710415268024887</v>
      </c>
    </row>
    <row r="22" spans="1:7" s="11" customFormat="1" ht="15.75">
      <c r="A22" s="26" t="s">
        <v>99</v>
      </c>
      <c r="B22" s="40">
        <f>IF(9328.23862="","-",9328.23862)</f>
        <v>9328.23862</v>
      </c>
      <c r="C22" s="40" t="s">
        <v>276</v>
      </c>
      <c r="D22" s="40">
        <f>IF(66.77642="","-",66.77642/1219791.03674*100)</f>
        <v>0.005474414714381402</v>
      </c>
      <c r="E22" s="40">
        <f>IF(9328.23862="","-",9328.23862/1534061.00855*100)</f>
        <v>0.6080748137140312</v>
      </c>
      <c r="F22" s="40">
        <f>IF(OR(1071013.38714="",283.36133="",66.77642=""),"-",(66.77642-283.36133)/1071013.38714*100)</f>
        <v>-0.02022242789871763</v>
      </c>
      <c r="G22" s="40">
        <f>IF(OR(1219791.03674="",9328.23862="",66.77642=""),"-",(9328.23862-66.77642)/1219791.03674*100)</f>
        <v>0.759266294065587</v>
      </c>
    </row>
    <row r="23" spans="1:7" s="11" customFormat="1" ht="15.75">
      <c r="A23" s="26" t="s">
        <v>89</v>
      </c>
      <c r="B23" s="40">
        <f>IF(9118.22606="","-",9118.22606)</f>
        <v>9118.22606</v>
      </c>
      <c r="C23" s="40">
        <f>IF(OR(7146.6219="",9118.22606=""),"-",9118.22606/7146.6219*100)</f>
        <v>127.5879175866293</v>
      </c>
      <c r="D23" s="40">
        <f>IF(7146.6219="","-",7146.6219/1219791.03674*100)</f>
        <v>0.5858890321984971</v>
      </c>
      <c r="E23" s="40">
        <f>IF(9118.22606="","-",9118.22606/1534061.00855*100)</f>
        <v>0.5943848392717171</v>
      </c>
      <c r="F23" s="40">
        <f>IF(OR(1071013.38714="",5389.72373="",7146.6219=""),"-",(7146.6219-5389.72373)/1071013.38714*100)</f>
        <v>0.16404072919121632</v>
      </c>
      <c r="G23" s="40">
        <f>IF(OR(1219791.03674="",9118.22606="",7146.6219=""),"-",(9118.22606-7146.6219)/1219791.03674*100)</f>
        <v>0.16163458335202138</v>
      </c>
    </row>
    <row r="24" spans="1:7" s="18" customFormat="1" ht="15.75">
      <c r="A24" s="26" t="s">
        <v>91</v>
      </c>
      <c r="B24" s="40">
        <f>IF(6048.48101="","-",6048.48101)</f>
        <v>6048.48101</v>
      </c>
      <c r="C24" s="40">
        <f>IF(OR(4891.48898="",6048.48101=""),"-",6048.48101/4891.48898*100)</f>
        <v>123.65316644340064</v>
      </c>
      <c r="D24" s="40">
        <f>IF(4891.48898="","-",4891.48898/1219791.03674*100)</f>
        <v>0.40101040527998466</v>
      </c>
      <c r="E24" s="40">
        <f>IF(6048.48101="","-",6048.48101/1534061.00855*100)</f>
        <v>0.39427903950945514</v>
      </c>
      <c r="F24" s="40">
        <f>IF(OR(1071013.38714="",4616.17035="",4891.48898=""),"-",(4891.48898-4616.17035)/1071013.38714*100)</f>
        <v>0.025706366820978946</v>
      </c>
      <c r="G24" s="40">
        <f>IF(OR(1219791.03674="",6048.48101="",4891.48898=""),"-",(6048.48101-4891.48898)/1219791.03674*100)</f>
        <v>0.09485165861623024</v>
      </c>
    </row>
    <row r="25" spans="1:7" s="18" customFormat="1" ht="15.75">
      <c r="A25" s="26" t="s">
        <v>95</v>
      </c>
      <c r="B25" s="40">
        <f>IF(4780.20398="","-",4780.20398)</f>
        <v>4780.20398</v>
      </c>
      <c r="C25" s="40">
        <f>IF(OR(4831.00119="",4780.20398=""),"-",4780.20398/4831.00119*100)</f>
        <v>98.94851588724201</v>
      </c>
      <c r="D25" s="40">
        <f>IF(4831.00119="","-",4831.00119/1219791.03674*100)</f>
        <v>0.3960515403450808</v>
      </c>
      <c r="E25" s="40">
        <f>IF(4780.20398="","-",4780.20398/1534061.00855*100)</f>
        <v>0.31160455505731594</v>
      </c>
      <c r="F25" s="40">
        <f>IF(OR(1071013.38714="",1760.19277="",4831.00119=""),"-",(4831.00119-1760.19277)/1071013.38714*100)</f>
        <v>0.2867198913545039</v>
      </c>
      <c r="G25" s="40">
        <f>IF(OR(1219791.03674="",4780.20398="",4831.00119=""),"-",(4780.20398-4831.00119)/1219791.03674*100)</f>
        <v>-0.004164419025061849</v>
      </c>
    </row>
    <row r="26" spans="1:7" s="11" customFormat="1" ht="15.75">
      <c r="A26" s="26" t="s">
        <v>90</v>
      </c>
      <c r="B26" s="40">
        <f>IF(4306.02613="","-",4306.02613)</f>
        <v>4306.02613</v>
      </c>
      <c r="C26" s="40">
        <f>IF(OR(4615.84547="",4306.02613=""),"-",4306.02613/4615.84547*100)</f>
        <v>93.2879178470418</v>
      </c>
      <c r="D26" s="40">
        <f>IF(4615.84547="","-",4615.84547/1219791.03674*100)</f>
        <v>0.37841280440429026</v>
      </c>
      <c r="E26" s="40">
        <f>IF(4306.02613="","-",4306.02613/1534061.00855*100)</f>
        <v>0.2806945816366242</v>
      </c>
      <c r="F26" s="40">
        <f>IF(OR(1071013.38714="",3078.67334="",4615.84547=""),"-",(4615.84547-3078.67334)/1071013.38714*100)</f>
        <v>0.1435250155093594</v>
      </c>
      <c r="G26" s="40">
        <f>IF(OR(1219791.03674="",4306.02613="",4615.84547=""),"-",(4306.02613-4615.84547)/1219791.03674*100)</f>
        <v>-0.025399378308929025</v>
      </c>
    </row>
    <row r="27" spans="1:7" s="11" customFormat="1" ht="15.75">
      <c r="A27" s="26" t="s">
        <v>93</v>
      </c>
      <c r="B27" s="40">
        <f>IF(3534.1518="","-",3534.1518)</f>
        <v>3534.1518</v>
      </c>
      <c r="C27" s="40">
        <f>IF(OR(2595.08388="",3534.1518=""),"-",3534.1518/2595.08388*100)</f>
        <v>136.18641876038316</v>
      </c>
      <c r="D27" s="40">
        <f>IF(2595.08388="","-",2595.08388/1219791.03674*100)</f>
        <v>0.21274823324949105</v>
      </c>
      <c r="E27" s="40">
        <f>IF(3534.1518="","-",3534.1518/1534061.00855*100)</f>
        <v>0.23037882980550384</v>
      </c>
      <c r="F27" s="40">
        <f>IF(OR(1071013.38714="",2853.37687="",2595.08388=""),"-",(2595.08388-2853.37687)/1071013.38714*100)</f>
        <v>-0.024116691079813415</v>
      </c>
      <c r="G27" s="40">
        <f>IF(OR(1219791.03674="",3534.1518="",2595.08388=""),"-",(3534.1518-2595.08388)/1219791.03674*100)</f>
        <v>0.07698596658897762</v>
      </c>
    </row>
    <row r="28" spans="1:7" s="11" customFormat="1" ht="15.75">
      <c r="A28" s="26" t="s">
        <v>94</v>
      </c>
      <c r="B28" s="40">
        <f>IF(1971.99155="","-",1971.99155)</f>
        <v>1971.99155</v>
      </c>
      <c r="C28" s="40">
        <f>IF(OR(1804.41385="",1971.99155=""),"-",1971.99155/1804.41385*100)</f>
        <v>109.28709896568351</v>
      </c>
      <c r="D28" s="40">
        <f>IF(1804.41385="","-",1804.41385/1219791.03674*100)</f>
        <v>0.14792811191845257</v>
      </c>
      <c r="E28" s="40">
        <f>IF(1971.99155="","-",1971.99155/1534061.00855*100)</f>
        <v>0.12854713984706082</v>
      </c>
      <c r="F28" s="40">
        <f>IF(OR(1071013.38714="",2272.96704="",1804.41385=""),"-",(1804.41385-2272.96704)/1071013.38714*100)</f>
        <v>-0.04374858387636121</v>
      </c>
      <c r="G28" s="40">
        <f>IF(OR(1219791.03674="",1971.99155="",1804.41385=""),"-",(1971.99155-1804.41385)/1219791.03674*100)</f>
        <v>0.013738230151933756</v>
      </c>
    </row>
    <row r="29" spans="1:7" s="11" customFormat="1" ht="15.75">
      <c r="A29" s="26" t="s">
        <v>96</v>
      </c>
      <c r="B29" s="40">
        <f>IF(1260.9765="","-",1260.9765)</f>
        <v>1260.9765</v>
      </c>
      <c r="C29" s="40">
        <f>IF(OR(1059.94841="",1260.9765=""),"-",1260.9765/1059.94841*100)</f>
        <v>118.96583721466219</v>
      </c>
      <c r="D29" s="40">
        <f>IF(1059.94841="","-",1059.94841/1219791.03674*100)</f>
        <v>0.08689590086124968</v>
      </c>
      <c r="E29" s="40">
        <f>IF(1260.9765="","-",1260.9765/1534061.00855*100)</f>
        <v>0.08219858877658846</v>
      </c>
      <c r="F29" s="40">
        <f>IF(OR(1071013.38714="",902.30957="",1059.94841=""),"-",(1059.94841-902.30957)/1071013.38714*100)</f>
        <v>0.014718661960048295</v>
      </c>
      <c r="G29" s="40">
        <f>IF(OR(1219791.03674="",1260.9765="",1059.94841=""),"-",(1260.9765-1059.94841)/1219791.03674*100)</f>
        <v>0.016480535103558843</v>
      </c>
    </row>
    <row r="30" spans="1:7" s="11" customFormat="1" ht="15.75">
      <c r="A30" s="26" t="s">
        <v>98</v>
      </c>
      <c r="B30" s="40">
        <f>IF(622.48584="","-",622.48584)</f>
        <v>622.48584</v>
      </c>
      <c r="C30" s="40">
        <f>IF(OR(875.22353="",622.48584=""),"-",622.48584/875.22353*100)</f>
        <v>71.12306955458568</v>
      </c>
      <c r="D30" s="40">
        <f>IF(875.22353="","-",875.22353/1219791.03674*100)</f>
        <v>0.07175192337362249</v>
      </c>
      <c r="E30" s="40">
        <f>IF(622.48584="","-",622.48584/1534061.00855*100)</f>
        <v>0.040577645643205276</v>
      </c>
      <c r="F30" s="40">
        <f>IF(OR(1071013.38714="",420.9937="",875.22353=""),"-",(875.22353-420.9937)/1071013.38714*100)</f>
        <v>0.042411218706888514</v>
      </c>
      <c r="G30" s="40">
        <f>IF(OR(1219791.03674="",622.48584="",875.22353=""),"-",(622.48584-875.22353)/1219791.03674*100)</f>
        <v>-0.020719753005847944</v>
      </c>
    </row>
    <row r="31" spans="1:7" s="11" customFormat="1" ht="15.75">
      <c r="A31" s="26" t="s">
        <v>103</v>
      </c>
      <c r="B31" s="40">
        <f>IF(573.68424="","-",573.68424)</f>
        <v>573.68424</v>
      </c>
      <c r="C31" s="40" t="s">
        <v>205</v>
      </c>
      <c r="D31" s="40">
        <f>IF(15.78333="","-",15.78333/1219791.03674*100)</f>
        <v>0.0012939372010948985</v>
      </c>
      <c r="E31" s="40">
        <f>IF(573.68424="","-",573.68424/1534061.00855*100)</f>
        <v>0.037396442305919014</v>
      </c>
      <c r="F31" s="40">
        <f>IF(OR(1071013.38714="",27.28626="",15.78333=""),"-",(15.78333-27.28626)/1071013.38714*100)</f>
        <v>-0.001074022989639472</v>
      </c>
      <c r="G31" s="40">
        <f>IF(OR(1219791.03674="",573.68424="",15.78333=""),"-",(573.68424-15.78333)/1219791.03674*100)</f>
        <v>0.045737416753859735</v>
      </c>
    </row>
    <row r="32" spans="1:7" s="11" customFormat="1" ht="15.75">
      <c r="A32" s="26" t="s">
        <v>231</v>
      </c>
      <c r="B32" s="40">
        <f>IF(437.83025="","-",437.83025)</f>
        <v>437.83025</v>
      </c>
      <c r="C32" s="40" t="s">
        <v>145</v>
      </c>
      <c r="D32" s="40">
        <f>IF(210.52149="","-",210.52149/1219791.03674*100)</f>
        <v>0.01725881594954472</v>
      </c>
      <c r="E32" s="40">
        <f>IF(437.83025="","-",437.83025/1534061.00855*100)</f>
        <v>0.02854060220289666</v>
      </c>
      <c r="F32" s="40">
        <f>IF(OR(1071013.38714="",133.91955="",210.52149=""),"-",(210.52149-133.91955)/1071013.38714*100)</f>
        <v>0.007152285948969826</v>
      </c>
      <c r="G32" s="40">
        <f>IF(OR(1219791.03674="",437.83025="",210.52149=""),"-",(437.83025-210.52149)/1219791.03674*100)</f>
        <v>0.018635057411759876</v>
      </c>
    </row>
    <row r="33" spans="1:7" s="11" customFormat="1" ht="15.75">
      <c r="A33" s="26" t="s">
        <v>101</v>
      </c>
      <c r="B33" s="40">
        <f>IF(316.83077="","-",316.83077)</f>
        <v>316.83077</v>
      </c>
      <c r="C33" s="40">
        <f>IF(OR(527.181="",316.83077=""),"-",316.83077/527.181*100)</f>
        <v>60.099049472572034</v>
      </c>
      <c r="D33" s="40">
        <f>IF(527.181="","-",527.181/1219791.03674*100)</f>
        <v>0.04321895997932057</v>
      </c>
      <c r="E33" s="40">
        <f>IF(316.83077="","-",316.83077/1534061.00855*100)</f>
        <v>0.020653074958177156</v>
      </c>
      <c r="F33" s="40">
        <f>IF(OR(1071013.38714="",169.16302="",527.181=""),"-",(527.181-169.16302)/1071013.38714*100)</f>
        <v>0.03342796498146861</v>
      </c>
      <c r="G33" s="40">
        <f>IF(OR(1219791.03674="",316.83077="",527.181=""),"-",(316.83077-527.181)/1219791.03674*100)</f>
        <v>-0.017244775839817598</v>
      </c>
    </row>
    <row r="34" spans="1:7" s="11" customFormat="1" ht="15.75">
      <c r="A34" s="26" t="s">
        <v>97</v>
      </c>
      <c r="B34" s="40">
        <f>IF(134.21912="","-",134.21912)</f>
        <v>134.21912</v>
      </c>
      <c r="C34" s="40" t="s">
        <v>160</v>
      </c>
      <c r="D34" s="40">
        <f>IF(76.3035="","-",76.3035/1219791.03674*100)</f>
        <v>0.006255456689034862</v>
      </c>
      <c r="E34" s="40">
        <f>IF(134.21912="","-",134.21912/1534061.00855*100)</f>
        <v>0.008749268722165386</v>
      </c>
      <c r="F34" s="40">
        <f>IF(OR(1071013.38714="",44.07987="",76.3035=""),"-",(76.3035-44.07987)/1071013.38714*100)</f>
        <v>0.0030087046891214826</v>
      </c>
      <c r="G34" s="40">
        <f>IF(OR(1219791.03674="",134.21912="",76.3035=""),"-",(134.21912-76.3035)/1219791.03674*100)</f>
        <v>0.004747995210293121</v>
      </c>
    </row>
    <row r="35" spans="1:7" s="11" customFormat="1" ht="15.75">
      <c r="A35" s="26" t="s">
        <v>102</v>
      </c>
      <c r="B35" s="40">
        <f>IF(27.75621="","-",27.75621)</f>
        <v>27.75621</v>
      </c>
      <c r="C35" s="40">
        <f>IF(OR(27.10437="",27.75621=""),"-",27.75621/27.10437*100)</f>
        <v>102.40492584775076</v>
      </c>
      <c r="D35" s="40">
        <f>IF(27.10437="","-",27.10437/1219791.03674*100)</f>
        <v>0.002222050267924483</v>
      </c>
      <c r="E35" s="40">
        <f>IF(27.75621="","-",27.75621/1534061.00855*100)</f>
        <v>0.0018093289540182806</v>
      </c>
      <c r="F35" s="40">
        <f>IF(OR(1071013.38714="",89.31444="",27.10437=""),"-",(27.10437-89.31444)/1071013.38714*100)</f>
        <v>-0.0058085240340574815</v>
      </c>
      <c r="G35" s="40">
        <f>IF(OR(1219791.03674="",27.75621="",27.10437=""),"-",(27.75621-27.10437)/1219791.03674*100)</f>
        <v>5.343866124333069E-05</v>
      </c>
    </row>
    <row r="36" spans="1:7" s="11" customFormat="1" ht="15.75">
      <c r="A36" s="26" t="s">
        <v>100</v>
      </c>
      <c r="B36" s="40">
        <f>IF(2.92765="","-",2.92765)</f>
        <v>2.92765</v>
      </c>
      <c r="C36" s="40">
        <f>IF(OR(247.44813="",2.92765=""),"-",2.92765/247.44813*100)</f>
        <v>1.18313684568964</v>
      </c>
      <c r="D36" s="40">
        <f>IF(247.44813="","-",247.44813/1219791.03674*100)</f>
        <v>0.020286108238778924</v>
      </c>
      <c r="E36" s="40">
        <f>IF(2.92765="","-",2.92765/1534061.00855*100)</f>
        <v>0.0001908431270779267</v>
      </c>
      <c r="F36" s="40">
        <f>IF(OR(1071013.38714="",368.05934="",247.44813=""),"-",(247.44813-368.05934)/1071013.38714*100)</f>
        <v>-0.011261410123180287</v>
      </c>
      <c r="G36" s="40">
        <f>IF(OR(1219791.03674="",2.92765="",247.44813=""),"-",(2.92765-247.44813)/1219791.03674*100)</f>
        <v>-0.02004609581764945</v>
      </c>
    </row>
    <row r="37" spans="1:7" s="11" customFormat="1" ht="14.25" customHeight="1">
      <c r="A37" s="35" t="s">
        <v>251</v>
      </c>
      <c r="B37" s="37">
        <f>IF(245257.60167="","-",245257.60167)</f>
        <v>245257.60167</v>
      </c>
      <c r="C37" s="37">
        <f>IF(255229.24124="","-",245257.60167/255229.24124*100)</f>
        <v>96.0930653864134</v>
      </c>
      <c r="D37" s="37">
        <f>IF(255229.24124="","-",255229.24124/1219791.03674*100)</f>
        <v>20.924013503339296</v>
      </c>
      <c r="E37" s="37">
        <f>IF(245257.60167="","-",245257.60167/1534061.00855*100)</f>
        <v>15.98747379035586</v>
      </c>
      <c r="F37" s="37">
        <f>IF(1071013.38714="","-",(255229.24124-222785.47643)/1071013.38714*100)</f>
        <v>3.0292585694597887</v>
      </c>
      <c r="G37" s="37">
        <f>IF(1219791.03674="","-",(245257.60167-255229.24124)/1219791.03674*100)</f>
        <v>-0.8174875261134967</v>
      </c>
    </row>
    <row r="38" spans="1:7" s="19" customFormat="1" ht="14.25" customHeight="1">
      <c r="A38" s="26" t="s">
        <v>236</v>
      </c>
      <c r="B38" s="40">
        <f>IF(127231.19074="","-",127231.19074)</f>
        <v>127231.19074</v>
      </c>
      <c r="C38" s="40">
        <f>IF(OR(138309.15669="",127231.19074=""),"-",127231.19074/138309.15669*100)</f>
        <v>91.99043200384075</v>
      </c>
      <c r="D38" s="40">
        <f>IF(138309.15669="","-",138309.15669/1219791.03674*100)</f>
        <v>11.338758240070655</v>
      </c>
      <c r="E38" s="40">
        <f>IF(127231.19074="","-",127231.19074/1534061.00855*100)</f>
        <v>8.293750380909518</v>
      </c>
      <c r="F38" s="40">
        <f>IF(OR(1071013.38714="",118553.36046="",138309.15669=""),"-",(138309.15669-118553.36046)/1071013.38714*100)</f>
        <v>1.8445891029201096</v>
      </c>
      <c r="G38" s="40">
        <f>IF(OR(1219791.03674="",127231.19074="",138309.15669=""),"-",(127231.19074-138309.15669)/1219791.03674*100)</f>
        <v>-0.9081855511585696</v>
      </c>
    </row>
    <row r="39" spans="1:7" s="19" customFormat="1" ht="14.25" customHeight="1">
      <c r="A39" s="26" t="s">
        <v>10</v>
      </c>
      <c r="B39" s="40">
        <f>IF(55676.75945="","-",55676.75945)</f>
        <v>55676.75945</v>
      </c>
      <c r="C39" s="40">
        <f>IF(OR(65073.82961="",55676.75945=""),"-",55676.75945/65073.82961*100)</f>
        <v>85.55937123061842</v>
      </c>
      <c r="D39" s="40">
        <f>IF(65073.82961="","-",65073.82961/1219791.03674*100)</f>
        <v>5.334834217499712</v>
      </c>
      <c r="E39" s="40">
        <f>IF(55676.75945="","-",55676.75945/1534061.00855*100)</f>
        <v>3.629370614316433</v>
      </c>
      <c r="F39" s="40">
        <f>IF(OR(1071013.38714="",63053.26624="",65073.82961=""),"-",(65073.82961-63053.26624)/1071013.38714*100)</f>
        <v>0.18865902091062106</v>
      </c>
      <c r="G39" s="40">
        <f>IF(OR(1219791.03674="",55676.75945="",65073.82961=""),"-",(55676.75945-65073.82961)/1219791.03674*100)</f>
        <v>-0.7703836048110756</v>
      </c>
    </row>
    <row r="40" spans="1:7" s="19" customFormat="1" ht="14.25" customHeight="1">
      <c r="A40" s="26" t="s">
        <v>11</v>
      </c>
      <c r="B40" s="40">
        <f>IF(47136.91998="","-",47136.91998)</f>
        <v>47136.91998</v>
      </c>
      <c r="C40" s="40">
        <f>IF(OR(35252.44681="",47136.91998=""),"-",47136.91998/35252.44681*100)</f>
        <v>133.71247741767743</v>
      </c>
      <c r="D40" s="40">
        <f>IF(35252.44681="","-",35252.44681/1219791.03674*100)</f>
        <v>2.890039830446312</v>
      </c>
      <c r="E40" s="40">
        <f>IF(47136.91998="","-",47136.91998/1534061.00855*100)</f>
        <v>3.0726887468806723</v>
      </c>
      <c r="F40" s="40">
        <f>IF(OR(1071013.38714="",27578.55348="",35252.44681=""),"-",(35252.44681-27578.55348)/1071013.38714*100)</f>
        <v>0.7165076946883103</v>
      </c>
      <c r="G40" s="40">
        <f>IF(OR(1219791.03674="",47136.91998="",35252.44681=""),"-",(47136.91998-35252.44681)/1219791.03674*100)</f>
        <v>0.9743040252010958</v>
      </c>
    </row>
    <row r="41" spans="1:7" s="17" customFormat="1" ht="14.25" customHeight="1">
      <c r="A41" s="26" t="s">
        <v>12</v>
      </c>
      <c r="B41" s="40">
        <f>IF(9013.56984="","-",9013.56984)</f>
        <v>9013.56984</v>
      </c>
      <c r="C41" s="40">
        <f>IF(OR(8648.02873="",9013.56984=""),"-",9013.56984/8648.02873*100)</f>
        <v>104.22687205850667</v>
      </c>
      <c r="D41" s="40">
        <f>IF(8648.02873="","-",8648.02873/1219791.03674*100)</f>
        <v>0.7089762483509164</v>
      </c>
      <c r="E41" s="40">
        <f>IF(9013.56984="","-",9013.56984/1534061.00855*100)</f>
        <v>0.5875626712212482</v>
      </c>
      <c r="F41" s="40">
        <f>IF(OR(1071013.38714="",7658.62462="",8648.02873=""),"-",(8648.02873-7658.62462)/1071013.38714*100)</f>
        <v>0.09238018141323831</v>
      </c>
      <c r="G41" s="40">
        <f>IF(OR(1219791.03674="",9013.56984="",8648.02873=""),"-",(9013.56984-8648.02873)/1219791.03674*100)</f>
        <v>0.029967518942993817</v>
      </c>
    </row>
    <row r="42" spans="1:7" s="19" customFormat="1" ht="14.25" customHeight="1">
      <c r="A42" s="26" t="s">
        <v>13</v>
      </c>
      <c r="B42" s="40">
        <f>IF(2501.17716="","-",2501.17716)</f>
        <v>2501.17716</v>
      </c>
      <c r="C42" s="40">
        <f>IF(OR(2736.45376="",2501.17716=""),"-",2501.17716/2736.45376*100)</f>
        <v>91.40213500263934</v>
      </c>
      <c r="D42" s="40">
        <f>IF(2736.45376="","-",2736.45376/1219791.03674*100)</f>
        <v>0.22433791342764872</v>
      </c>
      <c r="E42" s="40">
        <f>IF(2501.17716="","-",2501.17716/1534061.00855*100)</f>
        <v>0.1630428741790473</v>
      </c>
      <c r="F42" s="40">
        <f>IF(OR(1071013.38714="",2213.58008="",2736.45376=""),"-",(2736.45376-2213.58008)/1071013.38714*100)</f>
        <v>0.048820461656064344</v>
      </c>
      <c r="G42" s="40">
        <f>IF(OR(1219791.03674="",2501.17716="",2736.45376=""),"-",(2501.17716-2736.45376)/1219791.03674*100)</f>
        <v>-0.01928827093440507</v>
      </c>
    </row>
    <row r="43" spans="1:7" s="17" customFormat="1" ht="14.25" customHeight="1">
      <c r="A43" s="26" t="s">
        <v>14</v>
      </c>
      <c r="B43" s="40">
        <f>IF(1566.63354="","-",1566.63354)</f>
        <v>1566.63354</v>
      </c>
      <c r="C43" s="40">
        <f>IF(OR(3390.15549="",1566.63354=""),"-",1566.63354/3390.15549*100)</f>
        <v>46.211259177377734</v>
      </c>
      <c r="D43" s="40">
        <f>IF(3390.15549="","-",3390.15549/1219791.03674*100)</f>
        <v>0.27792920163280527</v>
      </c>
      <c r="E43" s="40">
        <f>IF(1566.63354="","-",1566.63354/1534061.00855*100)</f>
        <v>0.10212328787893435</v>
      </c>
      <c r="F43" s="40">
        <f>IF(OR(1071013.38714="",2085.14447="",3390.15549=""),"-",(3390.15549-2085.14447)/1071013.38714*100)</f>
        <v>0.12184824537859976</v>
      </c>
      <c r="G43" s="40">
        <f>IF(OR(1219791.03674="",1566.63354="",3390.15549=""),"-",(1566.63354-3390.15549)/1219791.03674*100)</f>
        <v>-0.1494946179366529</v>
      </c>
    </row>
    <row r="44" spans="1:7" s="17" customFormat="1" ht="14.25" customHeight="1">
      <c r="A44" s="26" t="s">
        <v>16</v>
      </c>
      <c r="B44" s="40">
        <f>IF(1070.32681="","-",1070.32681)</f>
        <v>1070.32681</v>
      </c>
      <c r="C44" s="40" t="s">
        <v>282</v>
      </c>
      <c r="D44" s="40">
        <f>IF(524.2461="","-",524.2461/1219791.03674*100)</f>
        <v>0.04297835319409252</v>
      </c>
      <c r="E44" s="40">
        <f>IF(1070.32681="","-",1070.32681/1534061.00855*100)</f>
        <v>0.06977081120207057</v>
      </c>
      <c r="F44" s="40">
        <f>IF(OR(1071013.38714="",419.86632="",524.2461=""),"-",(524.2461-419.86632)/1071013.38714*100)</f>
        <v>0.009745889384140418</v>
      </c>
      <c r="G44" s="40">
        <f>IF(OR(1219791.03674="",1070.32681="",524.2461=""),"-",(1070.32681-524.2461)/1219791.03674*100)</f>
        <v>0.0447683819237965</v>
      </c>
    </row>
    <row r="45" spans="1:7" s="17" customFormat="1" ht="14.25" customHeight="1">
      <c r="A45" s="26" t="s">
        <v>237</v>
      </c>
      <c r="B45" s="40">
        <f>IF(609.52505="","-",609.52505)</f>
        <v>609.52505</v>
      </c>
      <c r="C45" s="40">
        <f>IF(OR(531.21992="",609.52505=""),"-",609.52505/531.21992*100)</f>
        <v>114.74062380793251</v>
      </c>
      <c r="D45" s="40">
        <f>IF(531.21992="","-",531.21992/1219791.03674*100)</f>
        <v>0.04355007570966684</v>
      </c>
      <c r="E45" s="40">
        <f>IF(609.52505="","-",609.52505/1534061.00855*100)</f>
        <v>0.039732777679821564</v>
      </c>
      <c r="F45" s="40">
        <f>IF(OR(1071013.38714="",485.63494="",531.21992=""),"-",(531.21992-485.63494)/1071013.38714*100)</f>
        <v>0.004256247451932296</v>
      </c>
      <c r="G45" s="40">
        <f>IF(OR(1219791.03674="",609.52505="",531.21992=""),"-",(609.52505-531.21992)/1219791.03674*100)</f>
        <v>0.006419552828431777</v>
      </c>
    </row>
    <row r="46" spans="1:7" s="17" customFormat="1" ht="14.25" customHeight="1">
      <c r="A46" s="26" t="s">
        <v>17</v>
      </c>
      <c r="B46" s="40">
        <f>IF(238.20935="","-",238.20935)</f>
        <v>238.20935</v>
      </c>
      <c r="C46" s="40">
        <f>IF(OR(296.49622="",238.20935=""),"-",238.20935/296.49622*100)</f>
        <v>80.34144583698234</v>
      </c>
      <c r="D46" s="40">
        <f>IF(296.49622="","-",296.49622/1219791.03674*100)</f>
        <v>0.02430713221113778</v>
      </c>
      <c r="E46" s="40">
        <f>IF(238.20935="","-",238.20935/1534061.00855*100)</f>
        <v>0.015528023244991824</v>
      </c>
      <c r="F46" s="40">
        <f>IF(OR(1071013.38714="",261.23057="",296.49622=""),"-",(296.49622-261.23057)/1071013.38714*100)</f>
        <v>0.0032927366196768334</v>
      </c>
      <c r="G46" s="40">
        <f>IF(OR(1219791.03674="",238.20935="",296.49622=""),"-",(238.20935-296.49622)/1219791.03674*100)</f>
        <v>-0.004778430751202832</v>
      </c>
    </row>
    <row r="47" spans="1:7" s="17" customFormat="1" ht="14.25" customHeight="1">
      <c r="A47" s="26" t="s">
        <v>15</v>
      </c>
      <c r="B47" s="40">
        <f>IF(213.28975="","-",213.28975)</f>
        <v>213.28975</v>
      </c>
      <c r="C47" s="40">
        <f>IF(OR(467.20791="",213.28975=""),"-",213.28975/467.20791*100)</f>
        <v>45.65199891414509</v>
      </c>
      <c r="D47" s="40">
        <f>IF(467.20791="","-",467.20791/1219791.03674*100)</f>
        <v>0.03830229079635269</v>
      </c>
      <c r="E47" s="40">
        <f>IF(213.28975="","-",213.28975/1534061.00855*100)</f>
        <v>0.013903602843123055</v>
      </c>
      <c r="F47" s="40">
        <f>IF(OR(1071013.38714="",476.21525="",467.20791=""),"-",(467.20791-476.21525)/1071013.38714*100)</f>
        <v>-0.0008410109629024259</v>
      </c>
      <c r="G47" s="40">
        <f>IF(OR(1219791.03674="",213.28975="",467.20791=""),"-",(213.28975-467.20791)/1219791.03674*100)</f>
        <v>-0.020816529417909062</v>
      </c>
    </row>
    <row r="48" spans="1:7" s="11" customFormat="1" ht="15.75">
      <c r="A48" s="35" t="s">
        <v>250</v>
      </c>
      <c r="B48" s="37">
        <f>IF(235216.9506="","-",235216.9506)</f>
        <v>235216.9506</v>
      </c>
      <c r="C48" s="37">
        <f>IF(186340.07428="","-",235216.9506/186340.07428*100)</f>
        <v>126.22993283052801</v>
      </c>
      <c r="D48" s="37">
        <f>IF(186340.07428="","-",186340.07428/1219791.03674*100)</f>
        <v>15.276393141731099</v>
      </c>
      <c r="E48" s="37">
        <f>IF(235216.9506="","-",235216.9506/1534061.00855*100)</f>
        <v>15.33295933401814</v>
      </c>
      <c r="F48" s="37">
        <f>IF(1071013.38714="","-",(186340.07428-166852.86161)/1071013.38714*100)</f>
        <v>1.8195115863152784</v>
      </c>
      <c r="G48" s="37">
        <f>IF(1219791.03674="","-",(235216.9506-186340.07428)/1219791.03674*100)</f>
        <v>4.006987660003455</v>
      </c>
    </row>
    <row r="49" spans="1:7" s="11" customFormat="1" ht="15.75">
      <c r="A49" s="26" t="s">
        <v>104</v>
      </c>
      <c r="B49" s="40">
        <f>IF(54755.91641="","-",54755.91641)</f>
        <v>54755.91641</v>
      </c>
      <c r="C49" s="40">
        <f>IF(OR(54968.7025="",54755.91641=""),"-",54755.91641/54968.7025*100)</f>
        <v>99.61289592018294</v>
      </c>
      <c r="D49" s="40">
        <f>IF(54968.7025="","-",54968.7025/1219791.03674*100)</f>
        <v>4.506403215333402</v>
      </c>
      <c r="E49" s="40">
        <f>IF(54755.91641="","-",54755.91641/1534061.00855*100)</f>
        <v>3.5693441202677785</v>
      </c>
      <c r="F49" s="40">
        <f>IF(OR(1071013.38714="",39628.1068="",54968.7025=""),"-",(54968.7025-39628.1068)/1071013.38714*100)</f>
        <v>1.4323439729324987</v>
      </c>
      <c r="G49" s="40">
        <f>IF(OR(1219791.03674="",54755.91641="",54968.7025=""),"-",(54755.91641-54968.7025)/1219791.03674*100)</f>
        <v>-0.017444470699562706</v>
      </c>
    </row>
    <row r="50" spans="1:7" s="18" customFormat="1" ht="15.75">
      <c r="A50" s="26" t="s">
        <v>238</v>
      </c>
      <c r="B50" s="40">
        <f>IF(30133.14568="","-",30133.14568)</f>
        <v>30133.14568</v>
      </c>
      <c r="C50" s="40" t="s">
        <v>145</v>
      </c>
      <c r="D50" s="40">
        <f>IF(14603.71641="","-",14603.71641/1219791.03674*100)</f>
        <v>1.1972309986003613</v>
      </c>
      <c r="E50" s="40">
        <f>IF(30133.14568="","-",30133.14568/1534061.00855*100)</f>
        <v>1.964272966463176</v>
      </c>
      <c r="F50" s="40">
        <f>IF(OR(1071013.38714="",14678.56144="",14603.71641=""),"-",(14603.71641-14678.56144)/1071013.38714*100)</f>
        <v>-0.006988244115217118</v>
      </c>
      <c r="G50" s="40">
        <f>IF(OR(1219791.03674="",30133.14568="",14603.71641=""),"-",(30133.14568-14603.71641)/1219791.03674*100)</f>
        <v>1.2731221006102638</v>
      </c>
    </row>
    <row r="51" spans="1:7" s="20" customFormat="1" ht="15.75">
      <c r="A51" s="26" t="s">
        <v>115</v>
      </c>
      <c r="B51" s="40">
        <f>IF(15369.84138="","-",15369.84138)</f>
        <v>15369.84138</v>
      </c>
      <c r="C51" s="40" t="s">
        <v>174</v>
      </c>
      <c r="D51" s="40">
        <f>IF(4198.30535="","-",4198.30535/1219791.03674*100)</f>
        <v>0.34418234136400483</v>
      </c>
      <c r="E51" s="40">
        <f>IF(15369.84138="","-",15369.84138/1534061.00855*100)</f>
        <v>1.0019054844844555</v>
      </c>
      <c r="F51" s="40">
        <f>IF(OR(1071013.38714="",1476.4888="",4198.30535=""),"-",(4198.30535-1476.4888)/1071013.38714*100)</f>
        <v>0.25413468988172516</v>
      </c>
      <c r="G51" s="40">
        <f>IF(OR(1219791.03674="",15369.84138="",4198.30535=""),"-",(15369.84138-4198.30535)/1219791.03674*100)</f>
        <v>0.9158565437451421</v>
      </c>
    </row>
    <row r="52" spans="1:7" s="18" customFormat="1" ht="15.75">
      <c r="A52" s="26" t="s">
        <v>18</v>
      </c>
      <c r="B52" s="40">
        <f>IF(12953.4273="","-",12953.4273)</f>
        <v>12953.4273</v>
      </c>
      <c r="C52" s="40">
        <f>IF(OR(10065.45265="",12953.4273=""),"-",12953.4273/10065.45265*100)</f>
        <v>128.6919500833378</v>
      </c>
      <c r="D52" s="40">
        <f>IF(10065.45265="","-",10065.45265/1219791.03674*100)</f>
        <v>0.8251784401450283</v>
      </c>
      <c r="E52" s="40">
        <f>IF(12953.4273="","-",12953.4273/1534061.00855*100)</f>
        <v>0.8443880150662083</v>
      </c>
      <c r="F52" s="40">
        <f>IF(OR(1071013.38714="",10224.39243="",10065.45265=""),"-",(10065.45265-10224.39243)/1071013.38714*100)</f>
        <v>-0.01484013009626596</v>
      </c>
      <c r="G52" s="40">
        <f>IF(OR(1219791.03674="",12953.4273="",10065.45265=""),"-",(12953.4273-10065.45265)/1219791.03674*100)</f>
        <v>0.23675978614487686</v>
      </c>
    </row>
    <row r="53" spans="1:7" s="11" customFormat="1" ht="15.75">
      <c r="A53" s="26" t="s">
        <v>106</v>
      </c>
      <c r="B53" s="40">
        <f>IF(12263.41155="","-",12263.41155)</f>
        <v>12263.41155</v>
      </c>
      <c r="C53" s="40">
        <f>IF(OR(10238.62139="",12263.41155=""),"-",12263.41155/10238.62139*100)</f>
        <v>119.77600384733047</v>
      </c>
      <c r="D53" s="40">
        <f>IF(10238.62139="","-",10238.62139/1219791.03674*100)</f>
        <v>0.8393750307727812</v>
      </c>
      <c r="E53" s="40">
        <f>IF(12263.41155="","-",12263.41155/1534061.00855*100)</f>
        <v>0.79940833393526</v>
      </c>
      <c r="F53" s="40">
        <f>IF(OR(1071013.38714="",8042.40347="",10238.62139=""),"-",(10238.62139-8042.40347)/1071013.38714*100)</f>
        <v>0.20505980096707385</v>
      </c>
      <c r="G53" s="40">
        <f>IF(OR(1219791.03674="",12263.41155="",10238.62139=""),"-",(12263.41155-10238.62139)/1219791.03674*100)</f>
        <v>0.16599483837915652</v>
      </c>
    </row>
    <row r="54" spans="1:7" s="11" customFormat="1" ht="15.75">
      <c r="A54" s="26" t="s">
        <v>108</v>
      </c>
      <c r="B54" s="40">
        <f>IF(10053.30492="","-",10053.30492)</f>
        <v>10053.30492</v>
      </c>
      <c r="C54" s="40" t="s">
        <v>160</v>
      </c>
      <c r="D54" s="40">
        <f>IF(5453.6699="","-",5453.6699/1219791.03674*100)</f>
        <v>0.4470987026249527</v>
      </c>
      <c r="E54" s="40">
        <f>IF(10053.30492="","-",10053.30492/1534061.00855*100)</f>
        <v>0.6553393159703877</v>
      </c>
      <c r="F54" s="40">
        <f>IF(OR(1071013.38714="",7283.29167="",5453.6699=""),"-",(5453.6699-7283.29167)/1071013.38714*100)</f>
        <v>-0.17083089641724866</v>
      </c>
      <c r="G54" s="40">
        <f>IF(OR(1219791.03674="",10053.30492="",5453.6699=""),"-",(10053.30492-5453.6699)/1219791.03674*100)</f>
        <v>0.37708385136957023</v>
      </c>
    </row>
    <row r="55" spans="1:7" s="20" customFormat="1" ht="15.75">
      <c r="A55" s="26" t="s">
        <v>107</v>
      </c>
      <c r="B55" s="40">
        <f>IF(9902.48205="","-",9902.48205)</f>
        <v>9902.48205</v>
      </c>
      <c r="C55" s="40">
        <f>IF(OR(7576.24719="",9902.48205=""),"-",9902.48205/7576.24719*100)</f>
        <v>130.70431576032038</v>
      </c>
      <c r="D55" s="40">
        <f>IF(7576.24719="","-",7576.24719/1219791.03674*100)</f>
        <v>0.6211102526419767</v>
      </c>
      <c r="E55" s="40">
        <f>IF(9902.48205="","-",9902.48205/1534061.00855*100)</f>
        <v>0.6455077076341222</v>
      </c>
      <c r="F55" s="40">
        <f>IF(OR(1071013.38714="",7687.87619="",7576.24719=""),"-",(7576.24719-7687.87619)/1071013.38714*100)</f>
        <v>-0.010422745536177697</v>
      </c>
      <c r="G55" s="40">
        <f>IF(OR(1219791.03674="",9902.48205="",7576.24719=""),"-",(9902.48205-7576.24719)/1219791.03674*100)</f>
        <v>0.19070765319091623</v>
      </c>
    </row>
    <row r="56" spans="1:7" s="11" customFormat="1" ht="15.75">
      <c r="A56" s="26" t="s">
        <v>124</v>
      </c>
      <c r="B56" s="40">
        <f>IF(8519.13637="","-",8519.13637)</f>
        <v>8519.13637</v>
      </c>
      <c r="C56" s="40" t="s">
        <v>206</v>
      </c>
      <c r="D56" s="40">
        <f>IF(1823.01009="","-",1823.01009/1219791.03674*100)</f>
        <v>0.14945265501148103</v>
      </c>
      <c r="E56" s="40">
        <f>IF(8519.13637="","-",8519.13637/1534061.00855*100)</f>
        <v>0.5553323057244196</v>
      </c>
      <c r="F56" s="40">
        <f>IF(OR(1071013.38714="",668.97858="",1823.01009=""),"-",(1823.01009-668.97858)/1071013.38714*100)</f>
        <v>0.10775136182766948</v>
      </c>
      <c r="G56" s="40">
        <f>IF(OR(1219791.03674="",8519.13637="",1823.01009=""),"-",(8519.13637-1823.01009)/1219791.03674*100)</f>
        <v>0.5489568359098616</v>
      </c>
    </row>
    <row r="57" spans="1:7" s="18" customFormat="1" ht="15.75">
      <c r="A57" s="26" t="s">
        <v>105</v>
      </c>
      <c r="B57" s="40">
        <f>IF(8267.47752="","-",8267.47752)</f>
        <v>8267.47752</v>
      </c>
      <c r="C57" s="40">
        <f>IF(OR(10445.73782="",8267.47752=""),"-",8267.47752/10445.73782*100)</f>
        <v>79.14689859600554</v>
      </c>
      <c r="D57" s="40">
        <f>IF(10445.73782="","-",10445.73782/1219791.03674*100)</f>
        <v>0.8563546956302583</v>
      </c>
      <c r="E57" s="40">
        <f>IF(8267.47752="","-",8267.47752/1534061.00855*100)</f>
        <v>0.5389275572432709</v>
      </c>
      <c r="F57" s="40">
        <f>IF(OR(1071013.38714="",23477.08836="",10445.73782=""),"-",(10445.73782-23477.08836)/1071013.38714*100)</f>
        <v>-1.2167308734392672</v>
      </c>
      <c r="G57" s="40">
        <f>IF(OR(1219791.03674="",8267.47752="",10445.73782=""),"-",(8267.47752-10445.73782)/1219791.03674*100)</f>
        <v>-0.17857651305764588</v>
      </c>
    </row>
    <row r="58" spans="1:7" s="11" customFormat="1" ht="15.75">
      <c r="A58" s="26" t="s">
        <v>239</v>
      </c>
      <c r="B58" s="40">
        <f>IF(4378.35985="","-",4378.35985)</f>
        <v>4378.35985</v>
      </c>
      <c r="C58" s="40" t="s">
        <v>162</v>
      </c>
      <c r="D58" s="40">
        <f>IF(2350.03172="","-",2350.03172/1219791.03674*100)</f>
        <v>0.19265854963819612</v>
      </c>
      <c r="E58" s="40">
        <f>IF(4378.35985="","-",4378.35985/1534061.00855*100)</f>
        <v>0.28540976047220196</v>
      </c>
      <c r="F58" s="40">
        <f>IF(OR(1071013.38714="",845.63041="",2350.03172=""),"-",(2350.03172-845.63041)/1071013.38714*100)</f>
        <v>0.14046521995558856</v>
      </c>
      <c r="G58" s="40">
        <f>IF(OR(1219791.03674="",4378.35985="",2350.03172=""),"-",(4378.35985-2350.03172)/1219791.03674*100)</f>
        <v>0.16628488559982268</v>
      </c>
    </row>
    <row r="59" spans="1:7" s="18" customFormat="1" ht="15.75">
      <c r="A59" s="26" t="s">
        <v>109</v>
      </c>
      <c r="B59" s="40">
        <f>IF(3306.9327="","-",3306.9327)</f>
        <v>3306.9327</v>
      </c>
      <c r="C59" s="40">
        <f>IF(OR(4365.13506="",3306.9327=""),"-",3306.9327/4365.13506*100)</f>
        <v>75.75785524491882</v>
      </c>
      <c r="D59" s="40">
        <f>IF(4365.13506="","-",4365.13506/1219791.03674*100)</f>
        <v>0.3578592503570293</v>
      </c>
      <c r="E59" s="40">
        <f>IF(3306.9327="","-",3306.9327/1534061.00855*100)</f>
        <v>0.21556722200544845</v>
      </c>
      <c r="F59" s="40">
        <f>IF(OR(1071013.38714="",4494.41021="",4365.13506=""),"-",(4365.13506-4494.41021)/1071013.38714*100)</f>
        <v>-0.012070357994797117</v>
      </c>
      <c r="G59" s="40">
        <f>IF(OR(1219791.03674="",3306.9327="",4365.13506=""),"-",(3306.9327-4365.13506)/1219791.03674*100)</f>
        <v>-0.08675275749099942</v>
      </c>
    </row>
    <row r="60" spans="1:7" s="11" customFormat="1" ht="15.75">
      <c r="A60" s="26" t="s">
        <v>114</v>
      </c>
      <c r="B60" s="40">
        <f>IF(2852.64542="","-",2852.64542)</f>
        <v>2852.64542</v>
      </c>
      <c r="C60" s="40">
        <f>IF(OR(1974.39333="",2852.64542=""),"-",2852.64542/1974.39333*100)</f>
        <v>144.48212403553853</v>
      </c>
      <c r="D60" s="40">
        <f>IF(1974.39333="","-",1974.39333/1219791.03674*100)</f>
        <v>0.16186324300896177</v>
      </c>
      <c r="E60" s="40">
        <f>IF(2852.64542="","-",2852.64542/1534061.00855*100)</f>
        <v>0.1859538443452344</v>
      </c>
      <c r="F60" s="40">
        <f>IF(OR(1071013.38714="",2686.07565="",1974.39333=""),"-",(1974.39333-2686.07565)/1071013.38714*100)</f>
        <v>-0.0664494327097492</v>
      </c>
      <c r="G60" s="40">
        <f>IF(OR(1219791.03674="",2852.64542="",1974.39333=""),"-",(2852.64542-1974.39333)/1219791.03674*100)</f>
        <v>0.07200020852319153</v>
      </c>
    </row>
    <row r="61" spans="1:7" s="18" customFormat="1" ht="15.75">
      <c r="A61" s="26" t="s">
        <v>117</v>
      </c>
      <c r="B61" s="40">
        <f>IF(2437.9838="","-",2437.9838)</f>
        <v>2437.9838</v>
      </c>
      <c r="C61" s="40">
        <f>IF(OR(2851.53314="",2437.9838=""),"-",2437.9838/2851.53314*100)</f>
        <v>85.49729848133555</v>
      </c>
      <c r="D61" s="40">
        <f>IF(2851.53314="","-",2851.53314/1219791.03674*100)</f>
        <v>0.23377226542186902</v>
      </c>
      <c r="E61" s="40">
        <f>IF(2437.9838="","-",2437.9838/1534061.00855*100)</f>
        <v>0.1589235230158409</v>
      </c>
      <c r="F61" s="40">
        <f>IF(OR(1071013.38714="",1661.52578="",2851.53314=""),"-",(2851.53314-1661.52578)/1071013.38714*100)</f>
        <v>0.11111040947655731</v>
      </c>
      <c r="G61" s="40">
        <f>IF(OR(1219791.03674="",2437.9838="",2851.53314=""),"-",(2437.9838-2851.53314)/1219791.03674*100)</f>
        <v>-0.03390329388755368</v>
      </c>
    </row>
    <row r="62" spans="1:7" s="11" customFormat="1" ht="15.75">
      <c r="A62" s="26" t="s">
        <v>112</v>
      </c>
      <c r="B62" s="40">
        <f>IF(2412.19793="","-",2412.19793)</f>
        <v>2412.19793</v>
      </c>
      <c r="C62" s="40" t="s">
        <v>283</v>
      </c>
      <c r="D62" s="40">
        <f>IF(459.50868="","-",459.50868/1219791.03674*100)</f>
        <v>0.037671098258606484</v>
      </c>
      <c r="E62" s="40">
        <f>IF(2412.19793="","-",2412.19793/1534061.00855*100)</f>
        <v>0.15724263354297874</v>
      </c>
      <c r="F62" s="40">
        <f>IF(OR(1071013.38714="",1971.79983="",459.50868=""),"-",(459.50868-1971.79983)/1071013.38714*100)</f>
        <v>-0.1412018904860166</v>
      </c>
      <c r="G62" s="40">
        <f>IF(OR(1219791.03674="",2412.19793="",459.50868=""),"-",(2412.19793-459.50868)/1219791.03674*100)</f>
        <v>0.16008391529246974</v>
      </c>
    </row>
    <row r="63" spans="1:7" s="11" customFormat="1" ht="15.75">
      <c r="A63" s="26" t="s">
        <v>110</v>
      </c>
      <c r="B63" s="40">
        <f>IF(1957.46614="","-",1957.46614)</f>
        <v>1957.46614</v>
      </c>
      <c r="C63" s="40">
        <f>IF(OR(1912.7019="",1957.46614=""),"-",1957.46614/1912.7019*100)</f>
        <v>102.34036678689972</v>
      </c>
      <c r="D63" s="40">
        <f>IF(1912.7019="","-",1912.7019/1219791.03674*100)</f>
        <v>0.156805702156319</v>
      </c>
      <c r="E63" s="40">
        <f>IF(1957.46614="","-",1957.46614/1534061.00855*100)</f>
        <v>0.1276002798513342</v>
      </c>
      <c r="F63" s="40">
        <f>IF(OR(1071013.38714="",4304.43164="",1912.7019=""),"-",(1912.7019-4304.43164)/1071013.38714*100)</f>
        <v>-0.22331464468308826</v>
      </c>
      <c r="G63" s="40">
        <f>IF(OR(1219791.03674="",1957.46614="",1912.7019=""),"-",(1957.46614-1912.7019)/1219791.03674*100)</f>
        <v>0.003669828573231394</v>
      </c>
    </row>
    <row r="64" spans="1:7" s="18" customFormat="1" ht="15.75">
      <c r="A64" s="26" t="s">
        <v>194</v>
      </c>
      <c r="B64" s="40">
        <f>IF(1814.36371="","-",1814.36371)</f>
        <v>1814.36371</v>
      </c>
      <c r="C64" s="40">
        <f>IF(OR(3580.22734="",1814.36371=""),"-",1814.36371/3580.22734*100)</f>
        <v>50.677332406494614</v>
      </c>
      <c r="D64" s="40">
        <f>IF(3580.22734="","-",3580.22734/1219791.03674*100)</f>
        <v>0.2935115304313496</v>
      </c>
      <c r="E64" s="40">
        <f>IF(1814.36371="","-",1814.36371/1534061.00855*100)</f>
        <v>0.11827193963523937</v>
      </c>
      <c r="F64" s="40">
        <f>IF(OR(1071013.38714="",3259.28604="",3580.22734=""),"-",(3580.22734-3259.28604)/1071013.38714*100)</f>
        <v>0.029966133369913456</v>
      </c>
      <c r="G64" s="40">
        <f>IF(OR(1219791.03674="",1814.36371="",3580.22734=""),"-",(1814.36371-3580.22734)/1219791.03674*100)</f>
        <v>-0.14476771650326498</v>
      </c>
    </row>
    <row r="65" spans="1:7" s="20" customFormat="1" ht="15.75">
      <c r="A65" s="26" t="s">
        <v>191</v>
      </c>
      <c r="B65" s="40">
        <f>IF(1739.08352="","-",1739.08352)</f>
        <v>1739.08352</v>
      </c>
      <c r="C65" s="40" t="str">
        <f>IF(OR(""="",1739.08352=""),"-",1739.08352/""*100)</f>
        <v>-</v>
      </c>
      <c r="D65" s="40" t="str">
        <f>IF(""="","-",""/1219791.03674*100)</f>
        <v>-</v>
      </c>
      <c r="E65" s="40">
        <f>IF(1739.08352="","-",1739.08352/1534061.00855*100)</f>
        <v>0.1133646908634871</v>
      </c>
      <c r="F65" s="40" t="str">
        <f>IF(OR(1071013.38714="",""="",""=""),"-",(""-"")/1071013.38714*100)</f>
        <v>-</v>
      </c>
      <c r="G65" s="40" t="str">
        <f>IF(OR(1219791.03674="",1739.08352="",""=""),"-",(1739.08352-"")/1219791.03674*100)</f>
        <v>-</v>
      </c>
    </row>
    <row r="66" spans="1:7" s="11" customFormat="1" ht="15.75">
      <c r="A66" s="26" t="s">
        <v>178</v>
      </c>
      <c r="B66" s="40">
        <f>IF(1732.39958="","-",1732.39958)</f>
        <v>1732.39958</v>
      </c>
      <c r="C66" s="40" t="str">
        <f>IF(OR(""="",1732.39958=""),"-",1732.39958/""*100)</f>
        <v>-</v>
      </c>
      <c r="D66" s="40" t="str">
        <f>IF(""="","-",""/1219791.03674*100)</f>
        <v>-</v>
      </c>
      <c r="E66" s="40">
        <f>IF(1732.39958="","-",1732.39958/1534061.00855*100)</f>
        <v>0.11292898850466648</v>
      </c>
      <c r="F66" s="40" t="str">
        <f>IF(OR(1071013.38714="",""="",""=""),"-",(""-"")/1071013.38714*100)</f>
        <v>-</v>
      </c>
      <c r="G66" s="40" t="str">
        <f>IF(OR(1219791.03674="",1732.39958="",""=""),"-",(1732.39958-"")/1219791.03674*100)</f>
        <v>-</v>
      </c>
    </row>
    <row r="67" spans="1:7" s="11" customFormat="1" ht="15.75">
      <c r="A67" s="26" t="s">
        <v>120</v>
      </c>
      <c r="B67" s="40">
        <f>IF(1719.58758="","-",1719.58758)</f>
        <v>1719.58758</v>
      </c>
      <c r="C67" s="40" t="str">
        <f>IF(OR(""="",1719.58758=""),"-",1719.58758/""*100)</f>
        <v>-</v>
      </c>
      <c r="D67" s="40" t="str">
        <f>IF(""="","-",""/1219791.03674*100)</f>
        <v>-</v>
      </c>
      <c r="E67" s="40">
        <f>IF(1719.58758="","-",1719.58758/1534061.00855*100)</f>
        <v>0.11209381963402879</v>
      </c>
      <c r="F67" s="40" t="str">
        <f>IF(OR(1071013.38714="",724.43682="",""=""),"-",(""-724.43682)/1071013.38714*100)</f>
        <v>-</v>
      </c>
      <c r="G67" s="40" t="str">
        <f>IF(OR(1219791.03674="",1719.58758="",""=""),"-",(1719.58758-"")/1219791.03674*100)</f>
        <v>-</v>
      </c>
    </row>
    <row r="68" spans="1:7" s="11" customFormat="1" ht="15.75">
      <c r="A68" s="26" t="s">
        <v>113</v>
      </c>
      <c r="B68" s="40">
        <f>IF(1273.53666="","-",1273.53666)</f>
        <v>1273.53666</v>
      </c>
      <c r="C68" s="40">
        <f>IF(OR(2621.88902="",1273.53666=""),"-",1273.53666/2621.88902*100)</f>
        <v>48.57324815373001</v>
      </c>
      <c r="D68" s="40">
        <f>IF(2621.88902="","-",2621.88902/1219791.03674*100)</f>
        <v>0.21494575226648918</v>
      </c>
      <c r="E68" s="40">
        <f>IF(1273.53666="","-",1273.53666/1534061.00855*100)</f>
        <v>0.08301734109021854</v>
      </c>
      <c r="F68" s="40">
        <f>IF(OR(1071013.38714="",1871.12252="",2621.88902=""),"-",(2621.88902-1871.12252)/1071013.38714*100)</f>
        <v>0.0700987036217001</v>
      </c>
      <c r="G68" s="40">
        <f>IF(OR(1219791.03674="",1273.53666="",2621.88902=""),"-",(1273.53666-2621.88902)/1219791.03674*100)</f>
        <v>-0.11053961862218563</v>
      </c>
    </row>
    <row r="69" spans="1:7" s="11" customFormat="1" ht="15.75">
      <c r="A69" s="26" t="s">
        <v>136</v>
      </c>
      <c r="B69" s="40">
        <f>IF(1091.21396="","-",1091.21396)</f>
        <v>1091.21396</v>
      </c>
      <c r="C69" s="40" t="s">
        <v>296</v>
      </c>
      <c r="D69" s="40">
        <f>IF(344.43468="","-",344.43468/1219791.03674*100)</f>
        <v>0.028237187323538002</v>
      </c>
      <c r="E69" s="40">
        <f>IF(1091.21396="","-",1091.21396/1534061.00855*100)</f>
        <v>0.071132370480586</v>
      </c>
      <c r="F69" s="40">
        <f>IF(OR(1071013.38714="",31.53433="",344.43468=""),"-",(344.43468-31.53433)/1071013.38714*100)</f>
        <v>0.029215353772146502</v>
      </c>
      <c r="G69" s="40">
        <f>IF(OR(1219791.03674="",1091.21396="",344.43468=""),"-",(1091.21396-344.43468)/1219791.03674*100)</f>
        <v>0.06122190256421576</v>
      </c>
    </row>
    <row r="70" spans="1:7" s="11" customFormat="1" ht="15.75">
      <c r="A70" s="26" t="s">
        <v>125</v>
      </c>
      <c r="B70" s="40">
        <f>IF(1036.95165="","-",1036.95165)</f>
        <v>1036.95165</v>
      </c>
      <c r="C70" s="40">
        <f>IF(OR(694.77861="",1036.95165=""),"-",1036.95165/694.77861*100)</f>
        <v>149.24921911456084</v>
      </c>
      <c r="D70" s="40">
        <f>IF(694.77861="","-",694.77861/1219791.03674*100)</f>
        <v>0.05695882237804088</v>
      </c>
      <c r="E70" s="40">
        <f>IF(1036.95165="","-",1036.95165/1534061.00855*100)</f>
        <v>0.06759520281270498</v>
      </c>
      <c r="F70" s="40">
        <f>IF(OR(1071013.38714="",565.61839="",694.77861=""),"-",(694.77861-565.61839)/1071013.38714*100)</f>
        <v>0.012059627036493475</v>
      </c>
      <c r="G70" s="40">
        <f>IF(OR(1219791.03674="",1036.95165="",694.77861=""),"-",(1036.95165-694.77861)/1219791.03674*100)</f>
        <v>0.02805177523803486</v>
      </c>
    </row>
    <row r="71" spans="1:7" s="11" customFormat="1" ht="15.75">
      <c r="A71" s="26" t="s">
        <v>119</v>
      </c>
      <c r="B71" s="40">
        <f>IF(1023.65573="","-",1023.65573)</f>
        <v>1023.65573</v>
      </c>
      <c r="C71" s="40" t="s">
        <v>162</v>
      </c>
      <c r="D71" s="40">
        <f>IF(540.56731="","-",540.56731/1219791.03674*100)</f>
        <v>0.044316386472613725</v>
      </c>
      <c r="E71" s="40">
        <f>IF(1023.65573="","-",1023.65573/1534061.00855*100)</f>
        <v>0.06672848891241705</v>
      </c>
      <c r="F71" s="40">
        <f>IF(OR(1071013.38714="",901.39701="",540.56731=""),"-",(540.56731-901.39701)/1071013.38714*100)</f>
        <v>-0.03369049391283036</v>
      </c>
      <c r="G71" s="40">
        <f>IF(OR(1219791.03674="",1023.65573="",540.56731=""),"-",(1023.65573-540.56731)/1219791.03674*100)</f>
        <v>0.039604194935806115</v>
      </c>
    </row>
    <row r="72" spans="1:7" s="11" customFormat="1" ht="15.75">
      <c r="A72" s="26" t="s">
        <v>164</v>
      </c>
      <c r="B72" s="40">
        <f>IF(1021.77666="","-",1021.77666)</f>
        <v>1021.77666</v>
      </c>
      <c r="C72" s="40">
        <f>IF(OR(982.28066="",1021.77666=""),"-",1021.77666/982.28066*100)</f>
        <v>104.0208467506629</v>
      </c>
      <c r="D72" s="40">
        <f>IF(982.28066="","-",982.28066/1219791.03674*100)</f>
        <v>0.08052860124511428</v>
      </c>
      <c r="E72" s="40">
        <f>IF(1021.77666="","-",1021.77666/1534061.00855*100)</f>
        <v>0.06660599899907416</v>
      </c>
      <c r="F72" s="40">
        <f>IF(OR(1071013.38714="",89.08942="",982.28066=""),"-",(982.28066-89.08942)/1071013.38714*100)</f>
        <v>0.08339683245091356</v>
      </c>
      <c r="G72" s="40">
        <f>IF(OR(1219791.03674="",1021.77666="",982.28066=""),"-",(1021.77666-982.28066)/1219791.03674*100)</f>
        <v>0.0032379316465184524</v>
      </c>
    </row>
    <row r="73" spans="1:7" s="11" customFormat="1" ht="15.75">
      <c r="A73" s="26" t="s">
        <v>133</v>
      </c>
      <c r="B73" s="40">
        <f>IF(1015.42984="","-",1015.42984)</f>
        <v>1015.42984</v>
      </c>
      <c r="C73" s="40" t="s">
        <v>284</v>
      </c>
      <c r="D73" s="40">
        <f>IF(200.16525="","-",200.16525/1219791.03674*100)</f>
        <v>0.016409798397515645</v>
      </c>
      <c r="E73" s="40">
        <f>IF(1015.42984="","-",1015.42984/1534061.00855*100)</f>
        <v>0.06619227229820462</v>
      </c>
      <c r="F73" s="40">
        <f>IF(OR(1071013.38714="",178.54441="",200.16525=""),"-",(200.16525-178.54441)/1071013.38714*100)</f>
        <v>0.0020187273342806285</v>
      </c>
      <c r="G73" s="40">
        <f>IF(OR(1219791.03674="",1015.42984="",200.16525=""),"-",(1015.42984-200.16525)/1219791.03674*100)</f>
        <v>0.0668364142254125</v>
      </c>
    </row>
    <row r="74" spans="1:7" s="11" customFormat="1" ht="15.75">
      <c r="A74" s="26" t="s">
        <v>126</v>
      </c>
      <c r="B74" s="40">
        <f>IF(897.49674="","-",897.49674)</f>
        <v>897.49674</v>
      </c>
      <c r="C74" s="40" t="s">
        <v>171</v>
      </c>
      <c r="D74" s="40">
        <f>IF(310.46381="","-",310.46381/1219791.03674*100)</f>
        <v>0.025452212768323185</v>
      </c>
      <c r="E74" s="40">
        <f>IF(897.49674="","-",897.49674/1534061.00855*100)</f>
        <v>0.05850463149756458</v>
      </c>
      <c r="F74" s="40">
        <f>IF(OR(1071013.38714="",467.85966="",310.46381=""),"-",(310.46381-467.85966)/1071013.38714*100)</f>
        <v>-0.014695974101715465</v>
      </c>
      <c r="G74" s="40">
        <f>IF(OR(1219791.03674="",897.49674="",310.46381=""),"-",(897.49674-310.46381)/1219791.03674*100)</f>
        <v>0.048125696313435606</v>
      </c>
    </row>
    <row r="75" spans="1:7" ht="15.75">
      <c r="A75" s="26" t="s">
        <v>277</v>
      </c>
      <c r="B75" s="40">
        <f>IF(753.24939="","-",753.24939)</f>
        <v>753.24939</v>
      </c>
      <c r="C75" s="40">
        <f>IF(OR(714.38061="",753.24939=""),"-",753.24939/714.38061*100)</f>
        <v>105.44090635382726</v>
      </c>
      <c r="D75" s="40">
        <f>IF(714.38061="","-",714.38061/1219791.03674*100)</f>
        <v>0.05856581893807367</v>
      </c>
      <c r="E75" s="40">
        <f>IF(753.24939="","-",753.24939/1534061.00855*100)</f>
        <v>0.049101658004590966</v>
      </c>
      <c r="F75" s="40">
        <f>IF(OR(1071013.38714="",550.14211="",714.38061=""),"-",(714.38061-550.14211)/1071013.38714*100)</f>
        <v>0.015334869010234998</v>
      </c>
      <c r="G75" s="40">
        <f>IF(OR(1219791.03674="",753.24939="",714.38061=""),"-",(753.24939-714.38061)/1219791.03674*100)</f>
        <v>0.003186511363772616</v>
      </c>
    </row>
    <row r="76" spans="1:7" ht="15.75">
      <c r="A76" s="26" t="s">
        <v>170</v>
      </c>
      <c r="B76" s="40">
        <f>IF(545.57265="","-",545.57265)</f>
        <v>545.57265</v>
      </c>
      <c r="C76" s="40" t="s">
        <v>158</v>
      </c>
      <c r="D76" s="40">
        <f>IF(175.37435="","-",175.37435/1219791.03674*100)</f>
        <v>0.01437740930353969</v>
      </c>
      <c r="E76" s="40">
        <f>IF(545.57265="","-",545.57265/1534061.00855*100)</f>
        <v>0.035563947389268255</v>
      </c>
      <c r="F76" s="40">
        <f>IF(OR(1071013.38714="",42.39684="",175.37435=""),"-",(175.37435-42.39684)/1071013.38714*100)</f>
        <v>0.012416045550569531</v>
      </c>
      <c r="G76" s="40">
        <f>IF(OR(1219791.03674="",545.57265="",175.37435=""),"-",(545.57265-175.37435)/1219791.03674*100)</f>
        <v>0.03034932122385387</v>
      </c>
    </row>
    <row r="77" spans="1:7" ht="15.75">
      <c r="A77" s="26" t="s">
        <v>87</v>
      </c>
      <c r="B77" s="40">
        <f>IF(531.03305="","-",531.03305)</f>
        <v>531.03305</v>
      </c>
      <c r="C77" s="40" t="s">
        <v>285</v>
      </c>
      <c r="D77" s="40">
        <f>IF(15.36018="","-",15.36018/1219791.03674*100)</f>
        <v>0.0012592468330519502</v>
      </c>
      <c r="E77" s="40">
        <f>IF(531.03305="","-",531.03305/1534061.00855*100)</f>
        <v>0.03461616239773504</v>
      </c>
      <c r="F77" s="40">
        <f>IF(OR(1071013.38714="",55.05138="",15.36018=""),"-",(15.36018-55.05138)/1071013.38714*100)</f>
        <v>-0.0037059480746538674</v>
      </c>
      <c r="G77" s="40">
        <f>IF(OR(1219791.03674="",531.03305="",15.36018=""),"-",(531.03305-15.36018)/1219791.03674*100)</f>
        <v>0.04227550903949759</v>
      </c>
    </row>
    <row r="78" spans="1:7" ht="15.75">
      <c r="A78" s="26" t="s">
        <v>111</v>
      </c>
      <c r="B78" s="40">
        <f>IF(491.5651="","-",491.5651)</f>
        <v>491.5651</v>
      </c>
      <c r="C78" s="40" t="s">
        <v>201</v>
      </c>
      <c r="D78" s="40">
        <f>IF(183.27403="","-",183.27403/1219791.03674*100)</f>
        <v>0.01502503498384577</v>
      </c>
      <c r="E78" s="40">
        <f>IF(491.5651="","-",491.5651/1534061.00855*100)</f>
        <v>0.03204338662284553</v>
      </c>
      <c r="F78" s="40">
        <f>IF(OR(1071013.38714="",2149.98483="",183.27403=""),"-",(183.27403-2149.98483)/1071013.38714*100)</f>
        <v>-0.18363083259415103</v>
      </c>
      <c r="G78" s="40">
        <f>IF(OR(1219791.03674="",491.5651="",183.27403=""),"-",(491.5651-183.27403)/1219791.03674*100)</f>
        <v>0.02527408881638738</v>
      </c>
    </row>
    <row r="79" spans="1:7" ht="15.75">
      <c r="A79" s="26" t="s">
        <v>121</v>
      </c>
      <c r="B79" s="40">
        <f>IF(485.95273="","-",485.95273)</f>
        <v>485.95273</v>
      </c>
      <c r="C79" s="40">
        <f>IF(OR(963.394="",485.95273=""),"-",485.95273/963.394*100)</f>
        <v>50.44174346113843</v>
      </c>
      <c r="D79" s="40">
        <f>IF(963.394="","-",963.394/1219791.03674*100)</f>
        <v>0.07898024915601579</v>
      </c>
      <c r="E79" s="40">
        <f>IF(485.95273="","-",485.95273/1534061.00855*100)</f>
        <v>0.031677536114376854</v>
      </c>
      <c r="F79" s="40">
        <f>IF(OR(1071013.38714="",448.55192="",963.394=""),"-",(963.394-448.55192)/1071013.38714*100)</f>
        <v>0.048070555063258164</v>
      </c>
      <c r="G79" s="40">
        <f>IF(OR(1219791.03674="",485.95273="",963.394=""),"-",(485.95273-963.394)/1219791.03674*100)</f>
        <v>-0.03914123449177036</v>
      </c>
    </row>
    <row r="80" spans="1:7" ht="15.75">
      <c r="A80" s="26" t="s">
        <v>203</v>
      </c>
      <c r="B80" s="40">
        <f>IF(477.81456="","-",477.81456)</f>
        <v>477.81456</v>
      </c>
      <c r="C80" s="40" t="s">
        <v>240</v>
      </c>
      <c r="D80" s="40">
        <f>IF(0.53598="","-",0.53598/1219791.03674*100)</f>
        <v>4.3940313041851355E-05</v>
      </c>
      <c r="E80" s="40">
        <f>IF(477.81456="","-",477.81456/1534061.00855*100)</f>
        <v>0.03114703765605985</v>
      </c>
      <c r="F80" s="40">
        <f>IF(OR(1071013.38714="",0.021="",0.53598=""),"-",(0.53598-0.021)/1071013.38714*100)</f>
        <v>4.808343258670054E-05</v>
      </c>
      <c r="G80" s="40">
        <f>IF(OR(1219791.03674="",477.81456="",0.53598=""),"-",(477.81456-0.53598)/1219791.03674*100)</f>
        <v>0.03912789696139836</v>
      </c>
    </row>
    <row r="81" spans="1:7" ht="15.75">
      <c r="A81" s="26" t="s">
        <v>157</v>
      </c>
      <c r="B81" s="40">
        <f>IF(452.00756="","-",452.00756)</f>
        <v>452.00756</v>
      </c>
      <c r="C81" s="40" t="s">
        <v>160</v>
      </c>
      <c r="D81" s="40">
        <f>IF(249.95917="","-",249.95917/1219791.03674*100)</f>
        <v>0.020491966449272994</v>
      </c>
      <c r="E81" s="40">
        <f>IF(452.00756="","-",452.00756/1534061.00855*100)</f>
        <v>0.02946477079338841</v>
      </c>
      <c r="F81" s="40">
        <f>IF(OR(1071013.38714="",263.56266="",249.95917=""),"-",(249.95917-263.56266)/1071013.38714*100)</f>
        <v>-0.0012701512570563024</v>
      </c>
      <c r="G81" s="40">
        <f>IF(OR(1219791.03674="",452.00756="",249.95917=""),"-",(452.00756-249.95917)/1219791.03674*100)</f>
        <v>0.016564180578010502</v>
      </c>
    </row>
    <row r="82" spans="1:7" ht="15.75">
      <c r="A82" s="26" t="s">
        <v>177</v>
      </c>
      <c r="B82" s="40">
        <f>IF(410.44875="","-",410.44875)</f>
        <v>410.44875</v>
      </c>
      <c r="C82" s="40" t="str">
        <f>IF(OR(""="",410.44875=""),"-",410.44875/""*100)</f>
        <v>-</v>
      </c>
      <c r="D82" s="40" t="str">
        <f>IF(""="","-",""/1219791.03674*100)</f>
        <v>-</v>
      </c>
      <c r="E82" s="40">
        <f>IF(410.44875="","-",410.44875/1534061.00855*100)</f>
        <v>0.02675569926569985</v>
      </c>
      <c r="F82" s="40" t="str">
        <f>IF(OR(1071013.38714="",338.67923="",""=""),"-",(""-338.67923)/1071013.38714*100)</f>
        <v>-</v>
      </c>
      <c r="G82" s="40" t="str">
        <f>IF(OR(1219791.03674="",410.44875="",""=""),"-",(410.44875-"")/1219791.03674*100)</f>
        <v>-</v>
      </c>
    </row>
    <row r="83" spans="1:7" ht="15.75">
      <c r="A83" s="26" t="s">
        <v>128</v>
      </c>
      <c r="B83" s="40">
        <f>IF(392.84264="","-",392.84264)</f>
        <v>392.84264</v>
      </c>
      <c r="C83" s="40">
        <f>IF(OR(258.1886="",392.84264=""),"-",392.84264/258.1886*100)</f>
        <v>152.1533638588226</v>
      </c>
      <c r="D83" s="40">
        <f>IF(258.1886="","-",258.1886/1219791.03674*100)</f>
        <v>0.021166625448407295</v>
      </c>
      <c r="E83" s="40">
        <f>IF(392.84264="","-",392.84264/1534061.00855*100)</f>
        <v>0.025608019355847937</v>
      </c>
      <c r="F83" s="40">
        <f>IF(OR(1071013.38714="",235.90731="",258.1886=""),"-",(258.1886-235.90731)/1071013.38714*100)</f>
        <v>0.002080393230144327</v>
      </c>
      <c r="G83" s="40">
        <f>IF(OR(1219791.03674="",392.84264="",258.1886=""),"-",(392.84264-258.1886)/1219791.03674*100)</f>
        <v>0.011039107186741995</v>
      </c>
    </row>
    <row r="84" spans="1:7" ht="15.75">
      <c r="A84" s="26" t="s">
        <v>147</v>
      </c>
      <c r="B84" s="40">
        <f>IF(323.36257="","-",323.36257)</f>
        <v>323.36257</v>
      </c>
      <c r="C84" s="40" t="s">
        <v>145</v>
      </c>
      <c r="D84" s="40">
        <f>IF(150.64701="","-",150.64701/1219791.03674*100)</f>
        <v>0.012350230938129987</v>
      </c>
      <c r="E84" s="40">
        <f>IF(323.36257="","-",323.36257/1534061.00855*100)</f>
        <v>0.02107885984962511</v>
      </c>
      <c r="F84" s="40">
        <f>IF(OR(1071013.38714="",87.14143="",150.64701=""),"-",(150.64701-87.14143)/1071013.38714*100)</f>
        <v>0.005929485173811251</v>
      </c>
      <c r="G84" s="40">
        <f>IF(OR(1219791.03674="",323.36257="",150.64701=""),"-",(323.36257-150.64701)/1219791.03674*100)</f>
        <v>0.014159438362622973</v>
      </c>
    </row>
    <row r="85" spans="1:7" ht="15.75">
      <c r="A85" s="26" t="s">
        <v>135</v>
      </c>
      <c r="B85" s="40">
        <f>IF(318.69283="","-",318.69283)</f>
        <v>318.69283</v>
      </c>
      <c r="C85" s="40" t="s">
        <v>216</v>
      </c>
      <c r="D85" s="40">
        <f>IF(9.42962="","-",9.42962/1219791.03674*100)</f>
        <v>0.0007730520815435321</v>
      </c>
      <c r="E85" s="40">
        <f>IF(318.69283="","-",318.69283/1534061.00855*100)</f>
        <v>0.020774456049908317</v>
      </c>
      <c r="F85" s="40">
        <f>IF(OR(1071013.38714="",23.9276="",9.42962=""),"-",(9.42962-23.9276)/1071013.38714*100)</f>
        <v>-0.0013536693540978928</v>
      </c>
      <c r="G85" s="40">
        <f>IF(OR(1219791.03674="",318.69283="",9.42962=""),"-",(318.69283-9.42962)/1219791.03674*100)</f>
        <v>0.025353786073599418</v>
      </c>
    </row>
    <row r="86" spans="1:7" ht="15.75">
      <c r="A86" s="26" t="s">
        <v>195</v>
      </c>
      <c r="B86" s="40">
        <f>IF(317.23657="","-",317.23657)</f>
        <v>317.23657</v>
      </c>
      <c r="C86" s="40" t="str">
        <f>IF(OR(""="",317.23657=""),"-",317.23657/""*100)</f>
        <v>-</v>
      </c>
      <c r="D86" s="40" t="str">
        <f>IF(""="","-",""/1219791.03674*100)</f>
        <v>-</v>
      </c>
      <c r="E86" s="40">
        <f>IF(317.23657="","-",317.23657/1534061.00855*100)</f>
        <v>0.020679527621906845</v>
      </c>
      <c r="F86" s="40" t="str">
        <f>IF(OR(1071013.38714="",""="",""=""),"-",(""-"")/1071013.38714*100)</f>
        <v>-</v>
      </c>
      <c r="G86" s="40" t="str">
        <f>IF(OR(1219791.03674="",317.23657="",""=""),"-",(317.23657-"")/1219791.03674*100)</f>
        <v>-</v>
      </c>
    </row>
    <row r="87" spans="1:7" ht="15.75">
      <c r="A87" s="26" t="s">
        <v>123</v>
      </c>
      <c r="B87" s="40">
        <f>IF(309.72906="","-",309.72906)</f>
        <v>309.72906</v>
      </c>
      <c r="C87" s="40" t="str">
        <f>IF(OR(""="",309.72906=""),"-",309.72906/""*100)</f>
        <v>-</v>
      </c>
      <c r="D87" s="40" t="str">
        <f>IF(""="","-",""/1219791.03674*100)</f>
        <v>-</v>
      </c>
      <c r="E87" s="40">
        <f>IF(309.72906="","-",309.72906/1534061.00855*100)</f>
        <v>0.02019013965375191</v>
      </c>
      <c r="F87" s="40" t="str">
        <f>IF(OR(1071013.38714="",107.2116="",""=""),"-",(""-107.2116)/1071013.38714*100)</f>
        <v>-</v>
      </c>
      <c r="G87" s="40" t="str">
        <f>IF(OR(1219791.03674="",309.72906="",""=""),"-",(309.72906-"")/1219791.03674*100)</f>
        <v>-</v>
      </c>
    </row>
    <row r="88" spans="1:7" ht="15.75">
      <c r="A88" s="26" t="s">
        <v>192</v>
      </c>
      <c r="B88" s="40">
        <f>IF(294.76208="","-",294.76208)</f>
        <v>294.76208</v>
      </c>
      <c r="C88" s="40" t="s">
        <v>148</v>
      </c>
      <c r="D88" s="40">
        <f>IF(116.8245="","-",116.8245/1219791.03674*100)</f>
        <v>0.009577419121903361</v>
      </c>
      <c r="E88" s="40">
        <f>IF(294.76208="","-",294.76208/1534061.00855*100)</f>
        <v>0.019214495274774646</v>
      </c>
      <c r="F88" s="40">
        <f>IF(OR(1071013.38714="",141.48989="",116.8245=""),"-",(116.8245-141.48989)/1071013.38714*100)</f>
        <v>-0.0023029954897077127</v>
      </c>
      <c r="G88" s="40">
        <f>IF(OR(1219791.03674="",294.76208="",116.8245=""),"-",(294.76208-116.8245)/1219791.03674*100)</f>
        <v>0.01458754611573094</v>
      </c>
    </row>
    <row r="89" spans="1:7" ht="15.75">
      <c r="A89" s="26" t="s">
        <v>127</v>
      </c>
      <c r="B89" s="40">
        <f>IF(285.83499="","-",285.83499)</f>
        <v>285.83499</v>
      </c>
      <c r="C89" s="40" t="s">
        <v>286</v>
      </c>
      <c r="D89" s="40">
        <f>IF(33.43499="","-",33.43499/1219791.03674*100)</f>
        <v>0.0027410424402984617</v>
      </c>
      <c r="E89" s="40">
        <f>IF(285.83499="","-",285.83499/1534061.00855*100)</f>
        <v>0.018632569917813913</v>
      </c>
      <c r="F89" s="40">
        <f>IF(OR(1071013.38714="",334.09223="",33.43499=""),"-",(33.43499-334.09223)/1071013.38714*100)</f>
        <v>-0.02807222053525078</v>
      </c>
      <c r="G89" s="40">
        <f>IF(OR(1219791.03674="",285.83499="",33.43499=""),"-",(285.83499-33.43499)/1219791.03674*100)</f>
        <v>0.020692068755855223</v>
      </c>
    </row>
    <row r="90" spans="1:7" ht="15.75">
      <c r="A90" s="26" t="s">
        <v>278</v>
      </c>
      <c r="B90" s="40">
        <f>IF(284.83325="","-",284.83325)</f>
        <v>284.83325</v>
      </c>
      <c r="C90" s="40" t="str">
        <f>IF(OR(""="",284.83325=""),"-",284.83325/""*100)</f>
        <v>-</v>
      </c>
      <c r="D90" s="40" t="str">
        <f>IF(""="","-",""/1219791.03674*100)</f>
        <v>-</v>
      </c>
      <c r="E90" s="40">
        <f>IF(284.83325="","-",284.83325/1534061.00855*100)</f>
        <v>0.018567270037664632</v>
      </c>
      <c r="F90" s="40" t="str">
        <f>IF(OR(1071013.38714="",""="",""=""),"-",(""-"")/1071013.38714*100)</f>
        <v>-</v>
      </c>
      <c r="G90" s="40" t="str">
        <f>IF(OR(1219791.03674="",284.83325="",""=""),"-",(284.83325-"")/1219791.03674*100)</f>
        <v>-</v>
      </c>
    </row>
    <row r="91" spans="1:7" ht="15.75">
      <c r="A91" s="26" t="s">
        <v>156</v>
      </c>
      <c r="B91" s="40">
        <f>IF(275.52119="","-",275.52119)</f>
        <v>275.52119</v>
      </c>
      <c r="C91" s="40">
        <f>IF(OR(502.8375="",275.52119=""),"-",275.52119/502.8375*100)</f>
        <v>54.7932861013747</v>
      </c>
      <c r="D91" s="40">
        <f>IF(502.8375="","-",502.8375/1219791.03674*100)</f>
        <v>0.041223249298820715</v>
      </c>
      <c r="E91" s="40">
        <f>IF(275.52119="","-",275.52119/1534061.00855*100)</f>
        <v>0.01796024985084678</v>
      </c>
      <c r="F91" s="40">
        <f>IF(OR(1071013.38714="",166.85426="",502.8375=""),"-",(502.8375-166.85426)/1071013.38714*100)</f>
        <v>0.031370592005128796</v>
      </c>
      <c r="G91" s="40">
        <f>IF(OR(1219791.03674="",275.52119="",502.8375=""),"-",(275.52119-502.8375)/1219791.03674*100)</f>
        <v>-0.018635676370234944</v>
      </c>
    </row>
    <row r="92" spans="1:7" ht="15.75">
      <c r="A92" s="26" t="s">
        <v>166</v>
      </c>
      <c r="B92" s="40">
        <f>IF(259.06681="","-",259.06681)</f>
        <v>259.06681</v>
      </c>
      <c r="C92" s="40" t="s">
        <v>19</v>
      </c>
      <c r="D92" s="40">
        <f>IF(126.93445="","-",126.93445/1219791.03674*100)</f>
        <v>0.010406245510644481</v>
      </c>
      <c r="E92" s="40">
        <f>IF(259.06681="","-",259.06681/1534061.00855*100)</f>
        <v>0.01688764713763704</v>
      </c>
      <c r="F92" s="40">
        <f>IF(OR(1071013.38714="",39.49098="",126.93445=""),"-",(126.93445-39.49098)/1071013.38714*100)</f>
        <v>0.008164554341706806</v>
      </c>
      <c r="G92" s="40">
        <f>IF(OR(1219791.03674="",259.06681="",126.93445=""),"-",(259.06681-126.93445)/1219791.03674*100)</f>
        <v>0.010832376695694982</v>
      </c>
    </row>
    <row r="93" spans="1:7" ht="15.75">
      <c r="A93" s="26" t="s">
        <v>85</v>
      </c>
      <c r="B93" s="40">
        <f>IF(203.31856="","-",203.31856)</f>
        <v>203.31856</v>
      </c>
      <c r="C93" s="40">
        <f>IF(OR(210.91391="",203.31856=""),"-",203.31856/210.91391*100)</f>
        <v>96.39883874894738</v>
      </c>
      <c r="D93" s="40">
        <f>IF(210.91391="","-",210.91391/1219791.03674*100)</f>
        <v>0.017290987033622265</v>
      </c>
      <c r="E93" s="40">
        <f>IF(203.31856="","-",203.31856/1534061.00855*100)</f>
        <v>0.013253616307748899</v>
      </c>
      <c r="F93" s="40">
        <f>IF(OR(1071013.38714="",256.88377="",210.91391=""),"-",(210.91391-256.88377)/1071013.38714*100)</f>
        <v>-0.00429218351068015</v>
      </c>
      <c r="G93" s="40">
        <f>IF(OR(1219791.03674="",203.31856="",210.91391=""),"-",(203.31856-210.91391)/1219791.03674*100)</f>
        <v>-0.0006226763249793379</v>
      </c>
    </row>
    <row r="94" spans="1:7" ht="15.75">
      <c r="A94" s="26" t="s">
        <v>165</v>
      </c>
      <c r="B94" s="40">
        <f>IF(203.26985="","-",203.26985)</f>
        <v>203.26985</v>
      </c>
      <c r="C94" s="40">
        <f>IF(OR(375.16786="",203.26985=""),"-",203.26985/375.16786*100)</f>
        <v>54.181040454798016</v>
      </c>
      <c r="D94" s="40">
        <f>IF(375.16786="","-",375.16786/1219791.03674*100)</f>
        <v>0.03075673198933069</v>
      </c>
      <c r="E94" s="40">
        <f>IF(203.26985="","-",203.26985/1534061.00855*100)</f>
        <v>0.013250441075490955</v>
      </c>
      <c r="F94" s="40">
        <f>IF(OR(1071013.38714="",128.71547="",375.16786=""),"-",(375.16786-128.71547)/1071013.38714*100)</f>
        <v>0.023011140006206514</v>
      </c>
      <c r="G94" s="40">
        <f>IF(OR(1219791.03674="",203.26985="",375.16786=""),"-",(203.26985-375.16786)/1219791.03674*100)</f>
        <v>-0.014092414587617627</v>
      </c>
    </row>
    <row r="95" spans="1:7" ht="15.75">
      <c r="A95" s="26" t="s">
        <v>86</v>
      </c>
      <c r="B95" s="40">
        <f>IF(194.23366="","-",194.23366)</f>
        <v>194.23366</v>
      </c>
      <c r="C95" s="40">
        <f>IF(OR(244.33876="",194.23366=""),"-",194.23366/244.33876*100)</f>
        <v>79.49359323915697</v>
      </c>
      <c r="D95" s="40">
        <f>IF(244.33876="","-",244.33876/1219791.03674*100)</f>
        <v>0.020031198183995277</v>
      </c>
      <c r="E95" s="40">
        <f>IF(194.23366="","-",194.23366/1534061.00855*100)</f>
        <v>0.012661403876211568</v>
      </c>
      <c r="F95" s="40">
        <f>IF(OR(1071013.38714="",218.34374="",244.33876=""),"-",(244.33876-218.34374)/1071013.38714*100)</f>
        <v>0.002427142397296852</v>
      </c>
      <c r="G95" s="40">
        <f>IF(OR(1219791.03674="",194.23366="",244.33876=""),"-",(194.23366-244.33876)/1219791.03674*100)</f>
        <v>-0.004107678978680673</v>
      </c>
    </row>
    <row r="96" spans="1:7" ht="15.75">
      <c r="A96" s="26" t="s">
        <v>193</v>
      </c>
      <c r="B96" s="40">
        <f>IF(193.27301="","-",193.27301)</f>
        <v>193.27301</v>
      </c>
      <c r="C96" s="40" t="s">
        <v>287</v>
      </c>
      <c r="D96" s="40">
        <f>IF(17.03616="","-",17.03616/1219791.03674*100)</f>
        <v>0.0013966457767660477</v>
      </c>
      <c r="E96" s="40">
        <f>IF(193.27301="","-",193.27301/1534061.00855*100)</f>
        <v>0.012598782507527675</v>
      </c>
      <c r="F96" s="40">
        <f>IF(OR(1071013.38714="",26.24="",17.03616=""),"-",(17.03616-26.24)/1071013.38714*100)</f>
        <v>-0.0008593580725052972</v>
      </c>
      <c r="G96" s="40">
        <f>IF(OR(1219791.03674="",193.27301="",17.03616=""),"-",(193.27301-17.03616)/1219791.03674*100)</f>
        <v>0.014448118135956194</v>
      </c>
    </row>
    <row r="97" spans="1:7" ht="15.75">
      <c r="A97" s="26" t="s">
        <v>122</v>
      </c>
      <c r="B97" s="40">
        <f>IF(188.42651="","-",188.42651)</f>
        <v>188.42651</v>
      </c>
      <c r="C97" s="40" t="s">
        <v>232</v>
      </c>
      <c r="D97" s="40">
        <f>IF(0.9474="","-",0.9474/1219791.03674*100)</f>
        <v>7.766904096393517E-05</v>
      </c>
      <c r="E97" s="40">
        <f>IF(188.42651="","-",188.42651/1534061.00855*100)</f>
        <v>0.01228285634989846</v>
      </c>
      <c r="F97" s="40">
        <f>IF(OR(1071013.38714="",895.52083="",0.9474=""),"-",(0.9474-895.52083)/1071013.38714*100)</f>
        <v>-0.08352588686018579</v>
      </c>
      <c r="G97" s="40">
        <f>IF(OR(1219791.03674="",188.42651="",0.9474=""),"-",(188.42651-0.9474)/1219791.03674*100)</f>
        <v>0.015369772719518797</v>
      </c>
    </row>
    <row r="98" spans="1:7" ht="15.75">
      <c r="A98" s="26" t="s">
        <v>138</v>
      </c>
      <c r="B98" s="40">
        <f>IF(142.6303="","-",142.6303)</f>
        <v>142.6303</v>
      </c>
      <c r="C98" s="40" t="str">
        <f>IF(OR(""="",142.6303=""),"-",142.6303/""*100)</f>
        <v>-</v>
      </c>
      <c r="D98" s="40" t="str">
        <f>IF(""="","-",""/1219791.03674*100)</f>
        <v>-</v>
      </c>
      <c r="E98" s="40">
        <f>IF(142.6303="","-",142.6303/1534061.00855*100)</f>
        <v>0.009297563734757503</v>
      </c>
      <c r="F98" s="40" t="str">
        <f>IF(OR(1071013.38714="",95.3742="",""=""),"-",(""-95.3742)/1071013.38714*100)</f>
        <v>-</v>
      </c>
      <c r="G98" s="40" t="str">
        <f>IF(OR(1219791.03674="",142.6303="",""=""),"-",(142.6303-"")/1219791.03674*100)</f>
        <v>-</v>
      </c>
    </row>
    <row r="99" spans="1:7" ht="15.75">
      <c r="A99" s="26" t="s">
        <v>298</v>
      </c>
      <c r="B99" s="40">
        <f>IF(134.90109="","-",134.90109)</f>
        <v>134.90109</v>
      </c>
      <c r="C99" s="40">
        <f>IF(OR(116.25016="",134.90109=""),"-",134.90109/116.25016*100)</f>
        <v>116.04378867091454</v>
      </c>
      <c r="D99" s="40">
        <f>IF(116.25016="","-",116.25016/1219791.03674*100)</f>
        <v>0.009530334007920643</v>
      </c>
      <c r="E99" s="40">
        <f>IF(134.90109="","-",134.90109/1534061.00855*100)</f>
        <v>0.008793723929370256</v>
      </c>
      <c r="F99" s="40">
        <f>IF(OR(1071013.38714="",0.2121="",116.25016=""),"-",(116.25016-0.2121)/1071013.38714*100)</f>
        <v>0.010834417327860328</v>
      </c>
      <c r="G99" s="40">
        <f>IF(OR(1219791.03674="",134.90109="",116.25016=""),"-",(134.90109-116.25016)/1219791.03674*100)</f>
        <v>0.001529026647863087</v>
      </c>
    </row>
    <row r="100" spans="1:7" ht="15.75">
      <c r="A100" s="26" t="s">
        <v>137</v>
      </c>
      <c r="B100" s="40">
        <f>IF(115.8512="","-",115.8512)</f>
        <v>115.8512</v>
      </c>
      <c r="C100" s="40">
        <f>IF(OR(123.46062="",115.8512=""),"-",115.8512/123.46062*100)</f>
        <v>93.83656100220459</v>
      </c>
      <c r="D100" s="40">
        <f>IF(123.46062="","-",123.46062/1219791.03674*100)</f>
        <v>0.010121456567672401</v>
      </c>
      <c r="E100" s="40">
        <f>IF(115.8512="","-",115.8512/1534061.00855*100)</f>
        <v>0.007551929118484212</v>
      </c>
      <c r="F100" s="40">
        <f>IF(OR(1071013.38714="",184.97003="",123.46062=""),"-",(123.46062-184.97003)/1071013.38714*100)</f>
        <v>-0.005743103750014999</v>
      </c>
      <c r="G100" s="40">
        <f>IF(OR(1219791.03674="",115.8512="",123.46062=""),"-",(115.8512-123.46062)/1219791.03674*100)</f>
        <v>-0.0006238298012368456</v>
      </c>
    </row>
    <row r="101" spans="1:7" ht="15.75">
      <c r="A101" s="26" t="s">
        <v>144</v>
      </c>
      <c r="B101" s="40">
        <f>IF(107.60842="","-",107.60842)</f>
        <v>107.60842</v>
      </c>
      <c r="C101" s="40">
        <f>IF(OR(305.79851="",107.60842=""),"-",107.60842/305.79851*100)</f>
        <v>35.189321229851636</v>
      </c>
      <c r="D101" s="40">
        <f>IF(305.79851="","-",305.79851/1219791.03674*100)</f>
        <v>0.025069745619485266</v>
      </c>
      <c r="E101" s="40">
        <f>IF(107.60842="","-",107.60842/1534061.00855*100)</f>
        <v>0.007014611505034722</v>
      </c>
      <c r="F101" s="40">
        <f>IF(OR(1071013.38714="",91.29833="",305.79851=""),"-",(305.79851-91.29833)/1071013.38714*100)</f>
        <v>0.020027777670715622</v>
      </c>
      <c r="G101" s="40">
        <f>IF(OR(1219791.03674="",107.60842="",305.79851=""),"-",(107.60842-305.79851)/1219791.03674*100)</f>
        <v>-0.016247872301937936</v>
      </c>
    </row>
    <row r="102" spans="1:7" ht="15.75">
      <c r="A102" s="26" t="s">
        <v>279</v>
      </c>
      <c r="B102" s="40">
        <f>IF(99.05="","-",99.05)</f>
        <v>99.05</v>
      </c>
      <c r="C102" s="40" t="s">
        <v>226</v>
      </c>
      <c r="D102" s="40">
        <f>IF(35.91411="","-",35.91411/1219791.03674*100)</f>
        <v>0.0029442838091337064</v>
      </c>
      <c r="E102" s="40">
        <f>IF(99.05="","-",99.05/1534061.00855*100)</f>
        <v>0.006456718438702932</v>
      </c>
      <c r="F102" s="40">
        <f>IF(OR(1071013.38714="",7.45036="",35.91411=""),"-",(35.91411-7.45036)/1071013.38714*100)</f>
        <v>0.002657646518873932</v>
      </c>
      <c r="G102" s="40">
        <f>IF(OR(1219791.03674="",99.05="",35.91411=""),"-",(99.05-35.91411)/1219791.03674*100)</f>
        <v>0.005175959496204882</v>
      </c>
    </row>
    <row r="103" spans="1:7" ht="15.75">
      <c r="A103" s="26" t="s">
        <v>213</v>
      </c>
      <c r="B103" s="40">
        <f>IF(95.45752="","-",95.45752)</f>
        <v>95.45752</v>
      </c>
      <c r="C103" s="40">
        <f>IF(OR(346.8895="",95.45752=""),"-",95.45752/346.8895*100)</f>
        <v>27.518134737430795</v>
      </c>
      <c r="D103" s="40">
        <f>IF(346.8895="","-",346.8895/1219791.03674*100)</f>
        <v>0.028438436547877338</v>
      </c>
      <c r="E103" s="40">
        <f>IF(95.45752="","-",95.45752/1534061.00855*100)</f>
        <v>0.006222537400271115</v>
      </c>
      <c r="F103" s="40">
        <f>IF(OR(1071013.38714="",85.7034="",346.8895=""),"-",(346.8895-85.7034)/1071013.38714*100)</f>
        <v>0.024386819355961837</v>
      </c>
      <c r="G103" s="40">
        <f>IF(OR(1219791.03674="",95.45752="",346.8895=""),"-",(95.45752-346.8895)/1219791.03674*100)</f>
        <v>-0.02061270926141369</v>
      </c>
    </row>
    <row r="104" spans="1:7" ht="15.75">
      <c r="A104" s="26" t="s">
        <v>159</v>
      </c>
      <c r="B104" s="40">
        <f>IF(93.57845="","-",93.57845)</f>
        <v>93.57845</v>
      </c>
      <c r="C104" s="40" t="s">
        <v>233</v>
      </c>
      <c r="D104" s="40">
        <f>IF(21.17261="","-",21.17261/1219791.03674*100)</f>
        <v>0.0017357571389100945</v>
      </c>
      <c r="E104" s="40">
        <f>IF(93.57845="","-",93.57845/1534061.00855*100)</f>
        <v>0.0061000474869282225</v>
      </c>
      <c r="F104" s="40">
        <f>IF(OR(1071013.38714="",290.68129="",21.17261=""),"-",(21.17261-290.68129)/1071013.38714*100)</f>
        <v>-0.025163894610102617</v>
      </c>
      <c r="G104" s="40">
        <f>IF(OR(1219791.03674="",93.57845="",21.17261=""),"-",(93.57845-21.17261)/1219791.03674*100)</f>
        <v>0.005935921630766452</v>
      </c>
    </row>
    <row r="105" spans="1:7" ht="15.75">
      <c r="A105" s="26" t="s">
        <v>141</v>
      </c>
      <c r="B105" s="40">
        <f>IF(89.93647="","-",89.93647)</f>
        <v>89.93647</v>
      </c>
      <c r="C105" s="40" t="s">
        <v>161</v>
      </c>
      <c r="D105" s="40">
        <f>IF(52.67591="","-",52.67591/1219791.03674*100)</f>
        <v>0.004318437208784634</v>
      </c>
      <c r="E105" s="40">
        <f>IF(89.93647="","-",89.93647/1534061.00855*100)</f>
        <v>0.0058626397189384455</v>
      </c>
      <c r="F105" s="40" t="str">
        <f>IF(OR(1071013.38714="",""="",52.67591=""),"-",(52.67591-"")/1071013.38714*100)</f>
        <v>-</v>
      </c>
      <c r="G105" s="40">
        <f>IF(OR(1219791.03674="",89.93647="",52.67591=""),"-",(89.93647-52.67591)/1219791.03674*100)</f>
        <v>0.0030546674698956767</v>
      </c>
    </row>
    <row r="106" spans="1:7" ht="15.75">
      <c r="A106" s="26" t="s">
        <v>204</v>
      </c>
      <c r="B106" s="40">
        <f>IF(77.69399="","-",77.69399)</f>
        <v>77.69399</v>
      </c>
      <c r="C106" s="40" t="s">
        <v>234</v>
      </c>
      <c r="D106" s="40">
        <f>IF(11.02792="","-",11.02792/1219791.03674*100)</f>
        <v>0.0009040827213711209</v>
      </c>
      <c r="E106" s="40">
        <f>IF(77.69399="","-",77.69399/1534061.00855*100)</f>
        <v>0.005064595838560335</v>
      </c>
      <c r="F106" s="40">
        <f>IF(OR(1071013.38714="",32.1769="",11.02792=""),"-",(11.02792-32.1769)/1071013.38714*100)</f>
        <v>-0.0019746699951599636</v>
      </c>
      <c r="G106" s="40">
        <f>IF(OR(1219791.03674="",77.69399="",11.02792=""),"-",(77.69399-11.02792)/1219791.03674*100)</f>
        <v>0.005465368082894838</v>
      </c>
    </row>
    <row r="107" spans="1:7" ht="15.75">
      <c r="A107" s="26" t="s">
        <v>235</v>
      </c>
      <c r="B107" s="40">
        <f>IF(75.77917="","-",75.77917)</f>
        <v>75.77917</v>
      </c>
      <c r="C107" s="40" t="str">
        <f>IF(OR(""="",75.77917=""),"-",75.77917/""*100)</f>
        <v>-</v>
      </c>
      <c r="D107" s="40" t="str">
        <f>IF(""="","-",""/1219791.03674*100)</f>
        <v>-</v>
      </c>
      <c r="E107" s="40">
        <f>IF(75.77917="","-",75.77917/1534061.00855*100)</f>
        <v>0.004939775509425583</v>
      </c>
      <c r="F107" s="40" t="str">
        <f>IF(OR(1071013.38714="",""="",""=""),"-",(""-"")/1071013.38714*100)</f>
        <v>-</v>
      </c>
      <c r="G107" s="40" t="str">
        <f>IF(OR(1219791.03674="",75.77917="",""=""),"-",(75.77917-"")/1219791.03674*100)</f>
        <v>-</v>
      </c>
    </row>
    <row r="108" spans="1:7" ht="15.75">
      <c r="A108" s="26" t="s">
        <v>179</v>
      </c>
      <c r="B108" s="40">
        <f>IF(74.18292="","-",74.18292)</f>
        <v>74.18292</v>
      </c>
      <c r="C108" s="40" t="str">
        <f>IF(OR(""="",74.18292=""),"-",74.18292/""*100)</f>
        <v>-</v>
      </c>
      <c r="D108" s="40" t="str">
        <f>IF(""="","-",""/1219791.03674*100)</f>
        <v>-</v>
      </c>
      <c r="E108" s="40">
        <f>IF(74.18292="","-",74.18292/1534061.00855*100)</f>
        <v>0.0048357216294883845</v>
      </c>
      <c r="F108" s="40" t="str">
        <f>IF(OR(1071013.38714="",""="",""=""),"-",(""-"")/1071013.38714*100)</f>
        <v>-</v>
      </c>
      <c r="G108" s="40" t="str">
        <f>IF(OR(1219791.03674="",74.18292="",""=""),"-",(74.18292-"")/1219791.03674*100)</f>
        <v>-</v>
      </c>
    </row>
    <row r="109" spans="1:7" ht="15.75">
      <c r="A109" s="26" t="s">
        <v>168</v>
      </c>
      <c r="B109" s="40">
        <f>IF(69.77432="","-",69.77432)</f>
        <v>69.77432</v>
      </c>
      <c r="C109" s="40">
        <f>IF(OR(1034.90358="",69.77432=""),"-",69.77432/1034.90358*100)</f>
        <v>6.742108284135997</v>
      </c>
      <c r="D109" s="40">
        <f>IF(1034.90358="","-",1034.90358/1219791.03674*100)</f>
        <v>0.08484269426719775</v>
      </c>
      <c r="E109" s="40">
        <f>IF(69.77432="","-",69.77432/1534061.00855*100)</f>
        <v>0.004548340620817352</v>
      </c>
      <c r="F109" s="40">
        <f>IF(OR(1071013.38714="",419.56893="",1034.90358=""),"-",(1034.90358-419.56893)/1071013.38714*100)</f>
        <v>0.05745349753686739</v>
      </c>
      <c r="G109" s="40">
        <f>IF(OR(1219791.03674="",69.77432="",1034.90358=""),"-",(69.77432-1034.90358)/1219791.03674*100)</f>
        <v>-0.07912250794852484</v>
      </c>
    </row>
    <row r="110" spans="1:7" s="1" customFormat="1" ht="15.75">
      <c r="A110" s="26" t="s">
        <v>214</v>
      </c>
      <c r="B110" s="40">
        <f>IF(65.856="","-",65.856)</f>
        <v>65.856</v>
      </c>
      <c r="C110" s="40" t="str">
        <f>IF(OR(""="",65.856=""),"-",65.856/""*100)</f>
        <v>-</v>
      </c>
      <c r="D110" s="40" t="str">
        <f>IF(""="","-",""/1219791.03674*100)</f>
        <v>-</v>
      </c>
      <c r="E110" s="40">
        <f>IF(65.856="","-",65.856/1534061.00855*100)</f>
        <v>0.004292919227654924</v>
      </c>
      <c r="F110" s="40" t="str">
        <f>IF(OR(1071013.38714="",""="",""=""),"-",(""-"")/1071013.38714*100)</f>
        <v>-</v>
      </c>
      <c r="G110" s="40" t="str">
        <f>IF(OR(1219791.03674="",65.856="",""=""),"-",(65.856-"")/1219791.03674*100)</f>
        <v>-</v>
      </c>
    </row>
    <row r="111" spans="1:7" ht="15.75">
      <c r="A111" s="26" t="s">
        <v>280</v>
      </c>
      <c r="B111" s="40">
        <f>IF(55.6754="","-",55.6754)</f>
        <v>55.6754</v>
      </c>
      <c r="C111" s="40" t="str">
        <f>IF(OR(""="",55.6754=""),"-",55.6754/""*100)</f>
        <v>-</v>
      </c>
      <c r="D111" s="40" t="str">
        <f>IF(""="","-",""/1219791.03674*100)</f>
        <v>-</v>
      </c>
      <c r="E111" s="40">
        <f>IF(55.6754="","-",55.6754/1534061.00855*100)</f>
        <v>0.00362928199658921</v>
      </c>
      <c r="F111" s="40" t="str">
        <f>IF(OR(1071013.38714="",""="",""=""),"-",(""-"")/1071013.38714*100)</f>
        <v>-</v>
      </c>
      <c r="G111" s="40" t="str">
        <f>IF(OR(1219791.03674="",55.6754="",""=""),"-",(55.6754-"")/1219791.03674*100)</f>
        <v>-</v>
      </c>
    </row>
    <row r="112" spans="1:7" ht="15.75">
      <c r="A112" s="26" t="s">
        <v>215</v>
      </c>
      <c r="B112" s="40">
        <f>IF(55.11432="","-",55.11432)</f>
        <v>55.11432</v>
      </c>
      <c r="C112" s="40" t="str">
        <f>IF(OR(""="",55.11432=""),"-",55.11432/""*100)</f>
        <v>-</v>
      </c>
      <c r="D112" s="40" t="str">
        <f>IF(""="","-",""/1219791.03674*100)</f>
        <v>-</v>
      </c>
      <c r="E112" s="40">
        <f>IF(55.11432="","-",55.11432/1534061.00855*100)</f>
        <v>0.0035927071800158886</v>
      </c>
      <c r="F112" s="40" t="str">
        <f>IF(OR(1071013.38714="",""="",""=""),"-",(""-"")/1071013.38714*100)</f>
        <v>-</v>
      </c>
      <c r="G112" s="40" t="str">
        <f>IF(OR(1219791.03674="",55.11432="",""=""),"-",(55.11432-"")/1219791.03674*100)</f>
        <v>-</v>
      </c>
    </row>
    <row r="113" spans="1:7" ht="15.75">
      <c r="A113" s="26" t="s">
        <v>118</v>
      </c>
      <c r="B113" s="40">
        <f>IF(52.5428="","-",52.5428)</f>
        <v>52.5428</v>
      </c>
      <c r="C113" s="40">
        <f>IF(OR(324.67315="",52.5428=""),"-",52.5428/324.67315*100)</f>
        <v>16.18329079568175</v>
      </c>
      <c r="D113" s="40">
        <f>IF(324.67315="","-",324.67315/1219791.03674*100)</f>
        <v>0.026617112293898956</v>
      </c>
      <c r="E113" s="40">
        <f>IF(52.5428="","-",52.5428/1534061.00855*100)</f>
        <v>0.00342507890541222</v>
      </c>
      <c r="F113" s="40">
        <f>IF(OR(1071013.38714="",1188.09312="",324.67315=""),"-",(324.67315-1188.09312)/1071013.38714*100)</f>
        <v>-0.08061710342441648</v>
      </c>
      <c r="G113" s="40">
        <f>IF(OR(1219791.03674="",52.5428="",324.67315=""),"-",(52.5428-324.67315)/1219791.03674*100)</f>
        <v>-0.02230958760996413</v>
      </c>
    </row>
    <row r="114" spans="1:7" ht="15.75">
      <c r="A114" s="26" t="s">
        <v>150</v>
      </c>
      <c r="B114" s="40">
        <f>IF(52.20424="","-",52.20424)</f>
        <v>52.20424</v>
      </c>
      <c r="C114" s="40" t="s">
        <v>148</v>
      </c>
      <c r="D114" s="40">
        <f>IF(20.74439="","-",20.74439/1219791.03674*100)</f>
        <v>0.0017006511259044193</v>
      </c>
      <c r="E114" s="40">
        <f>IF(52.20424="","-",52.20424/1534061.00855*100)</f>
        <v>0.003403009378964898</v>
      </c>
      <c r="F114" s="40">
        <f>IF(OR(1071013.38714="",10.74158="",20.74439=""),"-",(20.74439-10.74158)/1071013.38714*100)</f>
        <v>0.0009339575135200863</v>
      </c>
      <c r="G114" s="40">
        <f>IF(OR(1219791.03674="",52.20424="",20.74439=""),"-",(52.20424-20.74439)/1219791.03674*100)</f>
        <v>0.002579117984345847</v>
      </c>
    </row>
    <row r="115" spans="1:7" ht="15.75">
      <c r="A115" s="26" t="s">
        <v>281</v>
      </c>
      <c r="B115" s="40">
        <f>IF(51.19136="","-",51.19136)</f>
        <v>51.19136</v>
      </c>
      <c r="C115" s="40" t="s">
        <v>288</v>
      </c>
      <c r="D115" s="40">
        <f>IF(0.5586="","-",0.5586/1219791.03674*100)</f>
        <v>4.579472902940066E-05</v>
      </c>
      <c r="E115" s="40">
        <f>IF(51.19136="","-",51.19136/1534061.00855*100)</f>
        <v>0.0033369833216989374</v>
      </c>
      <c r="F115" s="40">
        <f>IF(OR(1071013.38714="",17.99841="",0.5586=""),"-",(0.5586-17.99841)/1071013.38714*100)</f>
        <v>-0.0016283465929936424</v>
      </c>
      <c r="G115" s="40">
        <f>IF(OR(1219791.03674="",51.19136="",0.5586=""),"-",(51.19136-0.5586)/1219791.03674*100)</f>
        <v>0.004150937207681125</v>
      </c>
    </row>
    <row r="116" spans="1:7" ht="15.75">
      <c r="A116" s="45" t="s">
        <v>196</v>
      </c>
      <c r="B116" s="57">
        <f>IF(48.96218="","-",48.96218)</f>
        <v>48.96218</v>
      </c>
      <c r="C116" s="57" t="s">
        <v>180</v>
      </c>
      <c r="D116" s="57">
        <f>IF(8.936="","-",8.936/1219791.03674*100)</f>
        <v>0.0007325844944624495</v>
      </c>
      <c r="E116" s="57">
        <f>IF(48.96218="","-",48.96218/1534061.00855*100)</f>
        <v>0.003191670978345198</v>
      </c>
      <c r="F116" s="57">
        <f>IF(OR(1071013.38714="",50.13236="",8.936=""),"-",(8.936-50.13236)/1071013.38714*100)</f>
        <v>-0.0038464841331264255</v>
      </c>
      <c r="G116" s="57">
        <f>IF(OR(1219791.03674="",48.96218="",8.936=""),"-",(48.96218-8.936)/1219791.03674*100)</f>
        <v>0.0032813964682814464</v>
      </c>
    </row>
    <row r="117" ht="15.75">
      <c r="A117" s="43" t="s">
        <v>20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15"/>
  <sheetViews>
    <sheetView zoomScalePageLayoutView="0" workbookViewId="0" topLeftCell="A1">
      <selection activeCell="C47" sqref="C47"/>
    </sheetView>
  </sheetViews>
  <sheetFormatPr defaultColWidth="9.00390625" defaultRowHeight="15.75"/>
  <cols>
    <col min="1" max="1" width="27.75390625" style="0" customWidth="1"/>
    <col min="2" max="2" width="12.25390625" style="0" customWidth="1"/>
    <col min="3" max="3" width="11.875" style="0" customWidth="1"/>
    <col min="4" max="4" width="8.625" style="0" customWidth="1"/>
    <col min="5" max="5" width="8.875" style="0" customWidth="1"/>
    <col min="6" max="7" width="9.875" style="0" customWidth="1"/>
  </cols>
  <sheetData>
    <row r="1" spans="1:7" ht="15.75">
      <c r="A1" s="103" t="s">
        <v>208</v>
      </c>
      <c r="B1" s="103"/>
      <c r="C1" s="103"/>
      <c r="D1" s="103"/>
      <c r="E1" s="103"/>
      <c r="F1" s="103"/>
      <c r="G1" s="103"/>
    </row>
    <row r="2" ht="15.75">
      <c r="A2" s="2"/>
    </row>
    <row r="3" spans="1:7" ht="55.5" customHeight="1">
      <c r="A3" s="91"/>
      <c r="B3" s="94" t="s">
        <v>269</v>
      </c>
      <c r="C3" s="95"/>
      <c r="D3" s="94" t="s">
        <v>169</v>
      </c>
      <c r="E3" s="95"/>
      <c r="F3" s="96" t="s">
        <v>190</v>
      </c>
      <c r="G3" s="97"/>
    </row>
    <row r="4" spans="1:7" ht="22.5" customHeight="1">
      <c r="A4" s="92"/>
      <c r="B4" s="98" t="s">
        <v>152</v>
      </c>
      <c r="C4" s="100" t="s">
        <v>270</v>
      </c>
      <c r="D4" s="102" t="s">
        <v>271</v>
      </c>
      <c r="E4" s="102"/>
      <c r="F4" s="102" t="s">
        <v>271</v>
      </c>
      <c r="G4" s="94"/>
    </row>
    <row r="5" spans="1:7" ht="21" customHeight="1">
      <c r="A5" s="93"/>
      <c r="B5" s="99"/>
      <c r="C5" s="101"/>
      <c r="D5" s="32">
        <v>2017</v>
      </c>
      <c r="E5" s="32">
        <v>2018</v>
      </c>
      <c r="F5" s="32" t="s">
        <v>146</v>
      </c>
      <c r="G5" s="28" t="s">
        <v>175</v>
      </c>
    </row>
    <row r="6" spans="1:7" s="3" customFormat="1" ht="15">
      <c r="A6" s="59" t="s">
        <v>241</v>
      </c>
      <c r="B6" s="60">
        <f>IF(3223533.4262="","-",3223533.4262)</f>
        <v>3223533.4262</v>
      </c>
      <c r="C6" s="60">
        <f>IF(2578273.3802="","-",3223533.4262/2578273.3802*100)</f>
        <v>125.02682806855596</v>
      </c>
      <c r="D6" s="60">
        <v>100</v>
      </c>
      <c r="E6" s="60">
        <v>100</v>
      </c>
      <c r="F6" s="60">
        <f>IF(2182440.05753="","-",(2578273.3802-2182440.05753)/2182440.05753*100)</f>
        <v>18.137191044687327</v>
      </c>
      <c r="G6" s="68">
        <f>IF(2578273.3802="","-",(3223533.4262-2578273.3802)/2578273.3802*100)</f>
        <v>25.026828068555957</v>
      </c>
    </row>
    <row r="7" spans="1:7" ht="12.75" customHeight="1">
      <c r="A7" s="7" t="s">
        <v>2</v>
      </c>
      <c r="B7" s="25"/>
      <c r="C7" s="22"/>
      <c r="D7" s="23"/>
      <c r="E7" s="23"/>
      <c r="F7" s="24"/>
      <c r="G7" s="69"/>
    </row>
    <row r="8" spans="1:7" ht="15.75">
      <c r="A8" s="35" t="s">
        <v>292</v>
      </c>
      <c r="B8" s="37">
        <f>IF(1647133.18735="","-",1647133.18735)</f>
        <v>1647133.18735</v>
      </c>
      <c r="C8" s="37">
        <f>IF(1281857.55855="","-",1647133.18735/1281857.55855*100)</f>
        <v>128.4958048859336</v>
      </c>
      <c r="D8" s="37">
        <f>IF(1281857.55855="","-",1281857.55855/2578273.3802*100)</f>
        <v>49.71767417660592</v>
      </c>
      <c r="E8" s="37">
        <f>IF(1647133.18735="","-",1647133.18735/3223533.4262*100)</f>
        <v>51.09713378377128</v>
      </c>
      <c r="F8" s="37">
        <f>IF(2182440.05753="","-",(1281857.55855-1087765.54204)/2182440.05753*100)</f>
        <v>8.893349251006038</v>
      </c>
      <c r="G8" s="70">
        <f>IF(2578273.3802="","-",(1647133.18735-1281857.55855)/2578273.3802*100)</f>
        <v>14.167451427189818</v>
      </c>
    </row>
    <row r="9" spans="1:7" s="11" customFormat="1" ht="15.75">
      <c r="A9" s="26" t="s">
        <v>227</v>
      </c>
      <c r="B9" s="40">
        <f>IF(460674.18581="","-",460674.18581)</f>
        <v>460674.18581</v>
      </c>
      <c r="C9" s="40">
        <f>IF(OR(360051.9003="",460674.18581=""),"-",460674.18581/360051.9003*100)</f>
        <v>127.94660587158691</v>
      </c>
      <c r="D9" s="40">
        <f>IF(360051.9003="","-",360051.9003/2578273.3802*100)</f>
        <v>13.964845739983952</v>
      </c>
      <c r="E9" s="40">
        <f>IF(460674.18581="","-",460674.18581/3223533.4262*100)</f>
        <v>14.290969718687139</v>
      </c>
      <c r="F9" s="40">
        <f>IF(OR(2182440.05753="",293537.60972="",360051.9003=""),"-",(360051.9003-293537.60972)/2182440.05753*100)</f>
        <v>3.04770297587363</v>
      </c>
      <c r="G9" s="71">
        <f>IF(OR(2578273.3802="",460674.18581="",360051.9003=""),"-",(460674.18581-360051.9003)/2578273.3802*100)</f>
        <v>3.902700399528409</v>
      </c>
    </row>
    <row r="10" spans="1:7" s="11" customFormat="1" ht="15.75">
      <c r="A10" s="26" t="s">
        <v>4</v>
      </c>
      <c r="B10" s="40">
        <f>IF(276215.82445="","-",276215.82445)</f>
        <v>276215.82445</v>
      </c>
      <c r="C10" s="40">
        <f>IF(OR(206213.95365="",276215.82445=""),"-",276215.82445/206213.95365*100)</f>
        <v>133.94623378338977</v>
      </c>
      <c r="D10" s="40">
        <f>IF(206213.95365="","-",206213.95365/2578273.3802*100)</f>
        <v>7.9981415172507315</v>
      </c>
      <c r="E10" s="40">
        <f>IF(276215.82445="","-",276215.82445/3223533.4262*100)</f>
        <v>8.56872840855296</v>
      </c>
      <c r="F10" s="40">
        <f>IF(OR(2182440.05753="",175801.62096="",206213.95365=""),"-",(206213.95365-175801.62096)/2182440.05753*100)</f>
        <v>1.3935013969831318</v>
      </c>
      <c r="G10" s="71">
        <f>IF(OR(2578273.3802="",276215.82445="",206213.95365=""),"-",(276215.82445-206213.95365)/2578273.3802*100)</f>
        <v>2.7150678177722902</v>
      </c>
    </row>
    <row r="11" spans="1:7" s="11" customFormat="1" ht="15.75">
      <c r="A11" s="26" t="s">
        <v>3</v>
      </c>
      <c r="B11" s="40">
        <f>IF(237154.95683="","-",237154.95683)</f>
        <v>237154.95683</v>
      </c>
      <c r="C11" s="40">
        <f>IF(OR(190453.03872="",237154.95683=""),"-",237154.95683/190453.03872*100)</f>
        <v>124.52148751412686</v>
      </c>
      <c r="D11" s="40">
        <f>IF(190453.03872="","-",190453.03872/2578273.3802*100)</f>
        <v>7.386844241677208</v>
      </c>
      <c r="E11" s="40">
        <f>IF(237154.95683="","-",237154.95683/3223533.4262*100)</f>
        <v>7.356987673913018</v>
      </c>
      <c r="F11" s="40">
        <f>IF(OR(2182440.05753="",163588.41279="",190453.03872=""),"-",(190453.03872-163588.41279)/2182440.05753*100)</f>
        <v>1.2309445034840656</v>
      </c>
      <c r="G11" s="71">
        <f>IF(OR(2578273.3802="",237154.95683="",190453.03872=""),"-",(237154.95683-190453.03872)/2578273.3802*100)</f>
        <v>1.8113640884108755</v>
      </c>
    </row>
    <row r="12" spans="1:7" s="11" customFormat="1" ht="15.75">
      <c r="A12" s="26" t="s">
        <v>5</v>
      </c>
      <c r="B12" s="40">
        <f>IF(113765.61033="","-",113765.61033)</f>
        <v>113765.61033</v>
      </c>
      <c r="C12" s="40">
        <f>IF(OR(83881.49653="",113765.61033=""),"-",113765.61033/83881.49653*100)</f>
        <v>135.62658635842533</v>
      </c>
      <c r="D12" s="40">
        <f>IF(83881.49653="","-",83881.49653/2578273.3802*100)</f>
        <v>3.2533980754008796</v>
      </c>
      <c r="E12" s="40">
        <f>IF(113765.61033="","-",113765.61033/3223533.4262*100)</f>
        <v>3.529220742845232</v>
      </c>
      <c r="F12" s="40">
        <f>IF(OR(2182440.05753="",67114.92973="",83881.49653=""),"-",(83881.49653-67114.92973)/2182440.05753*100)</f>
        <v>0.76824867387083</v>
      </c>
      <c r="G12" s="71">
        <f>IF(OR(2578273.3802="",113765.61033="",83881.49653=""),"-",(113765.61033-83881.49653)/2578273.3802*100)</f>
        <v>1.1590746749160419</v>
      </c>
    </row>
    <row r="13" spans="1:7" s="11" customFormat="1" ht="15.75">
      <c r="A13" s="26" t="s">
        <v>229</v>
      </c>
      <c r="B13" s="40">
        <f>IF(87086.58128="","-",87086.58128)</f>
        <v>87086.58128</v>
      </c>
      <c r="C13" s="40">
        <f>IF(OR(67005.22701="",87086.58128=""),"-",87086.58128/67005.22701*100)</f>
        <v>129.9698324535234</v>
      </c>
      <c r="D13" s="40">
        <f>IF(67005.22701="","-",67005.22701/2578273.3802*100)</f>
        <v>2.598841050936279</v>
      </c>
      <c r="E13" s="40">
        <f>IF(87086.58128="","-",87086.58128/3223533.4262*100)</f>
        <v>2.70158766067645</v>
      </c>
      <c r="F13" s="40">
        <f>IF(OR(2182440.05753="",54722.3252199999="",67005.22701=""),"-",(67005.22701-54722.3252199999)/2182440.05753*100)</f>
        <v>0.5628059175151602</v>
      </c>
      <c r="G13" s="71">
        <f>IF(OR(2578273.3802="",87086.58128="",67005.22701=""),"-",(87086.58128-67005.22701)/2578273.3802*100)</f>
        <v>0.778868308698989</v>
      </c>
    </row>
    <row r="14" spans="1:7" s="11" customFormat="1" ht="15.75">
      <c r="A14" s="26" t="s">
        <v>90</v>
      </c>
      <c r="B14" s="40">
        <f>IF(69319.20927="","-",69319.20927)</f>
        <v>69319.20927</v>
      </c>
      <c r="C14" s="40">
        <f>IF(OR(53286.34408="",69319.20927=""),"-",69319.20927/53286.34408*100)</f>
        <v>130.08813133422984</v>
      </c>
      <c r="D14" s="40">
        <f>IF(53286.34408="","-",53286.34408/2578273.3802*100)</f>
        <v>2.0667453067318453</v>
      </c>
      <c r="E14" s="40">
        <f>IF(69319.20927="","-",69319.20927/3223533.4262*100)</f>
        <v>2.150410748236466</v>
      </c>
      <c r="F14" s="40">
        <f>IF(OR(2182440.05753="",44288.39417="",53286.34408=""),"-",(53286.34408-44288.39417)/2182440.05753*100)</f>
        <v>0.4122885244410117</v>
      </c>
      <c r="G14" s="71">
        <f>IF(OR(2578273.3802="",69319.20927="",53286.34408=""),"-",(69319.20927-53286.34408)/2578273.3802*100)</f>
        <v>0.6218450422335088</v>
      </c>
    </row>
    <row r="15" spans="1:7" s="11" customFormat="1" ht="15.75">
      <c r="A15" s="26" t="s">
        <v>7</v>
      </c>
      <c r="B15" s="40">
        <f>IF(64138.94677="","-",64138.94677)</f>
        <v>64138.94677</v>
      </c>
      <c r="C15" s="40">
        <f>IF(OR(43319.16635="",64138.94677=""),"-",64138.94677/43319.16635*100)</f>
        <v>148.0613598419352</v>
      </c>
      <c r="D15" s="40">
        <f>IF(43319.16635="","-",43319.16635/2578273.3802*100)</f>
        <v>1.6801618743253546</v>
      </c>
      <c r="E15" s="40">
        <f>IF(64138.94677="","-",64138.94677/3223533.4262*100)</f>
        <v>1.9897093744614573</v>
      </c>
      <c r="F15" s="40">
        <f>IF(OR(2182440.05753="",43302.16703="",43319.16635=""),"-",(43319.16635-43302.16703)/2182440.05753*100)</f>
        <v>0.000778913489117396</v>
      </c>
      <c r="G15" s="71">
        <f>IF(OR(2578273.3802="",64138.94677="",43319.16635=""),"-",(64138.94677-43319.16635)/2578273.3802*100)</f>
        <v>0.8075086443465117</v>
      </c>
    </row>
    <row r="16" spans="1:7" s="11" customFormat="1" ht="15.75">
      <c r="A16" s="26" t="s">
        <v>230</v>
      </c>
      <c r="B16" s="40">
        <f>IF(47753.48574="","-",47753.48574)</f>
        <v>47753.48574</v>
      </c>
      <c r="C16" s="40">
        <f>IF(OR(35910.36149="",47753.48574=""),"-",47753.48574/35910.36149*100)</f>
        <v>132.9796854127964</v>
      </c>
      <c r="D16" s="40">
        <f>IF(35910.36149="","-",35910.36149/2578273.3802*100)</f>
        <v>1.3928065877643427</v>
      </c>
      <c r="E16" s="40">
        <f>IF(47753.48574="","-",47753.48574/3223533.4262*100)</f>
        <v>1.4814019098382134</v>
      </c>
      <c r="F16" s="40">
        <f>IF(OR(2182440.05753="",29843.88137="",35910.36149=""),"-",(35910.36149-29843.88137)/2182440.05753*100)</f>
        <v>0.2779677773540231</v>
      </c>
      <c r="G16" s="71">
        <f>IF(OR(2578273.3802="",47753.48574="",35910.36149=""),"-",(47753.48574-35910.36149)/2578273.3802*100)</f>
        <v>0.4593432310533845</v>
      </c>
    </row>
    <row r="17" spans="1:7" s="11" customFormat="1" ht="15.75">
      <c r="A17" s="26" t="s">
        <v>88</v>
      </c>
      <c r="B17" s="40">
        <f>IF(46034.26107="","-",46034.26107)</f>
        <v>46034.26107</v>
      </c>
      <c r="C17" s="40">
        <f>IF(OR(33651.12556="",46034.26107=""),"-",46034.26107/33651.12556*100)</f>
        <v>136.7985774737931</v>
      </c>
      <c r="D17" s="40">
        <f>IF(33651.12556="","-",33651.12556/2578273.3802*100)</f>
        <v>1.3051806615398418</v>
      </c>
      <c r="E17" s="40">
        <f>IF(46034.26107="","-",46034.26107/3223533.4262*100)</f>
        <v>1.4280683642318113</v>
      </c>
      <c r="F17" s="40">
        <f>IF(OR(2182440.05753="",29460.76151="",33651.12556=""),"-",(33651.12556-29460.76151)/2182440.05753*100)</f>
        <v>0.19200362619546538</v>
      </c>
      <c r="G17" s="71">
        <f>IF(OR(2578273.3802="",46034.26107="",33651.12556=""),"-",(46034.26107-33651.12556)/2578273.3802*100)</f>
        <v>0.4802879169097043</v>
      </c>
    </row>
    <row r="18" spans="1:7" s="11" customFormat="1" ht="15.75">
      <c r="A18" s="26" t="s">
        <v>6</v>
      </c>
      <c r="B18" s="40">
        <f>IF(37679.44262="","-",37679.44262)</f>
        <v>37679.44262</v>
      </c>
      <c r="C18" s="40">
        <f>IF(OR(38898.08571="",37679.44262=""),"-",37679.44262/38898.08571*100)</f>
        <v>96.86708724155362</v>
      </c>
      <c r="D18" s="40">
        <f>IF(38898.08571="","-",38898.08571/2578273.3802*100)</f>
        <v>1.5086874033110727</v>
      </c>
      <c r="E18" s="40">
        <f>IF(37679.44262="","-",37679.44262/3223533.4262*100)</f>
        <v>1.168886362826325</v>
      </c>
      <c r="F18" s="40">
        <f>IF(OR(2182440.05753="",30945.22631="",38898.08571=""),"-",(38898.08571-30945.22631)/2182440.05753*100)</f>
        <v>0.3644021916002007</v>
      </c>
      <c r="G18" s="71">
        <f>IF(OR(2578273.3802="",37679.44262="",38898.08571=""),"-",(37679.44262-38898.08571)/2578273.3802*100)</f>
        <v>-0.047265860143405974</v>
      </c>
    </row>
    <row r="19" spans="1:7" s="11" customFormat="1" ht="15.75" customHeight="1">
      <c r="A19" s="26" t="s">
        <v>9</v>
      </c>
      <c r="B19" s="40">
        <f>IF(34998.20685="","-",34998.20685)</f>
        <v>34998.20685</v>
      </c>
      <c r="C19" s="40">
        <f>IF(OR(25987.77538="",34998.20685=""),"-",34998.20685/25987.77538*100)</f>
        <v>134.6718075643149</v>
      </c>
      <c r="D19" s="40">
        <f>IF(25987.77538="","-",25987.77538/2578273.3802*100)</f>
        <v>1.0079526701696813</v>
      </c>
      <c r="E19" s="40">
        <f>IF(34998.20685="","-",34998.20685/3223533.4262*100)</f>
        <v>1.0857094443489907</v>
      </c>
      <c r="F19" s="40">
        <f>IF(OR(2182440.05753="",22327.54054="",25987.77538=""),"-",(25987.77538-22327.54054)/2182440.05753*100)</f>
        <v>0.1677129608839066</v>
      </c>
      <c r="G19" s="71">
        <f>IF(OR(2578273.3802="",34998.20685="",25987.77538=""),"-",(34998.20685-25987.77538)/2578273.3802*100)</f>
        <v>0.3494754101406055</v>
      </c>
    </row>
    <row r="20" spans="1:7" s="11" customFormat="1" ht="25.5">
      <c r="A20" s="26" t="s">
        <v>228</v>
      </c>
      <c r="B20" s="40">
        <f>IF(34245.23273="","-",34245.23273)</f>
        <v>34245.23273</v>
      </c>
      <c r="C20" s="40">
        <f>IF(OR(33045.85338="",34245.23273=""),"-",34245.23273/33045.85338*100)</f>
        <v>103.62943978540402</v>
      </c>
      <c r="D20" s="40">
        <f>IF(33045.85338="","-",33045.85338/2578273.3802*100)</f>
        <v>1.2817047887077277</v>
      </c>
      <c r="E20" s="40">
        <f>IF(34245.23273="","-",34245.23273/3223533.4262*100)</f>
        <v>1.0623507872344085</v>
      </c>
      <c r="F20" s="40">
        <f>IF(OR(2182440.05753="",35455.48473="",33045.85338=""),"-",(33045.85338-35455.48473)/2182440.05753*100)</f>
        <v>-0.11040996712308893</v>
      </c>
      <c r="G20" s="71">
        <f>IF(OR(2578273.3802="",34245.23273="",33045.85338=""),"-",(34245.23273-33045.85338)/2578273.3802*100)</f>
        <v>0.04651870353278695</v>
      </c>
    </row>
    <row r="21" spans="1:7" s="11" customFormat="1" ht="15.75">
      <c r="A21" s="26" t="s">
        <v>89</v>
      </c>
      <c r="B21" s="40">
        <f>IF(28542.40423="","-",28542.40423)</f>
        <v>28542.40423</v>
      </c>
      <c r="C21" s="40">
        <f>IF(OR(21251.10856="",28542.40423=""),"-",28542.40423/21251.10856*100)</f>
        <v>134.31018974569673</v>
      </c>
      <c r="D21" s="40">
        <f>IF(21251.10856="","-",21251.10856/2578273.3802*100)</f>
        <v>0.8242379851259809</v>
      </c>
      <c r="E21" s="40">
        <f>IF(28542.40423="","-",28542.40423/3223533.4262*100)</f>
        <v>0.8854384445967003</v>
      </c>
      <c r="F21" s="40">
        <f>IF(OR(2182440.05753="",18591.7878="",21251.10856=""),"-",(21251.10856-18591.7878)/2182440.05753*100)</f>
        <v>0.12185080414120135</v>
      </c>
      <c r="G21" s="71">
        <f>IF(OR(2578273.3802="",28542.40423="",21251.10856=""),"-",(28542.40423-21251.10856)/2578273.3802*100)</f>
        <v>0.2827976166528316</v>
      </c>
    </row>
    <row r="22" spans="1:7" s="11" customFormat="1" ht="15.75">
      <c r="A22" s="26" t="s">
        <v>92</v>
      </c>
      <c r="B22" s="40">
        <f>IF(17148.82477="","-",17148.82477)</f>
        <v>17148.82477</v>
      </c>
      <c r="C22" s="40">
        <f>IF(OR(12367.52693="",17148.82477=""),"-",17148.82477/12367.52693*100)</f>
        <v>138.66009645309097</v>
      </c>
      <c r="D22" s="40">
        <f>IF(12367.52693="","-",12367.52693/2578273.3802*100)</f>
        <v>0.479682528042881</v>
      </c>
      <c r="E22" s="40">
        <f>IF(17148.82477="","-",17148.82477/3223533.4262*100)</f>
        <v>0.5319884270663685</v>
      </c>
      <c r="F22" s="40">
        <f>IF(OR(2182440.05753="",9899.94366="",12367.52693=""),"-",(12367.52693-9899.94366)/2182440.05753*100)</f>
        <v>0.1130653399384867</v>
      </c>
      <c r="G22" s="71">
        <f>IF(OR(2578273.3802="",17148.82477="",12367.52693=""),"-",(17148.82477-12367.52693)/2578273.3802*100)</f>
        <v>0.1854457280100029</v>
      </c>
    </row>
    <row r="23" spans="1:7" s="11" customFormat="1" ht="15.75">
      <c r="A23" s="26" t="s">
        <v>8</v>
      </c>
      <c r="B23" s="40">
        <f>IF(14430.57436="","-",14430.57436)</f>
        <v>14430.57436</v>
      </c>
      <c r="C23" s="40">
        <f>IF(OR(13033.72514="",14430.57436=""),"-",14430.57436/13033.72514*100)</f>
        <v>110.71719101788577</v>
      </c>
      <c r="D23" s="40">
        <f>IF(13033.72514="","-",13033.72514/2578273.3802*100)</f>
        <v>0.5055214563394731</v>
      </c>
      <c r="E23" s="40">
        <f>IF(14430.57436="","-",14430.57436/3223533.4262*100)</f>
        <v>0.447663245639466</v>
      </c>
      <c r="F23" s="40">
        <f>IF(OR(2182440.05753="",10547.01087="",13033.72514=""),"-",(13033.72514-10547.01087)/2182440.05753*100)</f>
        <v>0.11394192758789289</v>
      </c>
      <c r="G23" s="71">
        <f>IF(OR(2578273.3802="",14430.57436="",13033.72514=""),"-",(14430.57436-13033.72514)/2578273.3802*100)</f>
        <v>0.054177700112299366</v>
      </c>
    </row>
    <row r="24" spans="1:8" s="11" customFormat="1" ht="15.75">
      <c r="A24" s="26" t="s">
        <v>98</v>
      </c>
      <c r="B24" s="40">
        <f>IF(13755.15414="","-",13755.15414)</f>
        <v>13755.15414</v>
      </c>
      <c r="C24" s="40">
        <f>IF(OR(10359.95367="",13755.15414=""),"-",13755.15414/10359.95367*100)</f>
        <v>132.77235186709092</v>
      </c>
      <c r="D24" s="40">
        <f>IF(10359.95367="","-",10359.95367/2578273.3802*100)</f>
        <v>0.4018175011835388</v>
      </c>
      <c r="E24" s="40">
        <f>IF(13755.15414="","-",13755.15414/3223533.4262*100)</f>
        <v>0.4267104546893127</v>
      </c>
      <c r="F24" s="40">
        <f>IF(OR(2182440.05753="",10184.20863="",10359.95367=""),"-",(10359.95367-10184.20863)/2182440.05753*100)</f>
        <v>0.008052685772222443</v>
      </c>
      <c r="G24" s="71">
        <f>IF(OR(2578273.3802="",13755.15414="",10359.95367=""),"-",(13755.15414-10359.95367)/2578273.3802*100)</f>
        <v>0.13168504535142156</v>
      </c>
      <c r="H24" s="58"/>
    </row>
    <row r="25" spans="1:8" s="11" customFormat="1" ht="15.75">
      <c r="A25" s="26" t="s">
        <v>100</v>
      </c>
      <c r="B25" s="40">
        <f>IF(13364.61281="","-",13364.61281)</f>
        <v>13364.61281</v>
      </c>
      <c r="C25" s="40">
        <f>IF(OR(9124.56733="",13364.61281=""),"-",13364.61281/9124.56733*100)</f>
        <v>146.46845517879476</v>
      </c>
      <c r="D25" s="40">
        <f>IF(9124.56733="","-",9124.56733/2578273.3802*100)</f>
        <v>0.3539022432637533</v>
      </c>
      <c r="E25" s="40">
        <f>IF(13364.61281="","-",13364.61281/3223533.4262*100)</f>
        <v>0.4145951365472458</v>
      </c>
      <c r="F25" s="40">
        <f>IF(OR(2182440.05753="",8066.68273="",9124.56733=""),"-",(9124.56733-8066.68273)/2182440.05753*100)</f>
        <v>0.04847256154184009</v>
      </c>
      <c r="G25" s="71">
        <f>IF(OR(2578273.3802="",13364.61281="",9124.56733=""),"-",(13364.61281-9124.56733)/2578273.3802*100)</f>
        <v>0.16445290528776646</v>
      </c>
      <c r="H25" s="58"/>
    </row>
    <row r="26" spans="1:8" s="11" customFormat="1" ht="15.75">
      <c r="A26" s="26" t="s">
        <v>99</v>
      </c>
      <c r="B26" s="40">
        <f>IF(9683.98886="","-",9683.98886)</f>
        <v>9683.98886</v>
      </c>
      <c r="C26" s="40">
        <f>IF(OR(7197.92483="",9683.98886=""),"-",9683.98886/7197.92483*100)</f>
        <v>134.53862173773214</v>
      </c>
      <c r="D26" s="40">
        <f>IF(7197.92483="","-",7197.92483/2578273.3802*100)</f>
        <v>0.2791761682557359</v>
      </c>
      <c r="E26" s="40">
        <f>IF(9683.98886="","-",9683.98886/3223533.4262*100)</f>
        <v>0.3004153386867709</v>
      </c>
      <c r="F26" s="40">
        <f>IF(OR(2182440.05753="",7448.43769="",7197.92483=""),"-",(7197.92483-7448.43769)/2182440.05753*100)</f>
        <v>-0.011478567722199915</v>
      </c>
      <c r="G26" s="71">
        <f>IF(OR(2578273.3802="",9683.98886="",7197.92483=""),"-",(9683.98886-7197.92483)/2578273.3802*100)</f>
        <v>0.09642360073574326</v>
      </c>
      <c r="H26" s="58"/>
    </row>
    <row r="27" spans="1:8" s="11" customFormat="1" ht="15.75">
      <c r="A27" s="26" t="s">
        <v>96</v>
      </c>
      <c r="B27" s="40">
        <f>IF(9181.27104="","-",9181.27104)</f>
        <v>9181.27104</v>
      </c>
      <c r="C27" s="40">
        <f>IF(OR(8373.72984="",9181.27104=""),"-",9181.27104/8373.72984*100)</f>
        <v>109.64374556416307</v>
      </c>
      <c r="D27" s="40">
        <f>IF(8373.72984="","-",8373.72984/2578273.3802*100)</f>
        <v>0.3247805257699414</v>
      </c>
      <c r="E27" s="40">
        <f>IF(9181.27104="","-",9181.27104/3223533.4262*100)</f>
        <v>0.2848200972689513</v>
      </c>
      <c r="F27" s="40">
        <f>IF(OR(2182440.05753="",6349.63547="",8373.72984=""),"-",(8373.72984-6349.63547)/2182440.05753*100)</f>
        <v>0.09274455731401808</v>
      </c>
      <c r="G27" s="71">
        <f>IF(OR(2578273.3802="",9181.27104="",8373.72984=""),"-",(9181.27104-8373.72984)/2578273.3802*100)</f>
        <v>0.03132100754720423</v>
      </c>
      <c r="H27" s="58"/>
    </row>
    <row r="28" spans="1:8" s="11" customFormat="1" ht="15.75">
      <c r="A28" s="26" t="s">
        <v>97</v>
      </c>
      <c r="B28" s="40">
        <f>IF(7770.10075="","-",7770.10075)</f>
        <v>7770.10075</v>
      </c>
      <c r="C28" s="40">
        <f>IF(OR(7266.18395="",7770.10075=""),"-",7770.10075/7266.18395*100)</f>
        <v>106.93509555314795</v>
      </c>
      <c r="D28" s="40">
        <f>IF(7266.18395="","-",7266.18395/2578273.3802*100)</f>
        <v>0.2818236423569774</v>
      </c>
      <c r="E28" s="40">
        <f>IF(7770.10075="","-",7770.10075/3223533.4262*100)</f>
        <v>0.24104297125777385</v>
      </c>
      <c r="F28" s="40">
        <f>IF(OR(2182440.05753="",6130.15424="",7266.18395=""),"-",(7266.18395-6130.15424)/2182440.05753*100)</f>
        <v>0.05205319184279057</v>
      </c>
      <c r="G28" s="71">
        <f>IF(OR(2578273.3802="",7770.10075="",7266.18395=""),"-",(7770.10075-7266.18395)/2578273.3802*100)</f>
        <v>0.019544738888818317</v>
      </c>
      <c r="H28" s="58"/>
    </row>
    <row r="29" spans="1:8" s="11" customFormat="1" ht="15.75">
      <c r="A29" s="26" t="s">
        <v>91</v>
      </c>
      <c r="B29" s="40">
        <f>IF(7469.28762="","-",7469.28762)</f>
        <v>7469.28762</v>
      </c>
      <c r="C29" s="40">
        <f>IF(OR(6662.86729="",7469.28762=""),"-",7469.28762/6662.86729*100)</f>
        <v>112.10320264385756</v>
      </c>
      <c r="D29" s="40">
        <f>IF(6662.86729="","-",6662.86729/2578273.3802*100)</f>
        <v>0.25842361563237926</v>
      </c>
      <c r="E29" s="40">
        <f>IF(7469.28762="","-",7469.28762/3223533.4262*100)</f>
        <v>0.23171118870031465</v>
      </c>
      <c r="F29" s="40">
        <f>IF(OR(2182440.05753="",7559.51019="",6662.86729=""),"-",(6662.86729-7559.51019)/2182440.05753*100)</f>
        <v>-0.04108442277286576</v>
      </c>
      <c r="G29" s="71">
        <f>IF(OR(2578273.3802="",7469.28762="",6662.86729=""),"-",(7469.28762-6662.86729)/2578273.3802*100)</f>
        <v>0.0312775338795704</v>
      </c>
      <c r="H29" s="58"/>
    </row>
    <row r="30" spans="1:8" s="11" customFormat="1" ht="15.75">
      <c r="A30" s="26" t="s">
        <v>93</v>
      </c>
      <c r="B30" s="40">
        <f>IF(6627.84741="","-",6627.84741)</f>
        <v>6627.84741</v>
      </c>
      <c r="C30" s="40" t="s">
        <v>225</v>
      </c>
      <c r="D30" s="40">
        <f>IF(4259.1235="","-",4259.1235/2578273.3802*100)</f>
        <v>0.1651928586281108</v>
      </c>
      <c r="E30" s="40">
        <f>IF(6627.84741="","-",6627.84741/3223533.4262*100)</f>
        <v>0.20560814899981072</v>
      </c>
      <c r="F30" s="40">
        <f>IF(OR(2182440.05753="",4697.35834="",4259.1235=""),"-",(4259.1235-4697.35834)/2182440.05753*100)</f>
        <v>-0.02008004015908584</v>
      </c>
      <c r="G30" s="71">
        <f>IF(OR(2578273.3802="",6627.84741="",4259.1235=""),"-",(6627.84741-4259.1235)/2578273.3802*100)</f>
        <v>0.09187248831682293</v>
      </c>
      <c r="H30" s="58"/>
    </row>
    <row r="31" spans="1:8" s="11" customFormat="1" ht="15.75">
      <c r="A31" s="26" t="s">
        <v>101</v>
      </c>
      <c r="B31" s="40">
        <f>IF(3911.71512="","-",3911.71512)</f>
        <v>3911.71512</v>
      </c>
      <c r="C31" s="40">
        <f>IF(OR(3883.83344="",3911.71512=""),"-",3911.71512/3883.83344*100)</f>
        <v>100.71789072396473</v>
      </c>
      <c r="D31" s="40">
        <f>IF(3883.83344="","-",3883.83344/2578273.3802*100)</f>
        <v>0.15063699101212943</v>
      </c>
      <c r="E31" s="40">
        <f>IF(3911.71512="","-",3911.71512/3223533.4262*100)</f>
        <v>0.12134867559326815</v>
      </c>
      <c r="F31" s="40">
        <f>IF(OR(2182440.05753="",2866.1381="",3883.83344=""),"-",(3883.83344-2866.1381)/2182440.05753*100)</f>
        <v>0.046631078663016634</v>
      </c>
      <c r="G31" s="71">
        <f>IF(OR(2578273.3802="",3911.71512="",3883.83344=""),"-",(3911.71512-3883.83344)/2578273.3802*100)</f>
        <v>0.001081408985335649</v>
      </c>
      <c r="H31" s="58"/>
    </row>
    <row r="32" spans="1:7" s="11" customFormat="1" ht="15.75">
      <c r="A32" s="26" t="s">
        <v>94</v>
      </c>
      <c r="B32" s="40">
        <f>IF(2831.001="","-",2831.001)</f>
        <v>2831.001</v>
      </c>
      <c r="C32" s="40">
        <f>IF(OR(2897.26505="",2831.001=""),"-",2831.001/2897.26505*100)</f>
        <v>97.71287580333737</v>
      </c>
      <c r="D32" s="40">
        <f>IF(2897.26505="","-",2897.26505/2578273.3802*100)</f>
        <v>0.11237229815308629</v>
      </c>
      <c r="E32" s="40">
        <f>IF(2831.001="","-",2831.001/3223533.4262*100)</f>
        <v>0.08782291435200877</v>
      </c>
      <c r="F32" s="40">
        <f>IF(OR(2182440.05753="",2314.0881="",2897.26505=""),"-",(2897.26505-2314.0881)/2182440.05753*100)</f>
        <v>0.026721327258812176</v>
      </c>
      <c r="G32" s="71">
        <f>IF(OR(2578273.3802="",2831.001="",2897.26505=""),"-",(2831.001-2897.26505)/2578273.3802*100)</f>
        <v>-0.0025700940214051153</v>
      </c>
    </row>
    <row r="33" spans="1:7" s="11" customFormat="1" ht="15.75">
      <c r="A33" s="26" t="s">
        <v>231</v>
      </c>
      <c r="B33" s="40">
        <f>IF(2126.4766="","-",2126.4766)</f>
        <v>2126.4766</v>
      </c>
      <c r="C33" s="40" t="s">
        <v>161</v>
      </c>
      <c r="D33" s="40">
        <f>IF(1216.4929="","-",1216.4929/2578273.3802*100)</f>
        <v>0.04718246363407883</v>
      </c>
      <c r="E33" s="40">
        <f>IF(2126.4766="","-",2126.4766/3223533.4262*100)</f>
        <v>0.06596725762843278</v>
      </c>
      <c r="F33" s="40">
        <f>IF(OR(2182440.05753="",858.55449="",1216.4929=""),"-",(1216.4929-858.55449)/2182440.05753*100)</f>
        <v>0.016400835787677974</v>
      </c>
      <c r="G33" s="71">
        <f>IF(OR(2578273.3802="",2126.4766="",1216.4929=""),"-",(2126.4766-1216.4929)/2578273.3802*100)</f>
        <v>0.03529430614256318</v>
      </c>
    </row>
    <row r="34" spans="1:7" s="11" customFormat="1" ht="15.75">
      <c r="A34" s="26" t="s">
        <v>95</v>
      </c>
      <c r="B34" s="40">
        <f>IF(589.14416="","-",589.14416)</f>
        <v>589.14416</v>
      </c>
      <c r="C34" s="40">
        <f>IF(OR(626.15399="",589.14416=""),"-",589.14416/626.15399*100)</f>
        <v>94.08934054704339</v>
      </c>
      <c r="D34" s="40">
        <f>IF(626.15399="","-",626.15399/2578273.3802*100)</f>
        <v>0.024285787333825262</v>
      </c>
      <c r="E34" s="40">
        <f>IF(589.14416="","-",589.14416/3223533.4262*100)</f>
        <v>0.018276347166484984</v>
      </c>
      <c r="F34" s="40">
        <f>IF(OR(2182440.05753="",369.93679="",626.15399=""),"-",(626.15399-369.93679)/2182440.05753*100)</f>
        <v>0.011739942140265545</v>
      </c>
      <c r="G34" s="71">
        <f>IF(OR(2578273.3802="",589.14416="",626.15399=""),"-",(589.14416-626.15399)/2578273.3802*100)</f>
        <v>-0.001435450184771681</v>
      </c>
    </row>
    <row r="35" spans="1:7" s="11" customFormat="1" ht="15.75">
      <c r="A35" s="26" t="s">
        <v>102</v>
      </c>
      <c r="B35" s="40">
        <f>IF(575.80956="","-",575.80956)</f>
        <v>575.80956</v>
      </c>
      <c r="C35" s="40">
        <f>IF(OR(1411.76269="",575.80956=""),"-",575.80956/1411.76269*100)</f>
        <v>40.786568739821284</v>
      </c>
      <c r="D35" s="40">
        <f>IF(1411.76269="","-",1411.76269/2578273.3802*100)</f>
        <v>0.0547561286883584</v>
      </c>
      <c r="E35" s="40">
        <f>IF(575.80956="","-",575.80956/3223533.4262*100)</f>
        <v>0.017862683083103063</v>
      </c>
      <c r="F35" s="40">
        <f>IF(OR(2182440.05753="",1267.40613="",1411.76269=""),"-",(1411.76269-1267.40613)/2182440.05753*100)</f>
        <v>0.006614457038667859</v>
      </c>
      <c r="G35" s="71">
        <f>IF(OR(2578273.3802="",575.80956="",1411.76269=""),"-",(575.80956-1411.76269)/2578273.3802*100)</f>
        <v>-0.0324229826216161</v>
      </c>
    </row>
    <row r="36" spans="1:7" s="11" customFormat="1" ht="15.75">
      <c r="A36" s="26" t="s">
        <v>103</v>
      </c>
      <c r="B36" s="40">
        <f>IF(59.03117="","-",59.03117)</f>
        <v>59.03117</v>
      </c>
      <c r="C36" s="40">
        <f>IF(OR(221.01128="",59.03117=""),"-",59.03117/221.01128*100)</f>
        <v>26.70957337562137</v>
      </c>
      <c r="D36" s="40">
        <f>IF(221.01128="","-",221.01128/2578273.3802*100)</f>
        <v>0.008572065386753357</v>
      </c>
      <c r="E36" s="40">
        <f>IF(59.03117="","-",59.03117/3223533.4262*100)</f>
        <v>0.0018312566427948524</v>
      </c>
      <c r="F36" s="40">
        <f>IF(OR(2182440.05753="",226.33473="",221.01128=""),"-",(221.01128-226.33473)/2182440.05753*100)</f>
        <v>-0.00024392193415038763</v>
      </c>
      <c r="G36" s="71">
        <f>IF(OR(2578273.3802="",59.03117="",221.01128=""),"-",(59.03117-221.01128)/2578273.3802*100)</f>
        <v>-0.006282503292472227</v>
      </c>
    </row>
    <row r="37" spans="1:7" s="11" customFormat="1" ht="15.75">
      <c r="A37" s="35" t="s">
        <v>289</v>
      </c>
      <c r="B37" s="37">
        <f>IF(759710.89918="","-",759710.89918)</f>
        <v>759710.89918</v>
      </c>
      <c r="C37" s="37">
        <f>IF(635226.27601="","-",759710.89918/635226.27601*100)</f>
        <v>119.5968945037847</v>
      </c>
      <c r="D37" s="37">
        <f>IF(635226.27601="","-",635226.27601/2578273.3802*100)</f>
        <v>24.63766181229101</v>
      </c>
      <c r="E37" s="37">
        <f>IF(759710.89918="","-",759710.89918/3223533.4262*100)</f>
        <v>23.567644529610803</v>
      </c>
      <c r="F37" s="37">
        <f>IF(2182440.05753="","-",(635226.27601-547994.72867)/2182440.05753*100)</f>
        <v>3.996973343621877</v>
      </c>
      <c r="G37" s="70">
        <f>IF(2578273.3802="","-",(759710.89918-635226.27601)/2578273.3802*100)</f>
        <v>4.828216593553919</v>
      </c>
    </row>
    <row r="38" spans="1:7" s="11" customFormat="1" ht="15.75">
      <c r="A38" s="26" t="s">
        <v>236</v>
      </c>
      <c r="B38" s="40">
        <f>IF(375088.45154="","-",375088.45154)</f>
        <v>375088.45154</v>
      </c>
      <c r="C38" s="40">
        <f>IF(OR(297889.49989="",375088.45154=""),"-",375088.45154/297889.49989*100)</f>
        <v>125.91529801436667</v>
      </c>
      <c r="D38" s="40">
        <f>IF(297889.49989="","-",297889.49989/2578273.3802*100)</f>
        <v>11.553836849794893</v>
      </c>
      <c r="E38" s="40">
        <f>IF(375088.45154="","-",375088.45154/3223533.4262*100)</f>
        <v>11.635941122601162</v>
      </c>
      <c r="F38" s="40">
        <f>IF(OR(2182440.05753="",283648.48658="",297889.49989=""),"-",(297889.49989-283648.48658)/2182440.05753*100)</f>
        <v>0.652527122605941</v>
      </c>
      <c r="G38" s="71">
        <f>IF(OR(2578273.3802="",375088.45154="",297889.49989=""),"-",(375088.45154-297889.49989)/2578273.3802*100)</f>
        <v>2.994211251718062</v>
      </c>
    </row>
    <row r="39" spans="1:7" s="11" customFormat="1" ht="15.75">
      <c r="A39" s="26" t="s">
        <v>11</v>
      </c>
      <c r="B39" s="40">
        <f>IF(309415.09854="","-",309415.09854)</f>
        <v>309415.09854</v>
      </c>
      <c r="C39" s="40">
        <f>IF(OR(270982.94947="",309415.09854=""),"-",309415.09854/270982.94947*100)</f>
        <v>114.18249714425473</v>
      </c>
      <c r="D39" s="40">
        <f>IF(270982.94947="","-",270982.94947/2578273.3802*100)</f>
        <v>10.510248895676822</v>
      </c>
      <c r="E39" s="40">
        <f>IF(309415.09854="","-",309415.09854/3223533.4262*100)</f>
        <v>9.5986316141523</v>
      </c>
      <c r="F39" s="40">
        <f>IF(OR(2182440.05753="",205489.85336="",270982.94947=""),"-",(270982.94947-205489.85336)/2182440.05753*100)</f>
        <v>3.0009115661175363</v>
      </c>
      <c r="G39" s="71">
        <f>IF(OR(2578273.3802="",309415.09854="",270982.94947=""),"-",(309415.09854-270982.94947)/2578273.3802*100)</f>
        <v>1.4906157494834296</v>
      </c>
    </row>
    <row r="40" spans="1:7" s="11" customFormat="1" ht="15.75">
      <c r="A40" s="26" t="s">
        <v>10</v>
      </c>
      <c r="B40" s="40">
        <f>IF(62038.71964="","-",62038.71964)</f>
        <v>62038.71964</v>
      </c>
      <c r="C40" s="40">
        <f>IF(OR(62912.15184="",62038.71964=""),"-",62038.71964/62912.15184*100)</f>
        <v>98.61166376533848</v>
      </c>
      <c r="D40" s="40">
        <f>IF(62912.15184="","-",62912.15184/2578273.3802*100)</f>
        <v>2.440088484143595</v>
      </c>
      <c r="E40" s="40">
        <f>IF(62038.71964="","-",62038.71964/3223533.4262*100)</f>
        <v>1.924556424194836</v>
      </c>
      <c r="F40" s="40">
        <f>IF(OR(2182440.05753="",54527.82336="",62912.15184=""),"-",(62912.15184-54527.82336)/2182440.05753*100)</f>
        <v>0.3841722227866845</v>
      </c>
      <c r="G40" s="71">
        <f>IF(OR(2578273.3802="",62038.71964="",62912.15184=""),"-",(62038.71964-62912.15184)/2578273.3802*100)</f>
        <v>-0.0338766325831686</v>
      </c>
    </row>
    <row r="41" spans="1:7" s="11" customFormat="1" ht="15.75">
      <c r="A41" s="26" t="s">
        <v>15</v>
      </c>
      <c r="B41" s="40">
        <f>IF(7373.15522="","-",7373.15522)</f>
        <v>7373.15522</v>
      </c>
      <c r="C41" s="40" t="s">
        <v>293</v>
      </c>
      <c r="D41" s="40">
        <f>IF(4.47522="","-",4.47522/2578273.3802*100)</f>
        <v>0.00017357430109497744</v>
      </c>
      <c r="E41" s="40">
        <f>IF(7373.15522="","-",7373.15522/3223533.4262*100)</f>
        <v>0.22872898292516547</v>
      </c>
      <c r="F41" s="40">
        <f>IF(OR(2182440.05753="",4.78116="",4.47522=""),"-",(4.47522-4.78116)/2182440.05753*100)</f>
        <v>-1.4018254427855883E-05</v>
      </c>
      <c r="G41" s="71">
        <f>IF(OR(2578273.3802="",7373.15522="",4.47522=""),"-",(7373.15522-4.47522)/2578273.3802*100)</f>
        <v>0.2857990179237083</v>
      </c>
    </row>
    <row r="42" spans="1:7" s="11" customFormat="1" ht="15.75">
      <c r="A42" s="26" t="s">
        <v>12</v>
      </c>
      <c r="B42" s="40">
        <f>IF(2574.34844="","-",2574.34844)</f>
        <v>2574.34844</v>
      </c>
      <c r="C42" s="40" t="s">
        <v>158</v>
      </c>
      <c r="D42" s="40">
        <f>IF(817.19284="","-",817.19284/2578273.3802*100)</f>
        <v>0.03169535264474589</v>
      </c>
      <c r="E42" s="40">
        <f>IF(2574.34844="","-",2574.34844/3223533.4262*100)</f>
        <v>0.07986107477826657</v>
      </c>
      <c r="F42" s="40">
        <f>IF(OR(2182440.05753="",2021.46261="",817.19284=""),"-",(817.19284-2021.46261)/2182440.05753*100)</f>
        <v>-0.055179970045222924</v>
      </c>
      <c r="G42" s="71">
        <f>IF(OR(2578273.3802="",2574.34844="",817.19284=""),"-",(2574.34844-817.19284)/2578273.3802*100)</f>
        <v>0.06815241601197834</v>
      </c>
    </row>
    <row r="43" spans="1:7" s="11" customFormat="1" ht="15.75">
      <c r="A43" s="26" t="s">
        <v>14</v>
      </c>
      <c r="B43" s="40">
        <f>IF(2158.19676="","-",2158.19676)</f>
        <v>2158.19676</v>
      </c>
      <c r="C43" s="40">
        <f>IF(OR(2122.56288="",2158.19676=""),"-",2158.19676/2122.56288*100)</f>
        <v>101.67881386863789</v>
      </c>
      <c r="D43" s="40">
        <f>IF(2122.56288="","-",2122.56288/2578273.3802*100)</f>
        <v>0.08232497361607752</v>
      </c>
      <c r="E43" s="40">
        <f>IF(2158.19676="","-",2158.19676/3223533.4262*100)</f>
        <v>0.06695127596502537</v>
      </c>
      <c r="F43" s="40">
        <f>IF(OR(2182440.05753="",1637.40307="",2122.56288=""),"-",(2122.56288-1637.40307)/2182440.05753*100)</f>
        <v>0.022230155111297067</v>
      </c>
      <c r="G43" s="71">
        <f>IF(OR(2578273.3802="",2158.19676="",2122.56288=""),"-",(2158.19676-2122.56288)/2578273.3802*100)</f>
        <v>0.001382083074419195</v>
      </c>
    </row>
    <row r="44" spans="1:7" s="11" customFormat="1" ht="15.75">
      <c r="A44" s="26" t="s">
        <v>16</v>
      </c>
      <c r="B44" s="40">
        <f>IF(669.96967="","-",669.96967)</f>
        <v>669.96967</v>
      </c>
      <c r="C44" s="40" t="s">
        <v>162</v>
      </c>
      <c r="D44" s="40">
        <f>IF(356.8124="","-",356.8124/2578273.3802*100)</f>
        <v>0.013839199626391893</v>
      </c>
      <c r="E44" s="40">
        <f>IF(669.96967="","-",669.96967/3223533.4262*100)</f>
        <v>0.020783704755615973</v>
      </c>
      <c r="F44" s="40">
        <f>IF(OR(2182440.05753="",94.54549="",356.8124=""),"-",(356.8124-94.54549)/2182440.05753*100)</f>
        <v>0.012017141506137101</v>
      </c>
      <c r="G44" s="71">
        <f>IF(OR(2578273.3802="",669.96967="",356.8124=""),"-",(669.96967-356.8124)/2578273.3802*100)</f>
        <v>0.01214600718468838</v>
      </c>
    </row>
    <row r="45" spans="1:7" s="11" customFormat="1" ht="15.75">
      <c r="A45" s="26" t="s">
        <v>13</v>
      </c>
      <c r="B45" s="40">
        <f>IF(334.02105="","-",334.02105)</f>
        <v>334.02105</v>
      </c>
      <c r="C45" s="40" t="s">
        <v>223</v>
      </c>
      <c r="D45" s="40">
        <f>IF(93.12831="","-",93.12831/2578273.3802*100)</f>
        <v>0.0036120417142411765</v>
      </c>
      <c r="E45" s="40">
        <f>IF(334.02105="","-",334.02105/3223533.4262*100)</f>
        <v>0.010361953975261061</v>
      </c>
      <c r="F45" s="40">
        <f>IF(OR(2182440.05753="",493.4583="",93.12831=""),"-",(93.12831-493.4583)/2182440.05753*100)</f>
        <v>-0.018343229570899545</v>
      </c>
      <c r="G45" s="71">
        <f>IF(OR(2578273.3802="",334.02105="",93.12831=""),"-",(334.02105-93.12831)/2578273.3802*100)</f>
        <v>0.00934318066695137</v>
      </c>
    </row>
    <row r="46" spans="1:7" s="11" customFormat="1" ht="15.75">
      <c r="A46" s="26" t="s">
        <v>237</v>
      </c>
      <c r="B46" s="40">
        <f>IF(58.69841="","-",58.69841)</f>
        <v>58.69841</v>
      </c>
      <c r="C46" s="40">
        <f>IF(OR(44.93099="",58.69841=""),"-",58.69841/44.93099*100)</f>
        <v>130.64125673616363</v>
      </c>
      <c r="D46" s="40">
        <f>IF(44.93099="","-",44.93099/2578273.3802*100)</f>
        <v>0.001742677496694111</v>
      </c>
      <c r="E46" s="40">
        <f>IF(58.69841="","-",58.69841/3223533.4262*100)</f>
        <v>0.0018209338089351065</v>
      </c>
      <c r="F46" s="40">
        <f>IF(OR(2182440.05753="",76.73739="",44.93099=""),"-",(44.93099-76.73739)/2182440.05753*100)</f>
        <v>-0.0014573779421917887</v>
      </c>
      <c r="G46" s="71">
        <f>IF(OR(2578273.3802="",58.69841="",44.93099=""),"-",(58.69841-44.93099)/2578273.3802*100)</f>
        <v>0.0005339782858453918</v>
      </c>
    </row>
    <row r="47" spans="1:7" s="11" customFormat="1" ht="15.75">
      <c r="A47" s="35" t="s">
        <v>290</v>
      </c>
      <c r="B47" s="37">
        <f>IF(816689.33967="","-",816689.33967)</f>
        <v>816689.33967</v>
      </c>
      <c r="C47" s="37">
        <f>IF(661189.54564="","-",816689.33967/661189.54564*100)</f>
        <v>123.51818703961564</v>
      </c>
      <c r="D47" s="37">
        <f>IF(661189.54564="","-",661189.54564/2578273.3802*100)</f>
        <v>25.644664011103067</v>
      </c>
      <c r="E47" s="37">
        <f>IF(816689.33967="","-",816689.33967/3223533.4262*100)</f>
        <v>25.33522168661792</v>
      </c>
      <c r="F47" s="37">
        <f>IF(2182440.05753="","-",(661189.54564-546679.78682)/2182440.05753*100)</f>
        <v>5.246868450059409</v>
      </c>
      <c r="G47" s="70">
        <f>IF(2578273.3802="","-",(816689.33967-661189.54564)/2578273.3802*100)</f>
        <v>6.031160047812217</v>
      </c>
    </row>
    <row r="48" spans="1:7" s="11" customFormat="1" ht="15.75">
      <c r="A48" s="26" t="s">
        <v>107</v>
      </c>
      <c r="B48" s="40">
        <f>IF(335776.12393="","-",335776.12393)</f>
        <v>335776.12393</v>
      </c>
      <c r="C48" s="40">
        <f>IF(OR(259504.40766="",335776.12393=""),"-",335776.12393/259504.40766*100)</f>
        <v>129.39129896010493</v>
      </c>
      <c r="D48" s="40">
        <f>IF(259504.40766="","-",259504.40766/2578273.3802*100)</f>
        <v>10.065046230274847</v>
      </c>
      <c r="E48" s="40">
        <f>IF(335776.12393="","-",335776.12393/3223533.4262*100)</f>
        <v>10.416399631562784</v>
      </c>
      <c r="F48" s="40">
        <f>IF(OR(2182440.05753="",201531.61301="",259504.40766=""),"-",(259504.40766-201531.61301)/2182440.05753*100)</f>
        <v>2.6563292975666575</v>
      </c>
      <c r="G48" s="71">
        <f>IF(OR(2578273.3802="",335776.12393="",259504.40766=""),"-",(335776.12393-259504.40766)/2578273.3802*100)</f>
        <v>2.958247828012851</v>
      </c>
    </row>
    <row r="49" spans="1:7" s="11" customFormat="1" ht="15.75">
      <c r="A49" s="26" t="s">
        <v>104</v>
      </c>
      <c r="B49" s="40">
        <f>IF(187350.68264="","-",187350.68264)</f>
        <v>187350.68264</v>
      </c>
      <c r="C49" s="40">
        <f>IF(OR(167140.66397="",187350.68264=""),"-",187350.68264/167140.66397*100)</f>
        <v>112.09162282233575</v>
      </c>
      <c r="D49" s="40">
        <f>IF(167140.66397="","-",167140.66397/2578273.3802*100)</f>
        <v>6.482658714687373</v>
      </c>
      <c r="E49" s="40">
        <f>IF(187350.68264="","-",187350.68264/3223533.4262*100)</f>
        <v>5.811966493577041</v>
      </c>
      <c r="F49" s="40">
        <f>IF(OR(2182440.05753="",151272.15646="",167140.66397=""),"-",(167140.66397-151272.15646)/2182440.05753*100)</f>
        <v>0.7270993517209976</v>
      </c>
      <c r="G49" s="71">
        <f>IF(OR(2578273.3802="",187350.68264="",167140.66397=""),"-",(187350.68264-167140.66397)/2578273.3802*100)</f>
        <v>0.7838586406392755</v>
      </c>
    </row>
    <row r="50" spans="1:7" s="11" customFormat="1" ht="15.75">
      <c r="A50" s="26" t="s">
        <v>18</v>
      </c>
      <c r="B50" s="40">
        <f>IF(42966.4905="","-",42966.4905)</f>
        <v>42966.4905</v>
      </c>
      <c r="C50" s="40">
        <f>IF(OR(45427.39723="",42966.4905=""),"-",42966.4905/45427.39723*100)</f>
        <v>94.5827696939352</v>
      </c>
      <c r="D50" s="40">
        <f>IF(45427.39723="","-",45427.39723/2578273.3802*100)</f>
        <v>1.7619309720552652</v>
      </c>
      <c r="E50" s="40">
        <f>IF(42966.4905="","-",42966.4905/3223533.4262*100)</f>
        <v>1.3329004176218584</v>
      </c>
      <c r="F50" s="40">
        <f>IF(OR(2182440.05753="",33097.49763="",45427.39723=""),"-",(45427.39723-33097.49763)/2182440.05753*100)</f>
        <v>0.5649593700160773</v>
      </c>
      <c r="G50" s="71">
        <f>IF(OR(2578273.3802="",42966.4905="",45427.39723=""),"-",(42966.4905-45427.39723)/2578273.3802*100)</f>
        <v>-0.09544785859011998</v>
      </c>
    </row>
    <row r="51" spans="1:7" s="11" customFormat="1" ht="15.75">
      <c r="A51" s="26" t="s">
        <v>125</v>
      </c>
      <c r="B51" s="40">
        <f>IF(32173.57586="","-",32173.57586)</f>
        <v>32173.57586</v>
      </c>
      <c r="C51" s="40" t="s">
        <v>160</v>
      </c>
      <c r="D51" s="40">
        <f>IF(18349.30613="","-",18349.30613/2578273.3802*100)</f>
        <v>0.7116897017560109</v>
      </c>
      <c r="E51" s="40">
        <f>IF(32173.57586="","-",32173.57586/3223533.4262*100)</f>
        <v>0.9980841395501581</v>
      </c>
      <c r="F51" s="40">
        <f>IF(OR(2182440.05753="",15499.10009="",18349.30613=""),"-",(18349.30613-15499.10009)/2182440.05753*100)</f>
        <v>0.13059721984876654</v>
      </c>
      <c r="G51" s="71">
        <f>IF(OR(2578273.3802="",32173.57586="",18349.30613=""),"-",(32173.57586-18349.30613)/2578273.3802*100)</f>
        <v>0.5361832393788913</v>
      </c>
    </row>
    <row r="52" spans="1:7" s="11" customFormat="1" ht="15.75">
      <c r="A52" s="26" t="s">
        <v>85</v>
      </c>
      <c r="B52" s="40">
        <f>IF(20684.53999="","-",20684.53999)</f>
        <v>20684.53999</v>
      </c>
      <c r="C52" s="40">
        <f>IF(OR(13799.85396="",20684.53999=""),"-",20684.53999/13799.85396*100)</f>
        <v>149.88955716456002</v>
      </c>
      <c r="D52" s="40">
        <f>IF(13799.85396="","-",13799.85396/2578273.3802*100)</f>
        <v>0.5352362579537445</v>
      </c>
      <c r="E52" s="40">
        <f>IF(20684.53999="","-",20684.53999/3223533.4262*100)</f>
        <v>0.6416728867112624</v>
      </c>
      <c r="F52" s="40">
        <f>IF(OR(2182440.05753="",12101.07259="",13799.85396=""),"-",(13799.85396-12101.07259)/2182440.05753*100)</f>
        <v>0.07783862673060606</v>
      </c>
      <c r="G52" s="71">
        <f>IF(OR(2578273.3802="",20684.53999="",13799.85396=""),"-",(20684.53999-13799.85396)/2578273.3802*100)</f>
        <v>0.2670269988772853</v>
      </c>
    </row>
    <row r="53" spans="1:7" s="11" customFormat="1" ht="15.75">
      <c r="A53" s="26" t="s">
        <v>121</v>
      </c>
      <c r="B53" s="40">
        <f>IF(19628.74147="","-",19628.74147)</f>
        <v>19628.74147</v>
      </c>
      <c r="C53" s="40">
        <f>IF(OR(16903.5089="",19628.74147=""),"-",19628.74147/16903.5089*100)</f>
        <v>116.1222890828306</v>
      </c>
      <c r="D53" s="40">
        <f>IF(16903.5089="","-",16903.5089/2578273.3802*100)</f>
        <v>0.6556135214291656</v>
      </c>
      <c r="E53" s="40">
        <f>IF(19628.74147="","-",19628.74147/3223533.4262*100)</f>
        <v>0.608920053704514</v>
      </c>
      <c r="F53" s="40">
        <f>IF(OR(2182440.05753="",9829.26612="",16903.5089=""),"-",(16903.5089-9829.26612)/2182440.05753*100)</f>
        <v>0.3241437379043689</v>
      </c>
      <c r="G53" s="71">
        <f>IF(OR(2578273.3802="",19628.74147="",16903.5089=""),"-",(19628.74147-16903.5089)/2578273.3802*100)</f>
        <v>0.10569990719093568</v>
      </c>
    </row>
    <row r="54" spans="1:7" s="11" customFormat="1" ht="15.75">
      <c r="A54" s="26" t="s">
        <v>238</v>
      </c>
      <c r="B54" s="40">
        <f>IF(17914.04583="","-",17914.04583)</f>
        <v>17914.04583</v>
      </c>
      <c r="C54" s="40">
        <f>IF(OR(18030.88813="",17914.04583=""),"-",17914.04583/18030.88813*100)</f>
        <v>99.35198810420438</v>
      </c>
      <c r="D54" s="40">
        <f>IF(18030.88813="","-",18030.88813/2578273.3802*100)</f>
        <v>0.6993396537570162</v>
      </c>
      <c r="E54" s="40">
        <f>IF(17914.04583="","-",17914.04583/3223533.4262*100)</f>
        <v>0.5557270070289801</v>
      </c>
      <c r="F54" s="40">
        <f>IF(OR(2182440.05753="",15352.09558="",18030.88813=""),"-",(18030.88813-15352.09558)/2182440.05753*100)</f>
        <v>0.12274300688156138</v>
      </c>
      <c r="G54" s="71">
        <f>IF(OR(2578273.3802="",17914.04583="",18030.88813=""),"-",(17914.04583-18030.88813)/2578273.3802*100)</f>
        <v>-0.00453180414836136</v>
      </c>
    </row>
    <row r="55" spans="1:7" s="11" customFormat="1" ht="15.75">
      <c r="A55" s="26" t="s">
        <v>118</v>
      </c>
      <c r="B55" s="40">
        <f>IF(16985.35424="","-",16985.35424)</f>
        <v>16985.35424</v>
      </c>
      <c r="C55" s="40">
        <f>IF(OR(15790.82535="",16985.35424=""),"-",16985.35424/15790.82535*100)</f>
        <v>107.56470205656477</v>
      </c>
      <c r="D55" s="40">
        <f>IF(15790.82535="","-",15790.82535/2578273.3802*100)</f>
        <v>0.6124573705514147</v>
      </c>
      <c r="E55" s="40">
        <f>IF(16985.35424="","-",16985.35424/3223533.4262*100)</f>
        <v>0.5269172673051155</v>
      </c>
      <c r="F55" s="40">
        <f>IF(OR(2182440.05753="",13630.01298="",15790.82535=""),"-",(15790.82535-13630.01298)/2182440.05753*100)</f>
        <v>0.09900901344550661</v>
      </c>
      <c r="G55" s="71">
        <f>IF(OR(2578273.3802="",16985.35424="",15790.82535=""),"-",(16985.35424-15790.82535)/2578273.3802*100)</f>
        <v>0.0463305753056854</v>
      </c>
    </row>
    <row r="56" spans="1:7" s="11" customFormat="1" ht="15.75">
      <c r="A56" s="26" t="s">
        <v>115</v>
      </c>
      <c r="B56" s="40">
        <f>IF(16134.53825="","-",16134.53825)</f>
        <v>16134.53825</v>
      </c>
      <c r="C56" s="40" t="s">
        <v>161</v>
      </c>
      <c r="D56" s="40">
        <f>IF(9458.19923="","-",9458.19923/2578273.3802*100)</f>
        <v>0.36684237221059607</v>
      </c>
      <c r="E56" s="40">
        <f>IF(16134.53825="","-",16134.53825/3223533.4262*100)</f>
        <v>0.5005233734777768</v>
      </c>
      <c r="F56" s="40">
        <f>IF(OR(2182440.05753="",9617.14966="",9458.19923=""),"-",(9458.19923-9617.14966)/2182440.05753*100)</f>
        <v>-0.007283152151261961</v>
      </c>
      <c r="G56" s="71">
        <f>IF(OR(2578273.3802="",16134.53825="",9458.19923=""),"-",(16134.53825-9458.19923)/2578273.3802*100)</f>
        <v>0.25894612539040013</v>
      </c>
    </row>
    <row r="57" spans="1:7" s="11" customFormat="1" ht="15.75">
      <c r="A57" s="26" t="s">
        <v>119</v>
      </c>
      <c r="B57" s="40">
        <f>IF(11611.49667="","-",11611.49667)</f>
        <v>11611.49667</v>
      </c>
      <c r="C57" s="40">
        <f>IF(OR(10078.70549="",11611.49667=""),"-",11611.49667/10078.70549*100)</f>
        <v>115.20821480021239</v>
      </c>
      <c r="D57" s="40">
        <f>IF(10078.70549="","-",10078.70549/2578273.3802*100)</f>
        <v>0.3909091086849053</v>
      </c>
      <c r="E57" s="40">
        <f>IF(11611.49667="","-",11611.49667/3223533.4262*100)</f>
        <v>0.36021021453120117</v>
      </c>
      <c r="F57" s="40">
        <f>IF(OR(2182440.05753="",8050.03364="",10078.70549=""),"-",(10078.70549-8050.03364)/2182440.05753*100)</f>
        <v>0.09295429869885966</v>
      </c>
      <c r="G57" s="71">
        <f>IF(OR(2578273.3802="",11611.49667="",10078.70549=""),"-",(11611.49667-10078.70549)/2578273.3802*100)</f>
        <v>0.05945029692239616</v>
      </c>
    </row>
    <row r="58" spans="1:7" s="11" customFormat="1" ht="15.75">
      <c r="A58" s="26" t="s">
        <v>130</v>
      </c>
      <c r="B58" s="40">
        <f>IF(9132.83796="","-",9132.83796)</f>
        <v>9132.83796</v>
      </c>
      <c r="C58" s="40">
        <f>IF(OR(7667.48865="",9132.83796=""),"-",9132.83796/7667.48865*100)</f>
        <v>119.11120285779621</v>
      </c>
      <c r="D58" s="40">
        <f>IF(7667.48865="","-",7667.48865/2578273.3802*100)</f>
        <v>0.2973885046047841</v>
      </c>
      <c r="E58" s="40">
        <f>IF(9132.83796="","-",9132.83796/3223533.4262*100)</f>
        <v>0.28331761308168196</v>
      </c>
      <c r="F58" s="40">
        <f>IF(OR(2182440.05753="",5873.57232="",7667.48865=""),"-",(7667.48865-5873.57232)/2182440.05753*100)</f>
        <v>0.08219773660268517</v>
      </c>
      <c r="G58" s="71">
        <f>IF(OR(2578273.3802="",9132.83796="",7667.48865=""),"-",(9132.83796-7667.48865)/2578273.3802*100)</f>
        <v>0.05683452039078694</v>
      </c>
    </row>
    <row r="59" spans="1:7" s="11" customFormat="1" ht="15.75">
      <c r="A59" s="26" t="s">
        <v>110</v>
      </c>
      <c r="B59" s="40">
        <f>IF(8854.6364="","-",8854.6364)</f>
        <v>8854.6364</v>
      </c>
      <c r="C59" s="40" t="s">
        <v>225</v>
      </c>
      <c r="D59" s="40">
        <f>IF(5437.50298="","-",5437.50298/2578273.3802*100)</f>
        <v>0.2108970686257563</v>
      </c>
      <c r="E59" s="40">
        <f>IF(8854.6364="","-",8854.6364/3223533.4262*100)</f>
        <v>0.27468728346453397</v>
      </c>
      <c r="F59" s="40">
        <f>IF(OR(2182440.05753="",8116.42979="",5437.50298=""),"-",(5437.50298-8116.42979)/2182440.05753*100)</f>
        <v>-0.12274915871146098</v>
      </c>
      <c r="G59" s="71">
        <f>IF(OR(2578273.3802="",8854.6364="",5437.50298=""),"-",(8854.6364-5437.50298)/2578273.3802*100)</f>
        <v>0.1325357289976336</v>
      </c>
    </row>
    <row r="60" spans="1:7" s="11" customFormat="1" ht="15.75">
      <c r="A60" s="26" t="s">
        <v>134</v>
      </c>
      <c r="B60" s="40">
        <f>IF(6624.37204="","-",6624.37204)</f>
        <v>6624.37204</v>
      </c>
      <c r="C60" s="40" t="s">
        <v>151</v>
      </c>
      <c r="D60" s="40">
        <f>IF(2991.48822="","-",2991.48822/2578273.3802*100)</f>
        <v>0.11602680472029489</v>
      </c>
      <c r="E60" s="40">
        <f>IF(6624.37204="","-",6624.37204/3223533.4262*100)</f>
        <v>0.20550033656108269</v>
      </c>
      <c r="F60" s="40">
        <f>IF(OR(2182440.05753="",2270.34269="",2991.48822=""),"-",(2991.48822-2270.34269)/2182440.05753*100)</f>
        <v>0.03304308530774332</v>
      </c>
      <c r="G60" s="71">
        <f>IF(OR(2578273.3802="",6624.37204="",2991.48822=""),"-",(6624.37204-2991.48822)/2578273.3802*100)</f>
        <v>0.1409037477522338</v>
      </c>
    </row>
    <row r="61" spans="1:7" s="11" customFormat="1" ht="15.75">
      <c r="A61" s="26" t="s">
        <v>120</v>
      </c>
      <c r="B61" s="40">
        <f>IF(6451.28062="","-",6451.28062)</f>
        <v>6451.28062</v>
      </c>
      <c r="C61" s="40">
        <f>IF(OR(5270.15822="",6451.28062=""),"-",6451.28062/5270.15822*100)</f>
        <v>122.4115168974946</v>
      </c>
      <c r="D61" s="40">
        <f>IF(5270.15822="","-",5270.15822/2578273.3802*100)</f>
        <v>0.20440649391458973</v>
      </c>
      <c r="E61" s="40">
        <f>IF(6451.28062="","-",6451.28062/3223533.4262*100)</f>
        <v>0.2001307189050919</v>
      </c>
      <c r="F61" s="40">
        <f>IF(OR(2182440.05753="",3107.09451="",5270.15822=""),"-",(5270.15822-3107.09451)/2182440.05753*100)</f>
        <v>0.09911217045970422</v>
      </c>
      <c r="G61" s="71">
        <f>IF(OR(2578273.3802="",6451.28062="",5270.15822=""),"-",(6451.28062-5270.15822)/2578273.3802*100)</f>
        <v>0.04581059592324453</v>
      </c>
    </row>
    <row r="62" spans="1:7" s="11" customFormat="1" ht="15.75">
      <c r="A62" s="26" t="s">
        <v>109</v>
      </c>
      <c r="B62" s="40">
        <f>IF(5616.76804="","-",5616.76804)</f>
        <v>5616.76804</v>
      </c>
      <c r="C62" s="40">
        <f>IF(OR(4890.82625="",5616.76804=""),"-",5616.76804/4890.82625*100)</f>
        <v>114.84292740924911</v>
      </c>
      <c r="D62" s="40">
        <f>IF(4890.82625="","-",4890.82625/2578273.3802*100)</f>
        <v>0.1896938582060143</v>
      </c>
      <c r="E62" s="40">
        <f>IF(5616.76804="","-",5616.76804/3223533.4262*100)</f>
        <v>0.1742425871668785</v>
      </c>
      <c r="F62" s="40">
        <f>IF(OR(2182440.05753="",3452.20695="",4890.82625=""),"-",(4890.82625-3452.20695)/2182440.05753*100)</f>
        <v>0.06591792956862115</v>
      </c>
      <c r="G62" s="71">
        <f>IF(OR(2578273.3802="",5616.76804="",4890.82625=""),"-",(5616.76804-4890.82625)/2578273.3802*100)</f>
        <v>0.02815612167332262</v>
      </c>
    </row>
    <row r="63" spans="1:7" s="11" customFormat="1" ht="15.75">
      <c r="A63" s="26" t="s">
        <v>111</v>
      </c>
      <c r="B63" s="40">
        <f>IF(5144.07241="","-",5144.07241)</f>
        <v>5144.07241</v>
      </c>
      <c r="C63" s="40">
        <f>IF(OR(5436.38344="",5144.07241=""),"-",5144.07241/5436.38344*100)</f>
        <v>94.62306084134492</v>
      </c>
      <c r="D63" s="40">
        <f>IF(5436.38344="","-",5436.38344/2578273.3802*100)</f>
        <v>0.2108536465430323</v>
      </c>
      <c r="E63" s="40">
        <f>IF(5144.07241="","-",5144.07241/3223533.4262*100)</f>
        <v>0.15957868989942475</v>
      </c>
      <c r="F63" s="40">
        <f>IF(OR(2182440.05753="",2772.81867="",5436.38344=""),"-",(5436.38344-2772.81867)/2182440.05753*100)</f>
        <v>0.12204526583948967</v>
      </c>
      <c r="G63" s="71">
        <f>IF(OR(2578273.3802="",5144.07241="",5436.38344=""),"-",(5144.07241-5436.38344)/2578273.3802*100)</f>
        <v>-0.01133747228842447</v>
      </c>
    </row>
    <row r="64" spans="1:7" s="11" customFormat="1" ht="15.75">
      <c r="A64" s="26" t="s">
        <v>133</v>
      </c>
      <c r="B64" s="40">
        <f>IF(5107.63651="","-",5107.63651)</f>
        <v>5107.63651</v>
      </c>
      <c r="C64" s="40">
        <f>IF(OR(3505.82575="",5107.63651=""),"-",5107.63651/3505.82575*100)</f>
        <v>145.68997075795912</v>
      </c>
      <c r="D64" s="40">
        <f>IF(3505.82575="","-",3505.82575/2578273.3802*100)</f>
        <v>0.13597571835954994</v>
      </c>
      <c r="E64" s="40">
        <f>IF(5107.63651="","-",5107.63651/3223533.4262*100)</f>
        <v>0.15844838054063667</v>
      </c>
      <c r="F64" s="40">
        <f>IF(OR(2182440.05753="",2708.35832="",3505.82575=""),"-",(3505.82575-2708.35832)/2182440.05753*100)</f>
        <v>0.03654017562812435</v>
      </c>
      <c r="G64" s="71">
        <f>IF(OR(2578273.3802="",5107.63651="",3505.82575=""),"-",(5107.63651-3505.82575)/2578273.3802*100)</f>
        <v>0.06212726595640318</v>
      </c>
    </row>
    <row r="65" spans="1:7" s="11" customFormat="1" ht="15.75">
      <c r="A65" s="26" t="s">
        <v>127</v>
      </c>
      <c r="B65" s="40">
        <f>IF(4501.37254="","-",4501.37254)</f>
        <v>4501.37254</v>
      </c>
      <c r="C65" s="40">
        <f>IF(OR(4395.32327="",4501.37254=""),"-",4501.37254/4395.32327*100)</f>
        <v>102.41277520413192</v>
      </c>
      <c r="D65" s="40">
        <f>IF(4395.32327="","-",4395.32327/2578273.3802*100)</f>
        <v>0.17047545476574127</v>
      </c>
      <c r="E65" s="40">
        <f>IF(4501.37254="","-",4501.37254/3223533.4262*100)</f>
        <v>0.13964094503919433</v>
      </c>
      <c r="F65" s="40">
        <f>IF(OR(2182440.05753="",3276.30121="",4395.32327=""),"-",(4395.32327-3276.30121)/2182440.05753*100)</f>
        <v>0.051273896670796314</v>
      </c>
      <c r="G65" s="71">
        <f>IF(OR(2578273.3802="",4501.37254="",4395.32327=""),"-",(4501.37254-4395.32327)/2578273.3802*100)</f>
        <v>0.0041131895017189396</v>
      </c>
    </row>
    <row r="66" spans="1:7" s="11" customFormat="1" ht="15.75">
      <c r="A66" s="26" t="s">
        <v>117</v>
      </c>
      <c r="B66" s="40">
        <f>IF(4061.15309="","-",4061.15309)</f>
        <v>4061.15309</v>
      </c>
      <c r="C66" s="40">
        <f>IF(OR(3088.7288="",4061.15309=""),"-",4061.15309/3088.7288*100)</f>
        <v>131.48299358622876</v>
      </c>
      <c r="D66" s="40">
        <f>IF(3088.7288="","-",3088.7288/2578273.3802*100)</f>
        <v>0.11979834348522045</v>
      </c>
      <c r="E66" s="40">
        <f>IF(4061.15309="","-",4061.15309/3223533.4262*100)</f>
        <v>0.1259845192543082</v>
      </c>
      <c r="F66" s="40">
        <f>IF(OR(2182440.05753="",1627.87874="",3088.7288=""),"-",(3088.7288-1627.87874)/2182440.05753*100)</f>
        <v>0.0669365490685381</v>
      </c>
      <c r="G66" s="71">
        <f>IF(OR(2578273.3802="",4061.15309="",3088.7288=""),"-",(4061.15309-3088.7288)/2578273.3802*100)</f>
        <v>0.03771610479586023</v>
      </c>
    </row>
    <row r="67" spans="1:7" s="11" customFormat="1" ht="15.75">
      <c r="A67" s="26" t="s">
        <v>131</v>
      </c>
      <c r="B67" s="40">
        <f>IF(3833.99397="","-",3833.99397)</f>
        <v>3833.99397</v>
      </c>
      <c r="C67" s="40">
        <f>IF(OR(3822.55235="",3833.99397=""),"-",3833.99397/3822.55235*100)</f>
        <v>100.29931885694123</v>
      </c>
      <c r="D67" s="40">
        <f>IF(3822.55235="","-",3822.55235/2578273.3802*100)</f>
        <v>0.14826016431599195</v>
      </c>
      <c r="E67" s="40">
        <f>IF(3833.99397="","-",3833.99397/3223533.4262*100)</f>
        <v>0.11893762102289193</v>
      </c>
      <c r="F67" s="40">
        <f>IF(OR(2182440.05753="",2756.02379="",3822.55235=""),"-",(3822.55235-2756.02379)/2182440.05753*100)</f>
        <v>0.04886863015184275</v>
      </c>
      <c r="G67" s="71">
        <f>IF(OR(2578273.3802="",3833.99397="",3822.55235=""),"-",(3833.99397-3822.55235)/2578273.3802*100)</f>
        <v>0.00044377062912981385</v>
      </c>
    </row>
    <row r="68" spans="1:7" s="11" customFormat="1" ht="15.75">
      <c r="A68" s="26" t="s">
        <v>135</v>
      </c>
      <c r="B68" s="40">
        <f>IF(3518.0865="","-",3518.0865)</f>
        <v>3518.0865</v>
      </c>
      <c r="C68" s="40" t="s">
        <v>161</v>
      </c>
      <c r="D68" s="40">
        <f>IF(2028.62615="","-",2028.62615/2578273.3802*100)</f>
        <v>0.07868157680946296</v>
      </c>
      <c r="E68" s="40">
        <f>IF(3518.0865="","-",3518.0865/3223533.4262*100)</f>
        <v>0.1091375839755826</v>
      </c>
      <c r="F68" s="40">
        <f>IF(OR(2182440.05753="",1986.29864="",2028.62615=""),"-",(2028.62615-1986.29864)/2182440.05753*100)</f>
        <v>0.0019394580783082167</v>
      </c>
      <c r="G68" s="71">
        <f>IF(OR(2578273.3802="",3518.0865="",2028.62615=""),"-",(3518.0865-2028.62615)/2578273.3802*100)</f>
        <v>0.05776968266586457</v>
      </c>
    </row>
    <row r="69" spans="1:7" s="11" customFormat="1" ht="15.75">
      <c r="A69" s="26" t="s">
        <v>113</v>
      </c>
      <c r="B69" s="40">
        <f>IF(3427.25803="","-",3427.25803)</f>
        <v>3427.25803</v>
      </c>
      <c r="C69" s="40">
        <f>IF(OR(5794.34833="",3427.25803=""),"-",3427.25803/5794.34833*100)</f>
        <v>59.14829131440912</v>
      </c>
      <c r="D69" s="40">
        <f>IF(5794.34833="","-",5794.34833/2578273.3802*100)</f>
        <v>0.22473754623920156</v>
      </c>
      <c r="E69" s="40">
        <f>IF(3427.25803="","-",3427.25803/3223533.4262*100)</f>
        <v>0.10631991596997822</v>
      </c>
      <c r="F69" s="40">
        <f>IF(OR(2182440.05753="",3507.40347="",5794.34833=""),"-",(5794.34833-3507.40347)/2182440.05753*100)</f>
        <v>0.10478843861527515</v>
      </c>
      <c r="G69" s="71">
        <f>IF(OR(2578273.3802="",3427.25803="",5794.34833=""),"-",(3427.25803-5794.34833)/2578273.3802*100)</f>
        <v>-0.09180912769678372</v>
      </c>
    </row>
    <row r="70" spans="1:7" s="11" customFormat="1" ht="15.75">
      <c r="A70" s="26" t="s">
        <v>136</v>
      </c>
      <c r="B70" s="40">
        <f>IF(3247.31494="","-",3247.31494)</f>
        <v>3247.31494</v>
      </c>
      <c r="C70" s="40" t="s">
        <v>225</v>
      </c>
      <c r="D70" s="40">
        <f>IF(2031.23948="","-",2031.23948/2578273.3802*100)</f>
        <v>0.0787829365031273</v>
      </c>
      <c r="E70" s="40">
        <f>IF(3247.31494="","-",3247.31494/3223533.4262*100)</f>
        <v>0.10073774677212001</v>
      </c>
      <c r="F70" s="40">
        <f>IF(OR(2182440.05753="",1701.36172="",2031.23948=""),"-",(2031.23948-1701.36172)/2182440.05753*100)</f>
        <v>0.01511508913437662</v>
      </c>
      <c r="G70" s="71">
        <f>IF(OR(2578273.3802="",3247.31494="",2031.23948=""),"-",(3247.31494-2031.23948)/2578273.3802*100)</f>
        <v>0.04716627295378847</v>
      </c>
    </row>
    <row r="71" spans="1:7" s="11" customFormat="1" ht="15.75">
      <c r="A71" s="26" t="s">
        <v>124</v>
      </c>
      <c r="B71" s="40">
        <f>IF(3120.42413="","-",3120.42413)</f>
        <v>3120.42413</v>
      </c>
      <c r="C71" s="40" t="s">
        <v>223</v>
      </c>
      <c r="D71" s="40">
        <f>IF(864.12777="","-",864.12777/2578273.3802*100)</f>
        <v>0.03351575424996121</v>
      </c>
      <c r="E71" s="40">
        <f>IF(3120.42413="","-",3120.42413/3223533.4262*100)</f>
        <v>0.09680135793344173</v>
      </c>
      <c r="F71" s="40">
        <f>IF(OR(2182440.05753="",624.26679="",864.12777=""),"-",(864.12777-624.26679)/2182440.05753*100)</f>
        <v>0.01099049566893788</v>
      </c>
      <c r="G71" s="71">
        <f>IF(OR(2578273.3802="",3120.42413="",864.12777=""),"-",(3120.42413-864.12777)/2578273.3802*100)</f>
        <v>0.08751191310151044</v>
      </c>
    </row>
    <row r="72" spans="1:7" s="11" customFormat="1" ht="15.75">
      <c r="A72" s="26" t="s">
        <v>114</v>
      </c>
      <c r="B72" s="40">
        <f>IF(3009.48823="","-",3009.48823)</f>
        <v>3009.48823</v>
      </c>
      <c r="C72" s="40">
        <f>IF(OR(2916.09643="",3009.48823=""),"-",3009.48823/2916.09643*100)</f>
        <v>103.202630716845</v>
      </c>
      <c r="D72" s="40">
        <f>IF(2916.09643="","-",2916.09643/2578273.3802*100)</f>
        <v>0.1131026854015688</v>
      </c>
      <c r="E72" s="40">
        <f>IF(3009.48823="","-",3009.48823/3223533.4262*100)</f>
        <v>0.09335992006596552</v>
      </c>
      <c r="F72" s="40">
        <f>IF(OR(2182440.05753="",2612.46299="",2916.09643=""),"-",(2916.09643-2612.46299)/2182440.05753*100)</f>
        <v>0.013912567218164081</v>
      </c>
      <c r="G72" s="71">
        <f>IF(OR(2578273.3802="",3009.48823="",2916.09643=""),"-",(3009.48823-2916.09643)/2578273.3802*100)</f>
        <v>0.0036222613442471853</v>
      </c>
    </row>
    <row r="73" spans="1:7" s="11" customFormat="1" ht="15.75">
      <c r="A73" s="26" t="s">
        <v>123</v>
      </c>
      <c r="B73" s="40">
        <f>IF(2889.27653="","-",2889.27653)</f>
        <v>2889.27653</v>
      </c>
      <c r="C73" s="40" t="s">
        <v>145</v>
      </c>
      <c r="D73" s="40">
        <f>IF(1385.59432="","-",1385.59432/2578273.3802*100)</f>
        <v>0.05374117153909093</v>
      </c>
      <c r="E73" s="40">
        <f>IF(2889.27653="","-",2889.27653/3223533.4262*100)</f>
        <v>0.0896307296371351</v>
      </c>
      <c r="F73" s="40">
        <f>IF(OR(2182440.05753="",1382.18791="",1385.59432=""),"-",(1385.59432-1382.18791)/2182440.05753*100)</f>
        <v>0.0001560826373327781</v>
      </c>
      <c r="G73" s="71">
        <f>IF(OR(2578273.3802="",2889.27653="",1385.59432=""),"-",(2889.27653-1385.59432)/2578273.3802*100)</f>
        <v>0.05832128670092221</v>
      </c>
    </row>
    <row r="74" spans="1:7" s="11" customFormat="1" ht="15.75">
      <c r="A74" s="26" t="s">
        <v>132</v>
      </c>
      <c r="B74" s="40">
        <f>IF(2680.77763="","-",2680.77763)</f>
        <v>2680.77763</v>
      </c>
      <c r="C74" s="40">
        <f>IF(OR(2585.30547="",2680.77763=""),"-",2680.77763/2585.30547*100)</f>
        <v>103.69287734497388</v>
      </c>
      <c r="D74" s="40">
        <f>IF(2585.30547="","-",2585.30547/2578273.3802*100)</f>
        <v>0.10027274414939871</v>
      </c>
      <c r="E74" s="40">
        <f>IF(2680.77763="","-",2680.77763/3223533.4262*100)</f>
        <v>0.08316270612277109</v>
      </c>
      <c r="F74" s="40">
        <f>IF(OR(2182440.05753="",3322.86591="",2585.30547=""),"-",(2585.30547-3322.86591)/2182440.05753*100)</f>
        <v>-0.03379522097091373</v>
      </c>
      <c r="G74" s="71">
        <f>IF(OR(2578273.3802="",2680.77763="",2585.30547=""),"-",(2680.77763-2585.30547)/2578273.3802*100)</f>
        <v>0.003702949451876758</v>
      </c>
    </row>
    <row r="75" spans="1:7" s="11" customFormat="1" ht="15.75">
      <c r="A75" s="26" t="s">
        <v>87</v>
      </c>
      <c r="B75" s="40">
        <f>IF(2676.39852="","-",2676.39852)</f>
        <v>2676.39852</v>
      </c>
      <c r="C75" s="40" t="s">
        <v>145</v>
      </c>
      <c r="D75" s="40">
        <f>IF(1286.34376="","-",1286.34376/2578273.3802*100)</f>
        <v>0.049891674400339064</v>
      </c>
      <c r="E75" s="40">
        <f>IF(2676.39852="","-",2676.39852/3223533.4262*100)</f>
        <v>0.0830268579890304</v>
      </c>
      <c r="F75" s="40">
        <f>IF(OR(2182440.05753="",1719.4205="",1286.34376=""),"-",(1286.34376-1719.4205)/2182440.05753*100)</f>
        <v>-0.019843694607133415</v>
      </c>
      <c r="G75" s="71">
        <f>IF(OR(2578273.3802="",2676.39852="",1286.34376=""),"-",(2676.39852-1286.34376)/2578273.3802*100)</f>
        <v>0.053914172588330096</v>
      </c>
    </row>
    <row r="76" spans="1:7" s="11" customFormat="1" ht="15.75">
      <c r="A76" s="26" t="s">
        <v>139</v>
      </c>
      <c r="B76" s="40">
        <f>IF(2501.4132="","-",2501.4132)</f>
        <v>2501.4132</v>
      </c>
      <c r="C76" s="40" t="s">
        <v>201</v>
      </c>
      <c r="D76" s="40">
        <f>IF(930.06812="","-",930.06812/2578273.3802*100)</f>
        <v>0.03607329335758233</v>
      </c>
      <c r="E76" s="40">
        <f>IF(2501.4132="","-",2501.4132/3223533.4262*100)</f>
        <v>0.07759848803394424</v>
      </c>
      <c r="F76" s="40">
        <f>IF(OR(2182440.05753="",941.24437="",930.06812=""),"-",(930.06812-941.24437)/2182440.05753*100)</f>
        <v>-0.0005120988299971374</v>
      </c>
      <c r="G76" s="71">
        <f>IF(OR(2578273.3802="",2501.4132="",930.06812=""),"-",(2501.4132-930.06812)/2578273.3802*100)</f>
        <v>0.06094563486041611</v>
      </c>
    </row>
    <row r="77" spans="1:7" s="11" customFormat="1" ht="15.75">
      <c r="A77" s="26" t="s">
        <v>106</v>
      </c>
      <c r="B77" s="40">
        <f>IF(1768.68603="","-",1768.68603)</f>
        <v>1768.68603</v>
      </c>
      <c r="C77" s="40">
        <f>IF(OR(1345.42264="",1768.68603=""),"-",1768.68603/1345.42264*100)</f>
        <v>131.4595114885238</v>
      </c>
      <c r="D77" s="40">
        <f>IF(1345.42264="","-",1345.42264/2578273.3802*100)</f>
        <v>0.05218308695781647</v>
      </c>
      <c r="E77" s="40">
        <f>IF(1768.68603="","-",1768.68603/3223533.4262*100)</f>
        <v>0.0548679289510263</v>
      </c>
      <c r="F77" s="40">
        <f>IF(OR(2182440.05753="",717.37874="",1345.42264=""),"-",(1345.42264-717.37874)/2182440.05753*100)</f>
        <v>0.028777143172069315</v>
      </c>
      <c r="G77" s="71">
        <f>IF(OR(2578273.3802="",1768.68603="",1345.42264=""),"-",(1768.68603-1345.42264)/2578273.3802*100)</f>
        <v>0.01641654423656063</v>
      </c>
    </row>
    <row r="78" spans="1:7" s="11" customFormat="1" ht="15.75">
      <c r="A78" s="26" t="s">
        <v>138</v>
      </c>
      <c r="B78" s="40">
        <f>IF(1656.68822="","-",1656.68822)</f>
        <v>1656.68822</v>
      </c>
      <c r="C78" s="40">
        <f>IF(OR(2090.73728="",1656.68822=""),"-",1656.68822/2090.73728*100)</f>
        <v>79.23942600765218</v>
      </c>
      <c r="D78" s="40">
        <f>IF(2090.73728="","-",2090.73728/2578273.3802*100)</f>
        <v>0.08109059714365195</v>
      </c>
      <c r="E78" s="40">
        <f>IF(1656.68822="","-",1656.68822/3223533.4262*100)</f>
        <v>0.051393548661071424</v>
      </c>
      <c r="F78" s="40">
        <f>IF(OR(2182440.05753="",820.57946="",2090.73728=""),"-",(2090.73728-820.57946)/2182440.05753*100)</f>
        <v>0.05819897850653982</v>
      </c>
      <c r="G78" s="71">
        <f>IF(OR(2578273.3802="",1656.68822="",2090.73728=""),"-",(1656.68822-2090.73728)/2578273.3802*100)</f>
        <v>-0.016834873420844537</v>
      </c>
    </row>
    <row r="79" spans="1:7" s="11" customFormat="1" ht="15.75">
      <c r="A79" s="26" t="s">
        <v>122</v>
      </c>
      <c r="B79" s="40">
        <f>IF(1258.34052="","-",1258.34052)</f>
        <v>1258.34052</v>
      </c>
      <c r="C79" s="40">
        <f>IF(OR(1120.70759="",1258.34052=""),"-",1258.34052/1120.70759*100)</f>
        <v>112.28089567948763</v>
      </c>
      <c r="D79" s="40">
        <f>IF(1120.70759="","-",1120.70759/2578273.3802*100)</f>
        <v>0.04346736845698904</v>
      </c>
      <c r="E79" s="40">
        <f>IF(1258.34052="","-",1258.34052/3223533.4262*100)</f>
        <v>0.03903606240818078</v>
      </c>
      <c r="F79" s="40">
        <f>IF(OR(2182440.05753="",868.0311="",1120.70759=""),"-",(1120.70759-868.0311)/2182440.05753*100)</f>
        <v>0.011577705840222219</v>
      </c>
      <c r="G79" s="71">
        <f>IF(OR(2578273.3802="",1258.34052="",1120.70759=""),"-",(1258.34052-1120.70759)/2578273.3802*100)</f>
        <v>0.005338182174821338</v>
      </c>
    </row>
    <row r="80" spans="1:7" s="11" customFormat="1" ht="15.75">
      <c r="A80" s="26" t="s">
        <v>86</v>
      </c>
      <c r="B80" s="40">
        <f>IF(1249.14771="","-",1249.14771)</f>
        <v>1249.14771</v>
      </c>
      <c r="C80" s="40" t="s">
        <v>155</v>
      </c>
      <c r="D80" s="40">
        <f>IF(487.28641="","-",487.28641/2578273.3802*100)</f>
        <v>0.018899718460507108</v>
      </c>
      <c r="E80" s="40">
        <f>IF(1249.14771="","-",1249.14771/3223533.4262*100)</f>
        <v>0.038750884350919654</v>
      </c>
      <c r="F80" s="40">
        <f>IF(OR(2182440.05753="",2156.77232="",487.28641=""),"-",(487.28641-2156.77232)/2182440.05753*100)</f>
        <v>-0.07649630074557277</v>
      </c>
      <c r="G80" s="71">
        <f>IF(OR(2578273.3802="",1249.14771="",487.28641=""),"-",(1249.14771-487.28641)/2578273.3802*100)</f>
        <v>0.02954928309196217</v>
      </c>
    </row>
    <row r="81" spans="1:7" s="11" customFormat="1" ht="15.75">
      <c r="A81" s="26" t="s">
        <v>142</v>
      </c>
      <c r="B81" s="40">
        <f>IF(1135.76303="","-",1135.76303)</f>
        <v>1135.76303</v>
      </c>
      <c r="C81" s="40">
        <f>IF(OR(1057.44663="",1135.76303=""),"-",1135.76303/1057.44663*100)</f>
        <v>107.40617992229076</v>
      </c>
      <c r="D81" s="40">
        <f>IF(1057.44663="","-",1057.44663/2578273.3802*100)</f>
        <v>0.04101375122284249</v>
      </c>
      <c r="E81" s="40">
        <f>IF(1135.76303="","-",1135.76303/3223533.4262*100)</f>
        <v>0.035233480775127946</v>
      </c>
      <c r="F81" s="40">
        <f>IF(OR(2182440.05753="",474.74669="",1057.44663=""),"-",(1057.44663-474.74669)/2182440.05753*100)</f>
        <v>0.026699470530222806</v>
      </c>
      <c r="G81" s="71">
        <f>IF(OR(2578273.3802="",1135.76303="",1057.44663=""),"-",(1135.76303-1057.44663)/2578273.3802*100)</f>
        <v>0.0030375522084444377</v>
      </c>
    </row>
    <row r="82" spans="1:7" s="11" customFormat="1" ht="15.75">
      <c r="A82" s="26" t="s">
        <v>137</v>
      </c>
      <c r="B82" s="40">
        <f>IF(1039.86076="","-",1039.86076)</f>
        <v>1039.86076</v>
      </c>
      <c r="C82" s="40">
        <f>IF(OR(900.82613="",1039.86076=""),"-",1039.86076/900.82613*100)</f>
        <v>115.43412489599962</v>
      </c>
      <c r="D82" s="40">
        <f>IF(900.82613="","-",900.82613/2578273.3802*100)</f>
        <v>0.034939123869406036</v>
      </c>
      <c r="E82" s="40">
        <f>IF(1039.86076="","-",1039.86076/3223533.4262*100)</f>
        <v>0.03225841406043119</v>
      </c>
      <c r="F82" s="40">
        <f>IF(OR(2182440.05753="",723.29327="",900.82613=""),"-",(900.82613-723.29327)/2182440.05753*100)</f>
        <v>0.00813460417331804</v>
      </c>
      <c r="G82" s="71">
        <f>IF(OR(2578273.3802="",1039.86076="",900.82613=""),"-",(1039.86076-900.82613)/2578273.3802*100)</f>
        <v>0.005392548015572146</v>
      </c>
    </row>
    <row r="83" spans="1:7" s="11" customFormat="1" ht="15.75">
      <c r="A83" s="26" t="s">
        <v>116</v>
      </c>
      <c r="B83" s="40">
        <f>IF(1019.54667="","-",1019.54667)</f>
        <v>1019.54667</v>
      </c>
      <c r="C83" s="40">
        <f>IF(OR(1054.01005="",1019.54667=""),"-",1019.54667/1054.01005*100)</f>
        <v>96.73026077882272</v>
      </c>
      <c r="D83" s="40">
        <f>IF(1054.01005="","-",1054.01005/2578273.3802*100)</f>
        <v>0.04088046124566663</v>
      </c>
      <c r="E83" s="40">
        <f>IF(1019.54667="","-",1019.54667/3223533.4262*100)</f>
        <v>0.03162823322114183</v>
      </c>
      <c r="F83" s="40">
        <f>IF(OR(2182440.05753="",1414.56668="",1054.01005=""),"-",(1054.01005-1414.56668)/2182440.05753*100)</f>
        <v>-0.01652080334376119</v>
      </c>
      <c r="G83" s="71">
        <f>IF(OR(2578273.3802="",1019.54667="",1054.01005=""),"-",(1019.54667-1054.01005)/2578273.3802*100)</f>
        <v>-0.0013366844751477353</v>
      </c>
    </row>
    <row r="84" spans="1:7" s="11" customFormat="1" ht="15.75">
      <c r="A84" s="26" t="s">
        <v>199</v>
      </c>
      <c r="B84" s="40">
        <f>IF(975.74485="","-",975.74485)</f>
        <v>975.74485</v>
      </c>
      <c r="C84" s="40">
        <f>IF(OR(877.64584="",975.74485=""),"-",975.74485/877.64584*100)</f>
        <v>111.17751666207407</v>
      </c>
      <c r="D84" s="40">
        <f>IF(877.64584="","-",877.64584/2578273.3802*100)</f>
        <v>0.034040061334842615</v>
      </c>
      <c r="E84" s="40">
        <f>IF(975.74485="","-",975.74485/3223533.4262*100)</f>
        <v>0.030269419329404565</v>
      </c>
      <c r="F84" s="40">
        <f>IF(OR(2182440.05753="",289.06041="",877.64584=""),"-",(877.64584-289.06041)/2182440.05753*100)</f>
        <v>0.026969145290805283</v>
      </c>
      <c r="G84" s="71">
        <f>IF(OR(2578273.3802="",975.74485="",877.64584=""),"-",(975.74485-877.64584)/2578273.3802*100)</f>
        <v>0.00380483352748227</v>
      </c>
    </row>
    <row r="85" spans="1:7" s="11" customFormat="1" ht="15.75">
      <c r="A85" s="26" t="s">
        <v>277</v>
      </c>
      <c r="B85" s="40">
        <f>IF(954.56491="","-",954.56491)</f>
        <v>954.56491</v>
      </c>
      <c r="C85" s="40">
        <f>IF(OR(647.09289="",954.56491=""),"-",954.56491/647.09289*100)</f>
        <v>147.5159014650895</v>
      </c>
      <c r="D85" s="40">
        <f>IF(647.09289="","-",647.09289/2578273.3802*100)</f>
        <v>0.02509791610809728</v>
      </c>
      <c r="E85" s="40">
        <f>IF(954.56491="","-",954.56491/3223533.4262*100)</f>
        <v>0.029612378213346786</v>
      </c>
      <c r="F85" s="40">
        <f>IF(OR(2182440.05753="",516.93829="",647.09289=""),"-",(647.09289-516.93829)/2182440.05753*100)</f>
        <v>0.005963719349401231</v>
      </c>
      <c r="G85" s="71">
        <f>IF(OR(2578273.3802="",954.56491="",647.09289=""),"-",(954.56491-647.09289)/2578273.3802*100)</f>
        <v>0.01192550108771433</v>
      </c>
    </row>
    <row r="86" spans="1:7" s="11" customFormat="1" ht="15.75">
      <c r="A86" s="26" t="s">
        <v>239</v>
      </c>
      <c r="B86" s="40">
        <f>IF(918.42887="","-",918.42887)</f>
        <v>918.42887</v>
      </c>
      <c r="C86" s="40" t="s">
        <v>19</v>
      </c>
      <c r="D86" s="40">
        <f>IF(454.31288="","-",454.31288/2578273.3802*100)</f>
        <v>0.017620818780852414</v>
      </c>
      <c r="E86" s="40">
        <f>IF(918.42887="","-",918.42887/3223533.4262*100)</f>
        <v>0.028491371069251543</v>
      </c>
      <c r="F86" s="40">
        <f>IF(OR(2182440.05753="",153.79869="",454.31288=""),"-",(454.31288-153.79869)/2182440.05753*100)</f>
        <v>0.013769642330525685</v>
      </c>
      <c r="G86" s="71">
        <f>IF(OR(2578273.3802="",918.42887="",454.31288=""),"-",(918.42887-454.31288)/2578273.3802*100)</f>
        <v>0.01800103874027501</v>
      </c>
    </row>
    <row r="87" spans="1:7" s="11" customFormat="1" ht="15.75">
      <c r="A87" s="26" t="s">
        <v>140</v>
      </c>
      <c r="B87" s="40">
        <f>IF(872.26546="","-",872.26546)</f>
        <v>872.26546</v>
      </c>
      <c r="C87" s="40">
        <f>IF(OR(641.88818="",872.26546=""),"-",872.26546/641.88818*100)</f>
        <v>135.89056274567946</v>
      </c>
      <c r="D87" s="40">
        <f>IF(641.88818="","-",641.88818/2578273.3802*100)</f>
        <v>0.02489604806571008</v>
      </c>
      <c r="E87" s="40">
        <f>IF(872.26546="","-",872.26546/3223533.4262*100)</f>
        <v>0.02705929626510041</v>
      </c>
      <c r="F87" s="40">
        <f>IF(OR(2182440.05753="",718.57827="",641.88818=""),"-",(641.88818-718.57827)/2182440.05753*100)</f>
        <v>-0.0035139608868247577</v>
      </c>
      <c r="G87" s="71">
        <f>IF(OR(2578273.3802="",872.26546="",641.88818=""),"-",(872.26546-641.88818)/2578273.3802*100)</f>
        <v>0.008935331752218193</v>
      </c>
    </row>
    <row r="88" spans="1:7" ht="15.75">
      <c r="A88" s="26" t="s">
        <v>141</v>
      </c>
      <c r="B88" s="40">
        <f>IF(826.11579="","-",826.11579)</f>
        <v>826.11579</v>
      </c>
      <c r="C88" s="40" t="s">
        <v>294</v>
      </c>
      <c r="D88" s="40">
        <f>IF(343.6729="","-",343.6729/2578273.3802*100)</f>
        <v>0.013329575623719968</v>
      </c>
      <c r="E88" s="40">
        <f>IF(826.11579="","-",826.11579/3223533.4262*100)</f>
        <v>0.02562764770129437</v>
      </c>
      <c r="F88" s="40">
        <f>IF(OR(2182440.05753="",489.11742="",343.6729=""),"-",(343.6729-489.11742)/2182440.05753*100)</f>
        <v>-0.006664307663258727</v>
      </c>
      <c r="G88" s="71">
        <f>IF(OR(2578273.3802="",826.11579="",343.6729=""),"-",(826.11579-343.6729)/2578273.3802*100)</f>
        <v>0.018711859405792577</v>
      </c>
    </row>
    <row r="89" spans="1:7" ht="15.75">
      <c r="A89" s="26" t="s">
        <v>143</v>
      </c>
      <c r="B89" s="40">
        <f>IF(788.11414="","-",788.11414)</f>
        <v>788.11414</v>
      </c>
      <c r="C89" s="40">
        <f>IF(OR(632.19098="",788.11414=""),"-",788.11414/632.19098*100)</f>
        <v>124.6639330412465</v>
      </c>
      <c r="D89" s="40">
        <f>IF(632.19098="","-",632.19098/2578273.3802*100)</f>
        <v>0.024519935894112208</v>
      </c>
      <c r="E89" s="40">
        <f>IF(788.11414="","-",788.11414/3223533.4262*100)</f>
        <v>0.02444876586649989</v>
      </c>
      <c r="F89" s="40">
        <f>IF(OR(2182440.05753="",424.77488="",632.19098=""),"-",(632.19098-424.77488)/2182440.05753*100)</f>
        <v>0.00950386239861934</v>
      </c>
      <c r="G89" s="71">
        <f>IF(OR(2578273.3802="",788.11414="",632.19098=""),"-",(788.11414-632.19098)/2578273.3802*100)</f>
        <v>0.0060475805706804026</v>
      </c>
    </row>
    <row r="90" spans="1:7" ht="15.75">
      <c r="A90" s="26" t="s">
        <v>157</v>
      </c>
      <c r="B90" s="40">
        <f>IF(762.3806="","-",762.3806)</f>
        <v>762.3806</v>
      </c>
      <c r="C90" s="40" t="s">
        <v>162</v>
      </c>
      <c r="D90" s="40">
        <f>IF(396.65052="","-",396.65052/2578273.3802*100)</f>
        <v>0.015384346867407491</v>
      </c>
      <c r="E90" s="40">
        <f>IF(762.3806="","-",762.3806/3223533.4262*100)</f>
        <v>0.023650463612493622</v>
      </c>
      <c r="F90" s="40">
        <f>IF(OR(2182440.05753="",5.24822="",396.65052=""),"-",(396.65052-5.24822)/2182440.05753*100)</f>
        <v>0.017934160374740087</v>
      </c>
      <c r="G90" s="71">
        <f>IF(OR(2578273.3802="",762.3806="",396.65052=""),"-",(762.3806-396.65052)/2578273.3802*100)</f>
        <v>0.014185077610801296</v>
      </c>
    </row>
    <row r="91" spans="1:7" ht="15.75">
      <c r="A91" s="26" t="s">
        <v>156</v>
      </c>
      <c r="B91" s="40">
        <f>IF(732.99701="","-",732.99701)</f>
        <v>732.99701</v>
      </c>
      <c r="C91" s="40" t="s">
        <v>295</v>
      </c>
      <c r="D91" s="40">
        <f>IF(31.40523="","-",31.40523/2578273.3802*100)</f>
        <v>0.0012180721501908326</v>
      </c>
      <c r="E91" s="40">
        <f>IF(732.99701="","-",732.99701/3223533.4262*100)</f>
        <v>0.02273893002139827</v>
      </c>
      <c r="F91" s="40">
        <f>IF(OR(2182440.05753="",2.35904="",31.40523=""),"-",(31.40523-2.35904)/2182440.05753*100)</f>
        <v>0.0013309043654959915</v>
      </c>
      <c r="G91" s="71">
        <f>IF(OR(2578273.3802="",732.99701="",31.40523=""),"-",(732.99701-31.40523)/2578273.3802*100)</f>
        <v>0.027211690792292038</v>
      </c>
    </row>
    <row r="92" spans="1:7" ht="15.75">
      <c r="A92" s="26" t="s">
        <v>217</v>
      </c>
      <c r="B92" s="40">
        <f>IF(631.62479="","-",631.62479)</f>
        <v>631.62479</v>
      </c>
      <c r="C92" s="40" t="str">
        <f>IF(OR(""="",631.62479=""),"-",631.62479/""*100)</f>
        <v>-</v>
      </c>
      <c r="D92" s="40" t="str">
        <f>IF(""="","-",""/2578273.3802*100)</f>
        <v>-</v>
      </c>
      <c r="E92" s="40">
        <f>IF(631.62479="","-",631.62479/3223533.4262*100)</f>
        <v>0.019594175288096163</v>
      </c>
      <c r="F92" s="40" t="str">
        <f>IF(OR(2182440.05753="",""="",""=""),"-",(""-"")/2182440.05753*100)</f>
        <v>-</v>
      </c>
      <c r="G92" s="71" t="str">
        <f>IF(OR(2578273.3802="",631.62479="",""=""),"-",(631.62479-"")/2578273.3802*100)</f>
        <v>-</v>
      </c>
    </row>
    <row r="93" spans="1:7" ht="15.75">
      <c r="A93" s="26" t="s">
        <v>149</v>
      </c>
      <c r="B93" s="40">
        <f>IF(626.44453="","-",626.44453)</f>
        <v>626.44453</v>
      </c>
      <c r="C93" s="40" t="s">
        <v>225</v>
      </c>
      <c r="D93" s="40">
        <f>IF(400.57304="","-",400.57304/2578273.3802*100)</f>
        <v>0.015536484341661513</v>
      </c>
      <c r="E93" s="40">
        <f>IF(626.44453="","-",626.44453/3223533.4262*100)</f>
        <v>0.019433473991875803</v>
      </c>
      <c r="F93" s="40">
        <f>IF(OR(2182440.05753="",282.01522="",400.57304=""),"-",(400.57304-282.01522)/2182440.05753*100)</f>
        <v>0.005432351719853378</v>
      </c>
      <c r="G93" s="71">
        <f>IF(OR(2578273.3802="",626.44453="",400.57304=""),"-",(626.44453-400.57304)/2578273.3802*100)</f>
        <v>0.008760571773908585</v>
      </c>
    </row>
    <row r="94" spans="1:7" ht="15.75">
      <c r="A94" s="26" t="s">
        <v>198</v>
      </c>
      <c r="B94" s="40">
        <f>IF(621.21245="","-",621.21245)</f>
        <v>621.21245</v>
      </c>
      <c r="C94" s="40">
        <f>IF(OR(414.1538="",621.21245=""),"-",621.21245/414.1538*100)</f>
        <v>149.99559342447176</v>
      </c>
      <c r="D94" s="40">
        <f>IF(414.1538="","-",414.1538/2578273.3802*100)</f>
        <v>0.016063222898724323</v>
      </c>
      <c r="E94" s="40">
        <f>IF(621.21245="","-",621.21245/3223533.4262*100)</f>
        <v>0.01927116514291289</v>
      </c>
      <c r="F94" s="40">
        <f>IF(OR(2182440.05753="",579.47073="",414.1538=""),"-",(414.1538-579.47073)/2182440.05753*100)</f>
        <v>-0.0075748669215272395</v>
      </c>
      <c r="G94" s="71">
        <f>IF(OR(2578273.3802="",621.21245="",414.1538=""),"-",(621.21245-414.1538)/2578273.3802*100)</f>
        <v>0.008030903611312862</v>
      </c>
    </row>
    <row r="95" spans="1:7" ht="15.75">
      <c r="A95" s="26" t="s">
        <v>129</v>
      </c>
      <c r="B95" s="40">
        <f>IF(541.88011="","-",541.88011)</f>
        <v>541.88011</v>
      </c>
      <c r="C95" s="40">
        <f>IF(OR(370.41153="",541.88011=""),"-",541.88011/370.41153*100)</f>
        <v>146.29137219351674</v>
      </c>
      <c r="D95" s="40">
        <f>IF(370.41153="","-",370.41153/2578273.3802*100)</f>
        <v>0.014366650675781587</v>
      </c>
      <c r="E95" s="40">
        <f>IF(541.88011="","-",541.88011/3223533.4262*100)</f>
        <v>0.01681012846324925</v>
      </c>
      <c r="F95" s="40">
        <f>IF(OR(2182440.05753="",509.68145="",370.41153=""),"-",(370.41153-509.68145)/2182440.05753*100)</f>
        <v>-0.006381385803448833</v>
      </c>
      <c r="G95" s="71">
        <f>IF(OR(2578273.3802="",541.88011="",370.41153=""),"-",(541.88011-370.41153)/2578273.3802*100)</f>
        <v>0.006650519736068441</v>
      </c>
    </row>
    <row r="96" spans="1:7" ht="15.75">
      <c r="A96" s="26" t="s">
        <v>150</v>
      </c>
      <c r="B96" s="40">
        <f>IF(517.59312="","-",517.59312)</f>
        <v>517.59312</v>
      </c>
      <c r="C96" s="40" t="s">
        <v>296</v>
      </c>
      <c r="D96" s="40">
        <f>IF(162.84882="","-",162.84882/2578273.3802*100)</f>
        <v>0.006316196771475319</v>
      </c>
      <c r="E96" s="40">
        <f>IF(517.59312="","-",517.59312/3223533.4262*100)</f>
        <v>0.016056700879635503</v>
      </c>
      <c r="F96" s="40">
        <f>IF(OR(2182440.05753="",53.06927="",162.84882=""),"-",(162.84882-53.06927)/2182440.05753*100)</f>
        <v>0.005030128988937463</v>
      </c>
      <c r="G96" s="71">
        <f>IF(OR(2578273.3802="",517.59312="",162.84882=""),"-",(517.59312-162.84882)/2578273.3802*100)</f>
        <v>0.013758987030788877</v>
      </c>
    </row>
    <row r="97" spans="1:7" ht="15.75">
      <c r="A97" s="26" t="s">
        <v>159</v>
      </c>
      <c r="B97" s="40">
        <f>IF(442.75191="","-",442.75191)</f>
        <v>442.75191</v>
      </c>
      <c r="C97" s="40" t="s">
        <v>19</v>
      </c>
      <c r="D97" s="40">
        <f>IF(224.64823="","-",224.64823/2578273.3802*100)</f>
        <v>0.008713126843925828</v>
      </c>
      <c r="E97" s="40">
        <f>IF(442.75191="","-",442.75191/3223533.4262*100)</f>
        <v>0.013734987402377568</v>
      </c>
      <c r="F97" s="40">
        <f>IF(OR(2182440.05753="",148.44698="",224.64823=""),"-",(224.64823-148.44698)/2182440.05753*100)</f>
        <v>0.003491562104401695</v>
      </c>
      <c r="G97" s="71">
        <f>IF(OR(2578273.3802="",442.75191="",224.64823=""),"-",(442.75191-224.64823)/2578273.3802*100)</f>
        <v>0.008459292240882595</v>
      </c>
    </row>
    <row r="98" spans="1:7" ht="15.75">
      <c r="A98" s="26" t="s">
        <v>108</v>
      </c>
      <c r="B98" s="40">
        <f>IF(387.82032="","-",387.82032)</f>
        <v>387.82032</v>
      </c>
      <c r="C98" s="40">
        <f>IF(OR(471.64926="",387.82032=""),"-",387.82032/471.64926*100)</f>
        <v>82.22642393205493</v>
      </c>
      <c r="D98" s="40">
        <f>IF(471.64926="","-",471.64926/2578273.3802*100)</f>
        <v>0.018293221487762232</v>
      </c>
      <c r="E98" s="40">
        <f>IF(387.82032="","-",387.82032/3223533.4262*100)</f>
        <v>0.012030907353027651</v>
      </c>
      <c r="F98" s="40">
        <f>IF(OR(2182440.05753="",811.49799="",471.64926=""),"-",(471.64926-811.49799)/2182440.05753*100)</f>
        <v>-0.015571961705313796</v>
      </c>
      <c r="G98" s="71">
        <f>IF(OR(2578273.3802="",387.82032="",471.64926=""),"-",(387.82032-471.64926)/2578273.3802*100)</f>
        <v>-0.003251359636405094</v>
      </c>
    </row>
    <row r="99" spans="1:7" ht="15.75">
      <c r="A99" s="26" t="s">
        <v>144</v>
      </c>
      <c r="B99" s="40">
        <f>IF(370.55734="","-",370.55734)</f>
        <v>370.55734</v>
      </c>
      <c r="C99" s="40">
        <f>IF(OR(537.95958="",370.55734=""),"-",370.55734/537.95958*100)</f>
        <v>68.88200410893324</v>
      </c>
      <c r="D99" s="40">
        <f>IF(537.95958="","-",537.95958/2578273.3802*100)</f>
        <v>0.020865110121032617</v>
      </c>
      <c r="E99" s="40">
        <f>IF(370.55734="","-",370.55734/3223533.4262*100)</f>
        <v>0.011495377618491903</v>
      </c>
      <c r="F99" s="40">
        <f>IF(OR(2182440.05753="",214.30528="",537.95958=""),"-",(537.95958-214.30528)/2182440.05753*100)</f>
        <v>0.014829928496010983</v>
      </c>
      <c r="G99" s="71">
        <f>IF(OR(2578273.3802="",370.55734="",537.95958=""),"-",(370.55734-537.95958)/2578273.3802*100)</f>
        <v>-0.006492804110129482</v>
      </c>
    </row>
    <row r="100" spans="1:7" ht="15.75">
      <c r="A100" s="26" t="s">
        <v>244</v>
      </c>
      <c r="B100" s="40">
        <f>IF(366.98922="","-",366.98922)</f>
        <v>366.98922</v>
      </c>
      <c r="C100" s="40">
        <f>IF(OR(525.02283="",366.98922=""),"-",366.98922/525.02283*100)</f>
        <v>69.89966893439662</v>
      </c>
      <c r="D100" s="40">
        <f>IF(525.02283="","-",525.02283/2578273.3802*100)</f>
        <v>0.020363349908196052</v>
      </c>
      <c r="E100" s="40">
        <f>IF(366.98922="","-",366.98922/3223533.4262*100)</f>
        <v>0.011384687902325186</v>
      </c>
      <c r="F100" s="40">
        <f>IF(OR(2182440.05753="",690.2717="",525.02283=""),"-",(525.02283-690.2717)/2182440.05753*100)</f>
        <v>-0.007571748393723226</v>
      </c>
      <c r="G100" s="71">
        <f>IF(OR(2578273.3802="",366.98922="",525.02283=""),"-",(366.98922-525.02283)/2578273.3802*100)</f>
        <v>-0.006129435738414254</v>
      </c>
    </row>
    <row r="101" spans="1:7" ht="15.75">
      <c r="A101" s="26" t="s">
        <v>243</v>
      </c>
      <c r="B101" s="40">
        <f>IF(322.95794="","-",322.95794)</f>
        <v>322.95794</v>
      </c>
      <c r="C101" s="40">
        <f>IF(OR(451.95546="",322.95794=""),"-",322.95794/451.95546*100)</f>
        <v>71.4579131315285</v>
      </c>
      <c r="D101" s="40">
        <f>IF(451.95546="","-",451.95546/2578273.3802*100)</f>
        <v>0.01752938472199334</v>
      </c>
      <c r="E101" s="40">
        <f>IF(322.95794="","-",322.95794/3223533.4262*100)</f>
        <v>0.010018755734781157</v>
      </c>
      <c r="F101" s="40">
        <f>IF(OR(2182440.05753="",334.81765="",451.95546=""),"-",(451.95546-334.81765)/2182440.05753*100)</f>
        <v>0.005367286473497558</v>
      </c>
      <c r="G101" s="71">
        <f>IF(OR(2578273.3802="",322.95794="",451.95546=""),"-",(322.95794-451.95546)/2578273.3802*100)</f>
        <v>-0.005003252214859912</v>
      </c>
    </row>
    <row r="102" spans="1:7" ht="15.75">
      <c r="A102" s="26" t="s">
        <v>218</v>
      </c>
      <c r="B102" s="40">
        <f>IF(226.56263="","-",226.56263)</f>
        <v>226.56263</v>
      </c>
      <c r="C102" s="40" t="s">
        <v>245</v>
      </c>
      <c r="D102" s="40">
        <f>IF(34.10485="","-",34.10485/2578273.3802*100)</f>
        <v>0.001322778657294846</v>
      </c>
      <c r="E102" s="40">
        <f>IF(226.56263="","-",226.56263/3223533.4262*100)</f>
        <v>0.007028394002635765</v>
      </c>
      <c r="F102" s="40">
        <f>IF(OR(2182440.05753="",18.46659="",34.10485=""),"-",(34.10485-18.46659)/2182440.05753*100)</f>
        <v>0.0007165493478752754</v>
      </c>
      <c r="G102" s="71">
        <f>IF(OR(2578273.3802="",226.56263="",34.10485=""),"-",(226.56263-34.10485)/2578273.3802*100)</f>
        <v>0.007464599428361271</v>
      </c>
    </row>
    <row r="103" spans="1:7" ht="15.75">
      <c r="A103" s="26" t="s">
        <v>112</v>
      </c>
      <c r="B103" s="40">
        <f>IF(183.49689="","-",183.49689)</f>
        <v>183.49689</v>
      </c>
      <c r="C103" s="40" t="s">
        <v>197</v>
      </c>
      <c r="D103" s="40">
        <f>IF(53.64395="","-",53.64395/2578273.3802*100)</f>
        <v>0.0020806152835444766</v>
      </c>
      <c r="E103" s="40">
        <f>IF(183.49689="","-",183.49689/3223533.4262*100)</f>
        <v>0.005692414681001517</v>
      </c>
      <c r="F103" s="40">
        <f>IF(OR(2182440.05753="",44.64538="",53.64395=""),"-",(53.64395-44.64538)/2182440.05753*100)</f>
        <v>0.00041231693713431115</v>
      </c>
      <c r="G103" s="71">
        <f>IF(OR(2578273.3802="",183.49689="",53.64395=""),"-",(183.49689-53.64395)/2578273.3802*100)</f>
        <v>0.0050364302326205285</v>
      </c>
    </row>
    <row r="104" spans="1:7" ht="15.75">
      <c r="A104" s="26" t="s">
        <v>170</v>
      </c>
      <c r="B104" s="40">
        <f>IF(137.65807="","-",137.65807)</f>
        <v>137.65807</v>
      </c>
      <c r="C104" s="40" t="s">
        <v>242</v>
      </c>
      <c r="D104" s="40">
        <f>IF(32.29249="","-",32.29249/2578273.3802*100)</f>
        <v>0.0012524851029371846</v>
      </c>
      <c r="E104" s="40">
        <f>IF(137.65807="","-",137.65807/3223533.4262*100)</f>
        <v>0.004270409262120653</v>
      </c>
      <c r="F104" s="40">
        <f>IF(OR(2182440.05753="",3.22517="",32.29249=""),"-",(32.29249-3.22517)/2182440.05753*100)</f>
        <v>0.001331872547871819</v>
      </c>
      <c r="G104" s="71">
        <f>IF(OR(2578273.3802="",137.65807="",32.29249=""),"-",(137.65807-32.29249)/2578273.3802*100)</f>
        <v>0.004086672143038093</v>
      </c>
    </row>
    <row r="105" spans="1:7" ht="15.75">
      <c r="A105" s="26" t="s">
        <v>128</v>
      </c>
      <c r="B105" s="40">
        <f>IF(114.7116="","-",114.7116)</f>
        <v>114.7116</v>
      </c>
      <c r="C105" s="40">
        <f>IF(OR(348.1686="",114.7116=""),"-",114.7116/348.1686*100)</f>
        <v>32.94714112645425</v>
      </c>
      <c r="D105" s="40">
        <f>IF(348.1686="","-",348.1686/2578273.3802*100)</f>
        <v>0.01350394425485602</v>
      </c>
      <c r="E105" s="40">
        <f>IF(114.7116="","-",114.7116/3223533.4262*100)</f>
        <v>0.0035585671011708897</v>
      </c>
      <c r="F105" s="40">
        <f>IF(OR(2182440.05753="",768.32983="",348.1686=""),"-",(348.1686-768.32983)/2182440.05753*100)</f>
        <v>-0.01925190240851435</v>
      </c>
      <c r="G105" s="71">
        <f>IF(OR(2578273.3802="",114.7116="",348.1686=""),"-",(114.7116-348.1686)/2578273.3802*100)</f>
        <v>-0.009054780683570896</v>
      </c>
    </row>
    <row r="106" spans="1:7" ht="15.75">
      <c r="A106" s="26" t="s">
        <v>191</v>
      </c>
      <c r="B106" s="40">
        <f>IF(93.10667="","-",93.10667)</f>
        <v>93.10667</v>
      </c>
      <c r="C106" s="40" t="s">
        <v>145</v>
      </c>
      <c r="D106" s="40">
        <f>IF(43.72005="","-",43.72005/2578273.3802*100)</f>
        <v>0.0016957104058766869</v>
      </c>
      <c r="E106" s="40">
        <f>IF(93.10667="","-",93.10667/3223533.4262*100)</f>
        <v>0.002888342005181469</v>
      </c>
      <c r="F106" s="40">
        <f>IF(OR(2182440.05753="",35.81346="",43.72005=""),"-",(43.72005-35.81346)/2182440.05753*100)</f>
        <v>0.00036228211504458775</v>
      </c>
      <c r="G106" s="71">
        <f>IF(OR(2578273.3802="",93.10667="",43.72005=""),"-",(93.10667-43.72005)/2578273.3802*100)</f>
        <v>0.0019154919869734297</v>
      </c>
    </row>
    <row r="107" spans="1:7" ht="15.75">
      <c r="A107" s="26" t="s">
        <v>173</v>
      </c>
      <c r="B107" s="40">
        <f>IF(91.30918="","-",91.30918)</f>
        <v>91.30918</v>
      </c>
      <c r="C107" s="40" t="s">
        <v>174</v>
      </c>
      <c r="D107" s="40">
        <f>IF(24.96933="","-",24.96933/2578273.3802*100)</f>
        <v>0.0009684516076438371</v>
      </c>
      <c r="E107" s="40">
        <f>IF(91.30918="","-",91.30918/3223533.4262*100)</f>
        <v>0.0028325805235293634</v>
      </c>
      <c r="F107" s="40">
        <f>IF(OR(2182440.05753="",14.37421="",24.96933=""),"-",(24.96933-14.37421)/2182440.05753*100)</f>
        <v>0.00048547129454685415</v>
      </c>
      <c r="G107" s="71">
        <f>IF(OR(2578273.3802="",91.30918="",24.96933=""),"-",(91.30918-24.96933)/2578273.3802*100)</f>
        <v>0.002573033973412623</v>
      </c>
    </row>
    <row r="108" spans="1:7" ht="15.75">
      <c r="A108" s="26" t="s">
        <v>200</v>
      </c>
      <c r="B108" s="40">
        <f>IF(87.63267="","-",87.63267)</f>
        <v>87.63267</v>
      </c>
      <c r="C108" s="40">
        <f>IF(OR(197.88314="",87.63267=""),"-",87.63267/197.88314*100)</f>
        <v>44.285061375112605</v>
      </c>
      <c r="D108" s="40">
        <f>IF(197.88314="","-",197.88314/2578273.3802*100)</f>
        <v>0.007675025523656842</v>
      </c>
      <c r="E108" s="40">
        <f>IF(87.63267="","-",87.63267/3223533.4262*100)</f>
        <v>0.00271852834804645</v>
      </c>
      <c r="F108" s="40">
        <f>IF(OR(2182440.05753="",100.67771="",197.88314=""),"-",(197.88314-100.67771)/2182440.05753*100)</f>
        <v>0.004453979373436414</v>
      </c>
      <c r="G108" s="71">
        <f>IF(OR(2578273.3802="",87.63267="",197.88314=""),"-",(87.63267-197.88314)/2578273.3802*100)</f>
        <v>-0.004276135759949852</v>
      </c>
    </row>
    <row r="109" spans="1:7" ht="15.75">
      <c r="A109" s="26" t="s">
        <v>219</v>
      </c>
      <c r="B109" s="40">
        <f>IF(71.58404="","-",71.58404)</f>
        <v>71.58404</v>
      </c>
      <c r="C109" s="40">
        <f>IF(OR(74.10322="",71.58404=""),"-",71.58404/74.10322*100)</f>
        <v>96.60044462305419</v>
      </c>
      <c r="D109" s="40">
        <f>IF(74.10322="","-",74.10322/2578273.3802*100)</f>
        <v>0.0028741412981679896</v>
      </c>
      <c r="E109" s="40">
        <f>IF(71.58404="","-",71.58404/3223533.4262*100)</f>
        <v>0.002220670008202318</v>
      </c>
      <c r="F109" s="40">
        <f>IF(OR(2182440.05753="",35.06564="",74.10322=""),"-",(74.10322-35.06564)/2182440.05753*100)</f>
        <v>0.0017887125864149136</v>
      </c>
      <c r="G109" s="71">
        <f>IF(OR(2578273.3802="",71.58404="",74.10322=""),"-",(71.58404-74.10322)/2578273.3802*100)</f>
        <v>-9.770802504289035E-05</v>
      </c>
    </row>
    <row r="110" spans="1:7" ht="15.75">
      <c r="A110" s="26" t="s">
        <v>220</v>
      </c>
      <c r="B110" s="40">
        <f>IF(64.95446="","-",64.95446)</f>
        <v>64.95446</v>
      </c>
      <c r="C110" s="40" t="s">
        <v>225</v>
      </c>
      <c r="D110" s="40">
        <f>IF(40.7466="","-",40.7466/2578273.3802*100)</f>
        <v>0.0015803832251814675</v>
      </c>
      <c r="E110" s="40">
        <f>IF(64.95446="","-",64.95446/3223533.4262*100)</f>
        <v>0.0020150081110395157</v>
      </c>
      <c r="F110" s="40">
        <f>IF(OR(2182440.05753="",62.61799="",40.7466=""),"-",(40.7466-62.61799)/2182440.05753*100)</f>
        <v>-0.0010021530682841836</v>
      </c>
      <c r="G110" s="71">
        <f>IF(OR(2578273.3802="",64.95446="",40.7466=""),"-",(64.95446-40.7466)/2578273.3802*100)</f>
        <v>0.0009389175013753647</v>
      </c>
    </row>
    <row r="111" spans="1:7" ht="15.75">
      <c r="A111" s="26" t="s">
        <v>246</v>
      </c>
      <c r="B111" s="40">
        <f>IF(63.05378="","-",63.05378)</f>
        <v>63.05378</v>
      </c>
      <c r="C111" s="40">
        <f>IF(OR(44.8019="",63.05378=""),"-",63.05378/44.8019*100)</f>
        <v>140.73907579812465</v>
      </c>
      <c r="D111" s="40">
        <f>IF(44.8019="","-",44.8019/2578273.3802*100)</f>
        <v>0.0017376706575826597</v>
      </c>
      <c r="E111" s="40">
        <f>IF(63.05378="","-",63.05378/3223533.4262*100)</f>
        <v>0.0019560454837389335</v>
      </c>
      <c r="F111" s="40">
        <f>IF(OR(2182440.05753="",38.28125="",44.8019=""),"-",(44.8019-38.28125)/2182440.05753*100)</f>
        <v>0.0002987779654017082</v>
      </c>
      <c r="G111" s="71">
        <f>IF(OR(2578273.3802="",63.05378="",44.8019=""),"-",(63.05378-44.8019)/2578273.3802*100)</f>
        <v>0.0007079109663143703</v>
      </c>
    </row>
    <row r="112" spans="1:7" ht="15.75">
      <c r="A112" s="26" t="s">
        <v>164</v>
      </c>
      <c r="B112" s="40">
        <f>IF(56.38749="","-",56.38749)</f>
        <v>56.38749</v>
      </c>
      <c r="C112" s="40" t="s">
        <v>158</v>
      </c>
      <c r="D112" s="40">
        <f>IF(18.0913="","-",18.0913/2578273.3802*100)</f>
        <v>0.000701682767193471</v>
      </c>
      <c r="E112" s="40">
        <f>IF(56.38749="","-",56.38749/3223533.4262*100)</f>
        <v>0.0017492447741257425</v>
      </c>
      <c r="F112" s="40">
        <f>IF(OR(2182440.05753="",15.34342="",18.0913=""),"-",(18.0913-15.34342)/2182440.05753*100)</f>
        <v>0.00012590861272542545</v>
      </c>
      <c r="G112" s="71">
        <f>IF(OR(2578273.3802="",56.38749="",18.0913=""),"-",(56.38749-18.0913)/2578273.3802*100)</f>
        <v>0.001485342489050921</v>
      </c>
    </row>
    <row r="113" spans="1:7" ht="15.75">
      <c r="A113" s="62" t="s">
        <v>247</v>
      </c>
      <c r="B113" s="50">
        <f>IF(56.10917="","-",56.10917)</f>
        <v>56.10917</v>
      </c>
      <c r="C113" s="50">
        <f>IF(OR(61.02817="",56.10917=""),"-",56.10917/61.02817*100)</f>
        <v>91.9397878061885</v>
      </c>
      <c r="D113" s="50">
        <f>IF(61.02817="","-",61.02817/2578273.3802*100)</f>
        <v>0.0023670170304153693</v>
      </c>
      <c r="E113" s="50">
        <f>IF(56.10917="","-",56.10917/3223533.4262*100)</f>
        <v>0.0017406107702795937</v>
      </c>
      <c r="F113" s="50">
        <f>IF(OR(2182440.05753="",60.78231="",61.02817=""),"-",(61.02817-60.78231)/2182440.05753*100)</f>
        <v>1.1265372405153484E-05</v>
      </c>
      <c r="G113" s="72">
        <f>IF(OR(2578273.3802="",56.10917="",61.02817=""),"-",(56.10917-61.02817)/2578273.3802*100)</f>
        <v>-0.00019078659531513416</v>
      </c>
    </row>
    <row r="114" spans="1:7" ht="15.75">
      <c r="A114" s="45" t="s">
        <v>291</v>
      </c>
      <c r="B114" s="57">
        <f>IF(52.09629="","-",52.09629)</f>
        <v>52.09629</v>
      </c>
      <c r="C114" s="57" t="s">
        <v>160</v>
      </c>
      <c r="D114" s="57">
        <f>IF(29.52225="","-",29.52225/2578273.3802*100)</f>
        <v>0.0011450395534747335</v>
      </c>
      <c r="E114" s="57">
        <f>IF(52.09629="","-",52.09629/3223533.4262*100)</f>
        <v>0.0016161237720253051</v>
      </c>
      <c r="F114" s="57">
        <f>IF(OR(2182440.05753="",45.22953="",29.52225=""),"-",(29.52225-45.22953)/2182440.05753*100)</f>
        <v>-0.0007197118631417021</v>
      </c>
      <c r="G114" s="73">
        <f>IF(OR(2578273.3802="",52.09629="",29.52225=""),"-",(52.09629-29.52225)/2578273.3802*100)</f>
        <v>0.0008755487363504061</v>
      </c>
    </row>
    <row r="115" ht="15.75">
      <c r="A115" s="43" t="s">
        <v>20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9"/>
  <sheetViews>
    <sheetView zoomScalePageLayoutView="0" workbookViewId="0" topLeftCell="A1">
      <selection activeCell="F22" sqref="F22"/>
    </sheetView>
  </sheetViews>
  <sheetFormatPr defaultColWidth="9.00390625" defaultRowHeight="15.75"/>
  <cols>
    <col min="1" max="1" width="42.75390625" style="0" customWidth="1"/>
    <col min="2" max="3" width="13.875" style="0" customWidth="1"/>
    <col min="4" max="4" width="17.125" style="0" customWidth="1"/>
  </cols>
  <sheetData>
    <row r="1" spans="1:4" ht="15.75">
      <c r="A1" s="103" t="s">
        <v>209</v>
      </c>
      <c r="B1" s="103"/>
      <c r="C1" s="103"/>
      <c r="D1" s="103"/>
    </row>
    <row r="2" ht="15.75">
      <c r="A2" s="4"/>
    </row>
    <row r="3" spans="1:5" ht="21.75" customHeight="1">
      <c r="A3" s="104"/>
      <c r="B3" s="108" t="s">
        <v>272</v>
      </c>
      <c r="C3" s="109"/>
      <c r="D3" s="106" t="s">
        <v>273</v>
      </c>
      <c r="E3" s="1"/>
    </row>
    <row r="4" spans="1:5" ht="21" customHeight="1">
      <c r="A4" s="105"/>
      <c r="B4" s="30">
        <v>2017</v>
      </c>
      <c r="C4" s="29">
        <v>2018</v>
      </c>
      <c r="D4" s="107"/>
      <c r="E4" s="1"/>
    </row>
    <row r="5" spans="1:4" ht="17.25" customHeight="1">
      <c r="A5" s="63" t="s">
        <v>260</v>
      </c>
      <c r="B5" s="60">
        <f>IF(-1358482.34346="","-",-1358482.34346)</f>
        <v>-1358482.34346</v>
      </c>
      <c r="C5" s="60">
        <f>IF(-1689472.41765="","-",-1689472.41765)</f>
        <v>-1689472.41765</v>
      </c>
      <c r="D5" s="60">
        <f>IF(-1358482.34346="","-",-1689472.41765/-1358482.34346*100)</f>
        <v>124.36469460081325</v>
      </c>
    </row>
    <row r="6" spans="1:4" ht="15.75">
      <c r="A6" s="7" t="s">
        <v>21</v>
      </c>
      <c r="B6" s="23"/>
      <c r="C6" s="22"/>
      <c r="D6" s="22"/>
    </row>
    <row r="7" spans="1:4" ht="15.75">
      <c r="A7" s="35" t="s">
        <v>292</v>
      </c>
      <c r="B7" s="37">
        <f>IF(-503635.83733="","-",-503635.83733)</f>
        <v>-503635.83733</v>
      </c>
      <c r="C7" s="37">
        <f>IF(-593546.73107="","-",-593546.73107)</f>
        <v>-593546.73107</v>
      </c>
      <c r="D7" s="37">
        <f>IF(-503635.83733="","-",-593546.73107/-503635.83733*100)</f>
        <v>117.85236217832671</v>
      </c>
    </row>
    <row r="8" spans="1:4" ht="15.75">
      <c r="A8" s="26" t="s">
        <v>4</v>
      </c>
      <c r="B8" s="40">
        <f>IF(-124306.069="","-",-124306.069)</f>
        <v>-124306.069</v>
      </c>
      <c r="C8" s="40">
        <f>IF(-146779.18182="","-",-146779.18182)</f>
        <v>-146779.18182</v>
      </c>
      <c r="D8" s="40">
        <f>IF(OR(-124306.069="",-146779.18182="",-124306.069=0),"-",-146779.18182/-124306.069*100)</f>
        <v>118.07885407429302</v>
      </c>
    </row>
    <row r="9" spans="1:4" ht="15.75">
      <c r="A9" s="26" t="s">
        <v>90</v>
      </c>
      <c r="B9" s="40">
        <f>IF(-48670.49861="","-",-48670.49861)</f>
        <v>-48670.49861</v>
      </c>
      <c r="C9" s="40">
        <f>IF(-65013.18314="","-",-65013.18314)</f>
        <v>-65013.18314</v>
      </c>
      <c r="D9" s="40">
        <f>IF(OR(-48670.49861="",-65013.18314="",-48670.49861=0),"-",-65013.18314/-48670.49861*100)</f>
        <v>133.57821472295782</v>
      </c>
    </row>
    <row r="10" spans="1:4" ht="15.75">
      <c r="A10" s="26" t="s">
        <v>5</v>
      </c>
      <c r="B10" s="40">
        <f>IF(-44437.98651="","-",-44437.98651)</f>
        <v>-44437.98651</v>
      </c>
      <c r="C10" s="40">
        <f>IF(-60784.91475="","-",-60784.91475)</f>
        <v>-60784.91475</v>
      </c>
      <c r="D10" s="40">
        <f>IF(OR(-44437.98651="",-60784.91475="",-44437.98651=0),"-",-60784.91475/-44437.98651*100)</f>
        <v>136.78593366583206</v>
      </c>
    </row>
    <row r="11" spans="1:4" ht="15.75">
      <c r="A11" s="26" t="s">
        <v>3</v>
      </c>
      <c r="B11" s="40">
        <f>IF(-79705.52289="","-",-79705.52289)</f>
        <v>-79705.52289</v>
      </c>
      <c r="C11" s="40">
        <f>IF(-60178.87529="","-",-60178.87529)</f>
        <v>-60178.87529</v>
      </c>
      <c r="D11" s="40">
        <f>IF(OR(-79705.52289="",-60178.87529="",-79705.52289=0),"-",-60178.87529/-79705.52289*100)</f>
        <v>75.50151245234495</v>
      </c>
    </row>
    <row r="12" spans="1:4" ht="15.75">
      <c r="A12" s="26" t="s">
        <v>229</v>
      </c>
      <c r="B12" s="40">
        <f>IF(-46709.63302="","-",-46709.63302)</f>
        <v>-46709.63302</v>
      </c>
      <c r="C12" s="40">
        <f>IF(-53294.19308="","-",-53294.19308)</f>
        <v>-53294.19308</v>
      </c>
      <c r="D12" s="40">
        <f>IF(OR(-46709.63302="",-53294.19308="",-46709.63302=0),"-",-53294.19308/-46709.63302*100)</f>
        <v>114.09679253352438</v>
      </c>
    </row>
    <row r="13" spans="1:4" ht="15.75">
      <c r="A13" s="26" t="s">
        <v>227</v>
      </c>
      <c r="B13" s="40">
        <f>IF(-60067.96224="","-",-60067.96224)</f>
        <v>-60067.96224</v>
      </c>
      <c r="C13" s="40">
        <f>IF(-48508.92762="","-",-48508.92762)</f>
        <v>-48508.92762</v>
      </c>
      <c r="D13" s="40">
        <f>IF(OR(-60067.96224="",-48508.92762="",-60067.96224=0),"-",-48508.92762/-60067.96224*100)</f>
        <v>80.7567392184603</v>
      </c>
    </row>
    <row r="14" spans="1:4" ht="15.75">
      <c r="A14" s="26" t="s">
        <v>7</v>
      </c>
      <c r="B14" s="40">
        <f>IF(-25394.28515="","-",-25394.28515)</f>
        <v>-25394.28515</v>
      </c>
      <c r="C14" s="40">
        <f>IF(-39335.51457="","-",-39335.51457)</f>
        <v>-39335.51457</v>
      </c>
      <c r="D14" s="40">
        <f>IF(OR(-25394.28515="",-39335.51457="",-25394.28515=0),"-",-39335.51457/-25394.28515*100)</f>
        <v>154.8990819692359</v>
      </c>
    </row>
    <row r="15" spans="1:4" ht="15.75">
      <c r="A15" s="26" t="s">
        <v>88</v>
      </c>
      <c r="B15" s="40">
        <f>IF(-22072.34695="","-",-22072.34695)</f>
        <v>-22072.34695</v>
      </c>
      <c r="C15" s="40">
        <f>IF(-27683.16046="","-",-27683.16046)</f>
        <v>-27683.16046</v>
      </c>
      <c r="D15" s="40">
        <f>IF(OR(-22072.34695="",-27683.16046="",-22072.34695=0),"-",-27683.16046/-22072.34695*100)</f>
        <v>125.42010381909114</v>
      </c>
    </row>
    <row r="16" spans="1:4" ht="15.75">
      <c r="A16" s="26" t="s">
        <v>230</v>
      </c>
      <c r="B16" s="40">
        <f>IF(-18772.03689="","-",-18772.03689)</f>
        <v>-18772.03689</v>
      </c>
      <c r="C16" s="40">
        <f>IF(-23838.65423="","-",-23838.65423)</f>
        <v>-23838.65423</v>
      </c>
      <c r="D16" s="40">
        <f>IF(OR(-18772.03689="",-23838.65423="",-18772.03689=0),"-",-23838.65423/-18772.03689*100)</f>
        <v>126.99023749894198</v>
      </c>
    </row>
    <row r="17" spans="1:4" ht="15.75">
      <c r="A17" s="26" t="s">
        <v>89</v>
      </c>
      <c r="B17" s="40">
        <f>IF(-14104.48666="","-",-14104.48666)</f>
        <v>-14104.48666</v>
      </c>
      <c r="C17" s="40">
        <f>IF(-19424.17817="","-",-19424.17817)</f>
        <v>-19424.17817</v>
      </c>
      <c r="D17" s="40">
        <f>IF(OR(-14104.48666="",-19424.17817="",-14104.48666=0),"-",-19424.17817/-14104.48666*100)</f>
        <v>137.7163071456299</v>
      </c>
    </row>
    <row r="18" spans="1:4" ht="15.75">
      <c r="A18" s="26" t="s">
        <v>100</v>
      </c>
      <c r="B18" s="40">
        <f>IF(-8877.1192="","-",-8877.1192)</f>
        <v>-8877.1192</v>
      </c>
      <c r="C18" s="40">
        <f>IF(-13361.68516="","-",-13361.68516)</f>
        <v>-13361.68516</v>
      </c>
      <c r="D18" s="40">
        <f>IF(OR(-8877.1192="",-13361.68516="",-8877.1192=0),"-",-13361.68516/-8877.1192*100)</f>
        <v>150.5182577699306</v>
      </c>
    </row>
    <row r="19" spans="1:4" ht="15.75">
      <c r="A19" s="26" t="s">
        <v>98</v>
      </c>
      <c r="B19" s="40">
        <f>IF(-9484.73014="","-",-9484.73014)</f>
        <v>-9484.73014</v>
      </c>
      <c r="C19" s="40">
        <f>IF(-13132.6683="","-",-13132.6683)</f>
        <v>-13132.6683</v>
      </c>
      <c r="D19" s="40">
        <f>IF(OR(-9484.73014="",-13132.6683="",-9484.73014=0),"-",-13132.6683/-9484.73014*100)</f>
        <v>138.46116975553718</v>
      </c>
    </row>
    <row r="20" spans="1:4" ht="15.75">
      <c r="A20" s="26" t="s">
        <v>9</v>
      </c>
      <c r="B20" s="40">
        <f>IF(-12979.4317="","-",-12979.4317)</f>
        <v>-12979.4317</v>
      </c>
      <c r="C20" s="40">
        <f>IF(-12275.80731="","-",-12275.80731)</f>
        <v>-12275.80731</v>
      </c>
      <c r="D20" s="40">
        <f>IF(OR(-12979.4317="",-12275.80731="",-12979.4317=0),"-",-12275.80731/-12979.4317*100)</f>
        <v>94.57892759665279</v>
      </c>
    </row>
    <row r="21" spans="1:4" ht="15.75">
      <c r="A21" s="26" t="s">
        <v>96</v>
      </c>
      <c r="B21" s="40">
        <f>IF(-7313.78143="","-",-7313.78143)</f>
        <v>-7313.78143</v>
      </c>
      <c r="C21" s="40">
        <f>IF(-7920.29454="","-",-7920.29454)</f>
        <v>-7920.29454</v>
      </c>
      <c r="D21" s="40">
        <f>IF(OR(-7313.78143="",-7920.29454="",-7313.78143=0),"-",-7920.29454/-7313.78143*100)</f>
        <v>108.2927431699309</v>
      </c>
    </row>
    <row r="22" spans="1:6" ht="15.75">
      <c r="A22" s="26" t="s">
        <v>97</v>
      </c>
      <c r="B22" s="40">
        <f>IF(-7189.88045="","-",-7189.88045)</f>
        <v>-7189.88045</v>
      </c>
      <c r="C22" s="40">
        <f>IF(-7635.88163="","-",-7635.88163)</f>
        <v>-7635.88163</v>
      </c>
      <c r="D22" s="40">
        <f>IF(OR(-7189.88045="",-7635.88163="",-7189.88045=0),"-",-7635.88163/-7189.88045*100)</f>
        <v>106.20317935884455</v>
      </c>
      <c r="F22" t="s">
        <v>167</v>
      </c>
    </row>
    <row r="23" spans="1:4" ht="15.75">
      <c r="A23" s="26" t="s">
        <v>6</v>
      </c>
      <c r="B23" s="40">
        <f>IF(5954.31052="","-",5954.31052)</f>
        <v>5954.31052</v>
      </c>
      <c r="C23" s="40">
        <f>IF(-5671.76206="","-",-5671.76206)</f>
        <v>-5671.76206</v>
      </c>
      <c r="D23" s="40" t="s">
        <v>22</v>
      </c>
    </row>
    <row r="24" spans="1:4" ht="15.75">
      <c r="A24" s="26" t="s">
        <v>92</v>
      </c>
      <c r="B24" s="40">
        <f>IF(-7292.60279="","-",-7292.60279)</f>
        <v>-7292.60279</v>
      </c>
      <c r="C24" s="40">
        <f>IF(-5108.38727="","-",-5108.38727)</f>
        <v>-5108.38727</v>
      </c>
      <c r="D24" s="40">
        <f>IF(OR(-7292.60279="",-5108.38727="",-7292.60279=0),"-",-5108.38727/-7292.60279*100)</f>
        <v>70.04888949943756</v>
      </c>
    </row>
    <row r="25" spans="1:4" ht="15.75">
      <c r="A25" s="26" t="s">
        <v>101</v>
      </c>
      <c r="B25" s="40">
        <f>IF(-3356.65244="","-",-3356.65244)</f>
        <v>-3356.65244</v>
      </c>
      <c r="C25" s="40">
        <f>IF(-3594.88435="","-",-3594.88435)</f>
        <v>-3594.88435</v>
      </c>
      <c r="D25" s="40">
        <f>IF(OR(-3356.65244="",-3594.88435="",-3356.65244=0),"-",-3594.88435/-3356.65244*100)</f>
        <v>107.09730644618065</v>
      </c>
    </row>
    <row r="26" spans="1:4" ht="15.75">
      <c r="A26" s="26" t="s">
        <v>93</v>
      </c>
      <c r="B26" s="40">
        <f>IF(-1664.03962="","-",-1664.03962)</f>
        <v>-1664.03962</v>
      </c>
      <c r="C26" s="40">
        <f>IF(-3093.69561="","-",-3093.69561)</f>
        <v>-3093.69561</v>
      </c>
      <c r="D26" s="40" t="s">
        <v>162</v>
      </c>
    </row>
    <row r="27" spans="1:4" ht="15.75">
      <c r="A27" s="26" t="s">
        <v>231</v>
      </c>
      <c r="B27" s="40">
        <f>IF(-1005.97141="","-",-1005.97141)</f>
        <v>-1005.97141</v>
      </c>
      <c r="C27" s="40">
        <f>IF(-1688.64635="","-",-1688.64635)</f>
        <v>-1688.64635</v>
      </c>
      <c r="D27" s="40" t="s">
        <v>161</v>
      </c>
    </row>
    <row r="28" spans="1:4" ht="15.75">
      <c r="A28" s="26" t="s">
        <v>91</v>
      </c>
      <c r="B28" s="40">
        <f>IF(-1771.37831="","-",-1771.37831)</f>
        <v>-1771.37831</v>
      </c>
      <c r="C28" s="40">
        <f>IF(-1420.80661="","-",-1420.80661)</f>
        <v>-1420.80661</v>
      </c>
      <c r="D28" s="40">
        <f>IF(OR(-1771.37831="",-1420.80661="",-1771.37831=0),"-",-1420.80661/-1771.37831*100)</f>
        <v>80.20910056192344</v>
      </c>
    </row>
    <row r="29" spans="1:4" ht="15.75">
      <c r="A29" s="26" t="s">
        <v>94</v>
      </c>
      <c r="B29" s="40">
        <f>IF(-1092.8512="","-",-1092.8512)</f>
        <v>-1092.8512</v>
      </c>
      <c r="C29" s="40">
        <f>IF(-859.00945="","-",-859.00945)</f>
        <v>-859.00945</v>
      </c>
      <c r="D29" s="40">
        <f>IF(OR(-1092.8512="",-859.00945="",-1092.8512=0),"-",-859.00945/-1092.8512*100)</f>
        <v>78.60259932916759</v>
      </c>
    </row>
    <row r="30" spans="1:4" ht="15.75">
      <c r="A30" s="26" t="s">
        <v>102</v>
      </c>
      <c r="B30" s="40">
        <f>IF(-1384.65832="","-",-1384.65832)</f>
        <v>-1384.65832</v>
      </c>
      <c r="C30" s="40">
        <f>IF(-548.05335="","-",-548.05335)</f>
        <v>-548.05335</v>
      </c>
      <c r="D30" s="40">
        <f>IF(OR(-1384.65832="",-548.05335="",-1384.65832=0),"-",-548.05335/-1384.65832*100)</f>
        <v>39.580403488999366</v>
      </c>
    </row>
    <row r="31" spans="1:4" ht="15.75">
      <c r="A31" s="26" t="s">
        <v>99</v>
      </c>
      <c r="B31" s="40">
        <f>IF(-7131.14841="","-",-7131.14841)</f>
        <v>-7131.14841</v>
      </c>
      <c r="C31" s="40">
        <f>IF(-355.75024="","-",-355.75024)</f>
        <v>-355.75024</v>
      </c>
      <c r="D31" s="40">
        <f>IF(OR(-7131.14841="",-355.75024="",-7131.14841=0),"-",-355.75024/-7131.14841*100)</f>
        <v>4.988680918505803</v>
      </c>
    </row>
    <row r="32" spans="1:4" ht="15.75">
      <c r="A32" s="26" t="s">
        <v>103</v>
      </c>
      <c r="B32" s="40">
        <f>IF(-205.22795="","-",-205.22795)</f>
        <v>-205.22795</v>
      </c>
      <c r="C32" s="40">
        <f>IF(514.65307="","-",514.65307)</f>
        <v>514.65307</v>
      </c>
      <c r="D32" s="40" t="s">
        <v>22</v>
      </c>
    </row>
    <row r="33" spans="1:4" ht="15.75">
      <c r="A33" s="26" t="s">
        <v>95</v>
      </c>
      <c r="B33" s="40">
        <f>IF(4204.8472="","-",4204.8472)</f>
        <v>4204.8472</v>
      </c>
      <c r="C33" s="40">
        <f>IF(4191.05982="","-",4191.05982)</f>
        <v>4191.05982</v>
      </c>
      <c r="D33" s="40">
        <f>IF(OR(4204.8472="",4191.05982="",4204.8472=0),"-",4191.05982/4204.8472*100)</f>
        <v>99.6721074668302</v>
      </c>
    </row>
    <row r="34" spans="1:4" ht="15.75">
      <c r="A34" s="26" t="s">
        <v>8</v>
      </c>
      <c r="B34" s="40">
        <f>IF(30.6941="","-",30.6941)</f>
        <v>30.6941</v>
      </c>
      <c r="C34" s="40">
        <f>IF(6941.67985="","-",6941.67985)</f>
        <v>6941.67985</v>
      </c>
      <c r="D34" s="40" t="s">
        <v>297</v>
      </c>
    </row>
    <row r="35" spans="1:4" ht="15.75">
      <c r="A35" s="26" t="s">
        <v>228</v>
      </c>
      <c r="B35" s="40">
        <f>IF(41164.61214="","-",41164.61214)</f>
        <v>41164.61214</v>
      </c>
      <c r="C35" s="40">
        <f>IF(16313.99155="","-",16313.99155)</f>
        <v>16313.99155</v>
      </c>
      <c r="D35" s="40">
        <f>IF(OR(41164.61214="",16313.99155="",41164.61214=0),"-",16313.99155/41164.61214*100)</f>
        <v>39.63110716193912</v>
      </c>
    </row>
    <row r="36" spans="1:4" ht="15.75">
      <c r="A36" s="35" t="s">
        <v>251</v>
      </c>
      <c r="B36" s="37">
        <f>IF(-379997.03477="","-",-379997.03477)</f>
        <v>-379997.03477</v>
      </c>
      <c r="C36" s="37">
        <f>IF(-514453.29751="","-",-514453.29751)</f>
        <v>-514453.29751</v>
      </c>
      <c r="D36" s="37">
        <f>IF(-379997.03477="","-",-514453.29751/-379997.03477*100)</f>
        <v>135.38350314269744</v>
      </c>
    </row>
    <row r="37" spans="1:4" ht="15.75">
      <c r="A37" s="26" t="s">
        <v>11</v>
      </c>
      <c r="B37" s="40">
        <f>IF(-235730.50266="","-",-235730.50266)</f>
        <v>-235730.50266</v>
      </c>
      <c r="C37" s="40">
        <f>IF(-262278.17856="","-",-262278.17856)</f>
        <v>-262278.17856</v>
      </c>
      <c r="D37" s="40">
        <f>IF(OR(-235730.50266="",-262278.17856="",-235730.50266=0),"-",-262278.17856/-235730.50266*100)</f>
        <v>111.26187557419769</v>
      </c>
    </row>
    <row r="38" spans="1:4" ht="15.75">
      <c r="A38" s="26" t="s">
        <v>236</v>
      </c>
      <c r="B38" s="40">
        <f>IF(-159580.3432="","-",-159580.3432)</f>
        <v>-159580.3432</v>
      </c>
      <c r="C38" s="40">
        <f>IF(-247857.2608="","-",-247857.2608)</f>
        <v>-247857.2608</v>
      </c>
      <c r="D38" s="40">
        <f>IF(OR(-159580.3432="",-247857.2608="",-159580.3432=0),"-",-247857.2608/-159580.3432*100)</f>
        <v>155.31816502572855</v>
      </c>
    </row>
    <row r="39" spans="1:4" ht="15.75">
      <c r="A39" s="26" t="s">
        <v>15</v>
      </c>
      <c r="B39" s="40">
        <f>IF(462.73269="","-",462.73269)</f>
        <v>462.73269</v>
      </c>
      <c r="C39" s="40">
        <f>IF(-7159.86547="","-",-7159.86547)</f>
        <v>-7159.86547</v>
      </c>
      <c r="D39" s="40" t="s">
        <v>22</v>
      </c>
    </row>
    <row r="40" spans="1:4" ht="15.75">
      <c r="A40" s="26" t="s">
        <v>10</v>
      </c>
      <c r="B40" s="40">
        <f>IF(2161.67777="","-",2161.67777)</f>
        <v>2161.67777</v>
      </c>
      <c r="C40" s="40">
        <f>IF(-6361.96019="","-",-6361.96019)</f>
        <v>-6361.96019</v>
      </c>
      <c r="D40" s="40" t="s">
        <v>22</v>
      </c>
    </row>
    <row r="41" spans="1:4" ht="15.75">
      <c r="A41" s="26" t="s">
        <v>14</v>
      </c>
      <c r="B41" s="40">
        <f>IF(1267.59261="","-",1267.59261)</f>
        <v>1267.59261</v>
      </c>
      <c r="C41" s="40">
        <f>IF(-591.56322="","-",-591.56322)</f>
        <v>-591.56322</v>
      </c>
      <c r="D41" s="40" t="s">
        <v>22</v>
      </c>
    </row>
    <row r="42" spans="1:4" ht="15.75">
      <c r="A42" s="26" t="s">
        <v>17</v>
      </c>
      <c r="B42" s="40">
        <f>IF(293.92405="","-",293.92405)</f>
        <v>293.92405</v>
      </c>
      <c r="C42" s="40">
        <f>IF(237.96944="","-",237.96944)</f>
        <v>237.96944</v>
      </c>
      <c r="D42" s="40">
        <f>IF(OR(293.92405="",237.96944="",293.92405=0),"-",237.96944/293.92405*100)</f>
        <v>80.96290181085895</v>
      </c>
    </row>
    <row r="43" spans="1:4" ht="15.75">
      <c r="A43" s="26" t="s">
        <v>16</v>
      </c>
      <c r="B43" s="40">
        <f>IF(167.4337="","-",167.4337)</f>
        <v>167.4337</v>
      </c>
      <c r="C43" s="40">
        <f>IF(400.35714="","-",400.35714)</f>
        <v>400.35714</v>
      </c>
      <c r="D43" s="40" t="s">
        <v>294</v>
      </c>
    </row>
    <row r="44" spans="1:4" ht="15.75">
      <c r="A44" s="26" t="s">
        <v>237</v>
      </c>
      <c r="B44" s="40">
        <f>IF(486.28893="","-",486.28893)</f>
        <v>486.28893</v>
      </c>
      <c r="C44" s="40">
        <f>IF(550.82664="","-",550.82664)</f>
        <v>550.82664</v>
      </c>
      <c r="D44" s="40">
        <f>IF(OR(486.28893="",550.82664="",486.28893=0),"-",550.82664/486.28893*100)</f>
        <v>113.27147422418192</v>
      </c>
    </row>
    <row r="45" spans="1:4" ht="15.75">
      <c r="A45" s="26" t="s">
        <v>13</v>
      </c>
      <c r="B45" s="40">
        <f>IF(2643.32545="","-",2643.32545)</f>
        <v>2643.32545</v>
      </c>
      <c r="C45" s="40">
        <f>IF(2167.15611="","-",2167.15611)</f>
        <v>2167.15611</v>
      </c>
      <c r="D45" s="40">
        <f>IF(OR(2643.32545="",2167.15611="",2643.32545=0),"-",2167.15611/2643.32545*100)</f>
        <v>81.98597376649175</v>
      </c>
    </row>
    <row r="46" spans="1:4" ht="15.75">
      <c r="A46" s="26" t="s">
        <v>12</v>
      </c>
      <c r="B46" s="40">
        <f>IF(7830.83589="","-",7830.83589)</f>
        <v>7830.83589</v>
      </c>
      <c r="C46" s="40">
        <f>IF(6439.2214="","-",6439.2214)</f>
        <v>6439.2214</v>
      </c>
      <c r="D46" s="40">
        <f>IF(OR(7830.83589="",6439.2214="",7830.83589=0),"-",6439.2214/7830.83589*100)</f>
        <v>82.22904285636868</v>
      </c>
    </row>
    <row r="47" spans="1:4" ht="15.75">
      <c r="A47" s="35" t="s">
        <v>250</v>
      </c>
      <c r="B47" s="37">
        <f>IF(-474849.47136="","-",-474849.47136)</f>
        <v>-474849.47136</v>
      </c>
      <c r="C47" s="37">
        <f>IF(-581472.38907="","-",-581472.38907)</f>
        <v>-581472.38907</v>
      </c>
      <c r="D47" s="37">
        <f>IF(-474849.47136="","-",-581472.38907/-474849.47136*100)</f>
        <v>122.45404578520957</v>
      </c>
    </row>
    <row r="48" spans="1:4" ht="15.75">
      <c r="A48" s="26" t="s">
        <v>107</v>
      </c>
      <c r="B48" s="40">
        <f>IF(-251928.16047="","-",-251928.16047)</f>
        <v>-251928.16047</v>
      </c>
      <c r="C48" s="40">
        <f>IF(-325873.64188="","-",-325873.64188)</f>
        <v>-325873.64188</v>
      </c>
      <c r="D48" s="40">
        <f>IF(OR(-251928.16047="",-325873.64188="",-251928.16047=0),"-",-325873.64188/-251928.16047*100)</f>
        <v>129.35181254530914</v>
      </c>
    </row>
    <row r="49" spans="1:4" ht="15.75">
      <c r="A49" s="26" t="s">
        <v>104</v>
      </c>
      <c r="B49" s="40">
        <f>IF(-112171.96147="","-",-112171.96147)</f>
        <v>-112171.96147</v>
      </c>
      <c r="C49" s="40">
        <f>IF(-132594.76623="","-",-132594.76623)</f>
        <v>-132594.76623</v>
      </c>
      <c r="D49" s="40">
        <f>IF(OR(-112171.96147="",-132594.76623="",-112171.96147=0),"-",-132594.76623/-112171.96147*100)</f>
        <v>118.20669309189358</v>
      </c>
    </row>
    <row r="50" spans="1:4" ht="15.75">
      <c r="A50" s="26" t="s">
        <v>125</v>
      </c>
      <c r="B50" s="40">
        <f>IF(-17654.52752="","-",-17654.52752)</f>
        <v>-17654.52752</v>
      </c>
      <c r="C50" s="40">
        <f>IF(-31136.62421="","-",-31136.62421)</f>
        <v>-31136.62421</v>
      </c>
      <c r="D50" s="40" t="s">
        <v>160</v>
      </c>
    </row>
    <row r="51" spans="1:4" ht="15.75">
      <c r="A51" s="26" t="s">
        <v>18</v>
      </c>
      <c r="B51" s="40">
        <f>IF(-35361.94458="","-",-35361.94458)</f>
        <v>-35361.94458</v>
      </c>
      <c r="C51" s="40">
        <f>IF(-30013.0632="","-",-30013.0632)</f>
        <v>-30013.0632</v>
      </c>
      <c r="D51" s="40">
        <f>IF(OR(-35361.94458="",-30013.0632="",-35361.94458=0),"-",-30013.0632/-35361.94458*100)</f>
        <v>84.87390486148428</v>
      </c>
    </row>
    <row r="52" spans="1:4" ht="15.75">
      <c r="A52" s="26" t="s">
        <v>85</v>
      </c>
      <c r="B52" s="40">
        <f>IF(-13588.94005="","-",-13588.94005)</f>
        <v>-13588.94005</v>
      </c>
      <c r="C52" s="40">
        <f>IF(-20481.22143="","-",-20481.22143)</f>
        <v>-20481.22143</v>
      </c>
      <c r="D52" s="40">
        <f>IF(OR(-13588.94005="",-20481.22143="",-13588.94005=0),"-",-20481.22143/-13588.94005*100)</f>
        <v>150.71978649283983</v>
      </c>
    </row>
    <row r="53" spans="1:4" ht="15.75">
      <c r="A53" s="26" t="s">
        <v>121</v>
      </c>
      <c r="B53" s="40">
        <f>IF(-15940.1149="","-",-15940.1149)</f>
        <v>-15940.1149</v>
      </c>
      <c r="C53" s="40">
        <f>IF(-19142.78874="","-",-19142.78874)</f>
        <v>-19142.78874</v>
      </c>
      <c r="D53" s="40">
        <f>IF(OR(-15940.1149="",-19142.78874="",-15940.1149=0),"-",-19142.78874/-15940.1149*100)</f>
        <v>120.09191188452475</v>
      </c>
    </row>
    <row r="54" spans="1:4" ht="15.75">
      <c r="A54" s="26" t="s">
        <v>118</v>
      </c>
      <c r="B54" s="40">
        <f>IF(-15466.1522="","-",-15466.1522)</f>
        <v>-15466.1522</v>
      </c>
      <c r="C54" s="40">
        <f>IF(-16932.81144="","-",-16932.81144)</f>
        <v>-16932.81144</v>
      </c>
      <c r="D54" s="40">
        <f>IF(OR(-15466.1522="",-16932.81144="",-15466.1522=0),"-",-16932.81144/-15466.1522*100)</f>
        <v>109.48302603668934</v>
      </c>
    </row>
    <row r="55" spans="1:4" ht="15.75">
      <c r="A55" s="26" t="s">
        <v>119</v>
      </c>
      <c r="B55" s="40">
        <f>IF(-9538.13818="","-",-9538.13818)</f>
        <v>-9538.13818</v>
      </c>
      <c r="C55" s="40">
        <f>IF(-10587.84094="","-",-10587.84094)</f>
        <v>-10587.84094</v>
      </c>
      <c r="D55" s="40">
        <f>IF(OR(-9538.13818="",-10587.84094="",-9538.13818=0),"-",-10587.84094/-9538.13818*100)</f>
        <v>111.00532137604237</v>
      </c>
    </row>
    <row r="56" spans="1:4" ht="15.75">
      <c r="A56" s="26" t="s">
        <v>130</v>
      </c>
      <c r="B56" s="40">
        <f>IF(-7667.48865="","-",-7667.48865)</f>
        <v>-7667.48865</v>
      </c>
      <c r="C56" s="40">
        <f>IF(-9132.83796="","-",-9132.83796)</f>
        <v>-9132.83796</v>
      </c>
      <c r="D56" s="40">
        <f>IF(OR(-7667.48865="",-9132.83796="",-7667.48865=0),"-",-9132.83796/-7667.48865*100)</f>
        <v>119.11120285779621</v>
      </c>
    </row>
    <row r="57" spans="1:4" ht="15.75">
      <c r="A57" s="26" t="s">
        <v>110</v>
      </c>
      <c r="B57" s="40">
        <f>IF(-3524.80108="","-",-3524.80108)</f>
        <v>-3524.80108</v>
      </c>
      <c r="C57" s="40">
        <f>IF(-6897.17026="","-",-6897.17026)</f>
        <v>-6897.17026</v>
      </c>
      <c r="D57" s="40" t="s">
        <v>19</v>
      </c>
    </row>
    <row r="58" spans="1:4" ht="15.75">
      <c r="A58" s="26" t="s">
        <v>134</v>
      </c>
      <c r="B58" s="40">
        <f>IF(-2990.76211="","-",-2990.76211)</f>
        <v>-2990.76211</v>
      </c>
      <c r="C58" s="40">
        <f>IF(-6624.18196="","-",-6624.18196)</f>
        <v>-6624.18196</v>
      </c>
      <c r="D58" s="40" t="s">
        <v>151</v>
      </c>
    </row>
    <row r="59" spans="1:4" ht="15.75">
      <c r="A59" s="26" t="s">
        <v>120</v>
      </c>
      <c r="B59" s="40">
        <f>IF(-5270.15822="","-",-5270.15822)</f>
        <v>-5270.15822</v>
      </c>
      <c r="C59" s="40">
        <f>IF(-4731.69304="","-",-4731.69304)</f>
        <v>-4731.69304</v>
      </c>
      <c r="D59" s="40">
        <f>IF(OR(-5270.15822="",-4731.69304="",-5270.15822=0),"-",-4731.69304/-5270.15822*100)</f>
        <v>89.78275115239329</v>
      </c>
    </row>
    <row r="60" spans="1:4" ht="15.75">
      <c r="A60" s="26" t="s">
        <v>111</v>
      </c>
      <c r="B60" s="40">
        <f>IF(-5253.10941="","-",-5253.10941)</f>
        <v>-5253.10941</v>
      </c>
      <c r="C60" s="40">
        <f>IF(-4652.50731="","-",-4652.50731)</f>
        <v>-4652.50731</v>
      </c>
      <c r="D60" s="40">
        <f>IF(OR(-5253.10941="",-4652.50731="",-5253.10941=0),"-",-4652.50731/-5253.10941*100)</f>
        <v>88.56673156556242</v>
      </c>
    </row>
    <row r="61" spans="1:7" ht="15.75">
      <c r="A61" s="26" t="s">
        <v>127</v>
      </c>
      <c r="B61" s="40">
        <f>IF(-4361.88828="","-",-4361.88828)</f>
        <v>-4361.88828</v>
      </c>
      <c r="C61" s="40">
        <f>IF(-4215.53755="","-",-4215.53755)</f>
        <v>-4215.53755</v>
      </c>
      <c r="D61" s="40">
        <f>IF(OR(-4361.88828="",-4215.53755="",-4361.88828=0),"-",-4215.53755/-4361.88828*100)</f>
        <v>96.64478499664828</v>
      </c>
      <c r="E61" s="1"/>
      <c r="F61" s="1"/>
      <c r="G61" s="1"/>
    </row>
    <row r="62" spans="1:4" ht="15.75">
      <c r="A62" s="26" t="s">
        <v>133</v>
      </c>
      <c r="B62" s="40">
        <f>IF(-3305.6605="","-",-3305.6605)</f>
        <v>-3305.6605</v>
      </c>
      <c r="C62" s="40">
        <f>IF(-4092.20667="","-",-4092.20667)</f>
        <v>-4092.20667</v>
      </c>
      <c r="D62" s="40">
        <f>IF(OR(-3305.6605="",-4092.20667="",-3305.6605=0),"-",-4092.20667/-3305.6605*100)</f>
        <v>123.79391864349047</v>
      </c>
    </row>
    <row r="63" spans="1:4" ht="15.75">
      <c r="A63" s="26" t="s">
        <v>131</v>
      </c>
      <c r="B63" s="40">
        <f>IF(-3702.91798="","-",-3702.91798)</f>
        <v>-3702.91798</v>
      </c>
      <c r="C63" s="40">
        <f>IF(-3828.20541="","-",-3828.20541)</f>
        <v>-3828.20541</v>
      </c>
      <c r="D63" s="40">
        <f>IF(OR(-3702.91798="",-3828.20541="",-3702.91798=0),"-",-3828.20541/-3702.91798*100)</f>
        <v>103.38347839937842</v>
      </c>
    </row>
    <row r="64" spans="1:4" ht="15.75">
      <c r="A64" s="26" t="s">
        <v>135</v>
      </c>
      <c r="B64" s="40">
        <f>IF(-2019.19653="","-",-2019.19653)</f>
        <v>-2019.19653</v>
      </c>
      <c r="C64" s="40">
        <f>IF(-3199.39367="","-",-3199.39367)</f>
        <v>-3199.39367</v>
      </c>
      <c r="D64" s="40" t="s">
        <v>225</v>
      </c>
    </row>
    <row r="65" spans="1:4" ht="15.75">
      <c r="A65" s="26" t="s">
        <v>132</v>
      </c>
      <c r="B65" s="40">
        <f>IF(-2549.99774="","-",-2549.99774)</f>
        <v>-2549.99774</v>
      </c>
      <c r="C65" s="40">
        <f>IF(-2680.77763="","-",-2680.77763)</f>
        <v>-2680.77763</v>
      </c>
      <c r="D65" s="40">
        <f>IF(OR(-2549.99774="",-2680.77763="",-2549.99774=0),"-",-2680.77763/-2549.99774*100)</f>
        <v>105.1286276826269</v>
      </c>
    </row>
    <row r="66" spans="1:4" ht="15.75">
      <c r="A66" s="26" t="s">
        <v>123</v>
      </c>
      <c r="B66" s="40">
        <f>IF(-1385.59432="","-",-1385.59432)</f>
        <v>-1385.59432</v>
      </c>
      <c r="C66" s="40">
        <f>IF(-2579.54747="","-",-2579.54747)</f>
        <v>-2579.54747</v>
      </c>
      <c r="D66" s="40" t="s">
        <v>162</v>
      </c>
    </row>
    <row r="67" spans="1:4" ht="15.75">
      <c r="A67" s="26" t="s">
        <v>139</v>
      </c>
      <c r="B67" s="40">
        <f>IF(-926.57686="","-",-926.57686)</f>
        <v>-926.57686</v>
      </c>
      <c r="C67" s="40">
        <f>IF(-2499.8862="","-",-2499.8862)</f>
        <v>-2499.8862</v>
      </c>
      <c r="D67" s="40" t="s">
        <v>201</v>
      </c>
    </row>
    <row r="68" spans="1:7" ht="15.75">
      <c r="A68" s="26" t="s">
        <v>109</v>
      </c>
      <c r="B68" s="40">
        <f>IF(-525.69119="","-",-525.69119)</f>
        <v>-525.69119</v>
      </c>
      <c r="C68" s="40">
        <f>IF(-2309.83534="","-",-2309.83534)</f>
        <v>-2309.83534</v>
      </c>
      <c r="D68" s="40" t="s">
        <v>233</v>
      </c>
      <c r="E68" s="1"/>
      <c r="F68" s="1"/>
      <c r="G68" s="1"/>
    </row>
    <row r="69" spans="1:4" ht="15.75">
      <c r="A69" s="26" t="s">
        <v>136</v>
      </c>
      <c r="B69" s="40">
        <f>IF(-1686.8048="","-",-1686.8048)</f>
        <v>-1686.8048</v>
      </c>
      <c r="C69" s="40">
        <f>IF(-2156.10098="","-",-2156.10098)</f>
        <v>-2156.10098</v>
      </c>
      <c r="D69" s="40">
        <f>IF(OR(-1686.8048="",-2156.10098="",-1686.8048=0),"-",-2156.10098/-1686.8048*100)</f>
        <v>127.82160567719517</v>
      </c>
    </row>
    <row r="70" spans="1:4" ht="15.75">
      <c r="A70" s="26" t="s">
        <v>113</v>
      </c>
      <c r="B70" s="40">
        <f>IF(-3172.45931="","-",-3172.45931)</f>
        <v>-3172.45931</v>
      </c>
      <c r="C70" s="40">
        <f>IF(-2153.72137="","-",-2153.72137)</f>
        <v>-2153.72137</v>
      </c>
      <c r="D70" s="40">
        <f>IF(OR(-3172.45931="",-2153.72137="",-3172.45931=0),"-",-2153.72137/-3172.45931*100)</f>
        <v>67.88806914595227</v>
      </c>
    </row>
    <row r="71" spans="1:4" ht="15.75">
      <c r="A71" s="26" t="s">
        <v>87</v>
      </c>
      <c r="B71" s="40">
        <f>IF(-1270.98358="","-",-1270.98358)</f>
        <v>-1270.98358</v>
      </c>
      <c r="C71" s="40">
        <f>IF(-2145.36547="","-",-2145.36547)</f>
        <v>-2145.36547</v>
      </c>
      <c r="D71" s="40" t="s">
        <v>161</v>
      </c>
    </row>
    <row r="72" spans="1:4" ht="15.75">
      <c r="A72" s="26" t="s">
        <v>117</v>
      </c>
      <c r="B72" s="40">
        <f>IF(-237.19566="","-",-237.19566)</f>
        <v>-237.19566</v>
      </c>
      <c r="C72" s="40">
        <f>IF(-1623.16929="","-",-1623.16929)</f>
        <v>-1623.16929</v>
      </c>
      <c r="D72" s="40" t="s">
        <v>299</v>
      </c>
    </row>
    <row r="73" spans="1:4" ht="15.75">
      <c r="A73" s="26" t="s">
        <v>138</v>
      </c>
      <c r="B73" s="40">
        <f>IF(-2090.73728="","-",-2090.73728)</f>
        <v>-2090.73728</v>
      </c>
      <c r="C73" s="40">
        <f>IF(-1514.05792="","-",-1514.05792)</f>
        <v>-1514.05792</v>
      </c>
      <c r="D73" s="40">
        <f>IF(OR(-2090.73728="",-1514.05792="",-2090.73728=0),"-",-1514.05792/-2090.73728*100)</f>
        <v>72.41741630971444</v>
      </c>
    </row>
    <row r="74" spans="1:4" ht="15.75">
      <c r="A74" s="26" t="s">
        <v>142</v>
      </c>
      <c r="B74" s="40">
        <f>IF(-1039.67488="","-",-1039.67488)</f>
        <v>-1039.67488</v>
      </c>
      <c r="C74" s="40">
        <f>IF(-1105.24458="","-",-1105.24458)</f>
        <v>-1105.24458</v>
      </c>
      <c r="D74" s="40">
        <f>IF(OR(-1039.67488="",-1105.24458="",-1039.67488=0),"-",-1105.24458/-1039.67488*100)</f>
        <v>106.30675043336623</v>
      </c>
    </row>
    <row r="75" spans="1:4" ht="15.75">
      <c r="A75" s="26" t="s">
        <v>122</v>
      </c>
      <c r="B75" s="40">
        <f>IF(-1119.76019="","-",-1119.76019)</f>
        <v>-1119.76019</v>
      </c>
      <c r="C75" s="40">
        <f>IF(-1069.91401="","-",-1069.91401)</f>
        <v>-1069.91401</v>
      </c>
      <c r="D75" s="40">
        <f>IF(OR(-1119.76019="",-1069.91401="",-1119.76019=0),"-",-1069.91401/-1119.76019*100)</f>
        <v>95.54849507553934</v>
      </c>
    </row>
    <row r="76" spans="1:7" ht="15.75">
      <c r="A76" s="26" t="s">
        <v>86</v>
      </c>
      <c r="B76" s="40">
        <f>IF(-242.94765="","-",-242.94765)</f>
        <v>-242.94765</v>
      </c>
      <c r="C76" s="40">
        <f>IF(-1054.91405="","-",-1054.91405)</f>
        <v>-1054.91405</v>
      </c>
      <c r="D76" s="40" t="s">
        <v>242</v>
      </c>
      <c r="E76" s="16"/>
      <c r="F76" s="16"/>
      <c r="G76" s="16"/>
    </row>
    <row r="77" spans="1:4" ht="15.75">
      <c r="A77" s="26" t="s">
        <v>116</v>
      </c>
      <c r="B77" s="40">
        <f>IF(350.90021="","-",350.90021)</f>
        <v>350.90021</v>
      </c>
      <c r="C77" s="40">
        <f>IF(-1008.20787="","-",-1008.20787)</f>
        <v>-1008.20787</v>
      </c>
      <c r="D77" s="40" t="s">
        <v>22</v>
      </c>
    </row>
    <row r="78" spans="1:4" ht="15.75">
      <c r="A78" s="26" t="s">
        <v>199</v>
      </c>
      <c r="B78" s="40">
        <f>IF(10636.661="","-",10636.661)</f>
        <v>10636.661</v>
      </c>
      <c r="C78" s="40">
        <f>IF(-975.74485="","-",-975.74485)</f>
        <v>-975.74485</v>
      </c>
      <c r="D78" s="40" t="s">
        <v>22</v>
      </c>
    </row>
    <row r="79" spans="1:4" ht="15.75">
      <c r="A79" s="26" t="s">
        <v>137</v>
      </c>
      <c r="B79" s="40">
        <f>IF(-777.36551="","-",-777.36551)</f>
        <v>-777.36551</v>
      </c>
      <c r="C79" s="40">
        <f>IF(-924.00956="","-",-924.00956)</f>
        <v>-924.00956</v>
      </c>
      <c r="D79" s="40">
        <f>IF(OR(-777.36551="",-924.00956="",-777.36551=0),"-",-924.00956/-777.36551*100)</f>
        <v>118.8642341490041</v>
      </c>
    </row>
    <row r="80" spans="1:4" ht="15.75">
      <c r="A80" s="26" t="s">
        <v>140</v>
      </c>
      <c r="B80" s="40">
        <f>IF(-639.33818="","-",-639.33818)</f>
        <v>-639.33818</v>
      </c>
      <c r="C80" s="40">
        <f>IF(-872.26546="","-",-872.26546)</f>
        <v>-872.26546</v>
      </c>
      <c r="D80" s="40">
        <f>IF(OR(-639.33818="",-872.26546="",-639.33818=0),"-",-872.26546/-639.33818*100)</f>
        <v>136.43256218485186</v>
      </c>
    </row>
    <row r="81" spans="1:4" ht="15.75">
      <c r="A81" s="26" t="s">
        <v>143</v>
      </c>
      <c r="B81" s="40">
        <f>IF(-631.84377="","-",-631.84377)</f>
        <v>-631.84377</v>
      </c>
      <c r="C81" s="40">
        <f>IF(-788.11414="","-",-788.11414)</f>
        <v>-788.11414</v>
      </c>
      <c r="D81" s="40">
        <f>IF(OR(-631.84377="",-788.11414="",-631.84377=0),"-",-788.11414/-631.84377*100)</f>
        <v>124.73243821016074</v>
      </c>
    </row>
    <row r="82" spans="1:4" ht="15.75">
      <c r="A82" s="26" t="s">
        <v>115</v>
      </c>
      <c r="B82" s="40">
        <f>IF(-5259.89388="","-",-5259.89388)</f>
        <v>-5259.89388</v>
      </c>
      <c r="C82" s="40">
        <f>IF(-764.69687="","-",-764.69687)</f>
        <v>-764.69687</v>
      </c>
      <c r="D82" s="40">
        <f>IF(OR(-5259.89388="",-764.69687="",-5259.89388=0),"-",-764.69687/-5259.89388*100)</f>
        <v>14.538256615930054</v>
      </c>
    </row>
    <row r="83" spans="1:4" ht="15.75">
      <c r="A83" s="26" t="s">
        <v>141</v>
      </c>
      <c r="B83" s="40">
        <f>IF(-290.99699="","-",-290.99699)</f>
        <v>-290.99699</v>
      </c>
      <c r="C83" s="40">
        <f>IF(-736.17932="","-",-736.17932)</f>
        <v>-736.17932</v>
      </c>
      <c r="D83" s="40" t="s">
        <v>148</v>
      </c>
    </row>
    <row r="84" spans="1:4" ht="15.75">
      <c r="A84" s="26" t="s">
        <v>217</v>
      </c>
      <c r="B84" s="40" t="s">
        <v>221</v>
      </c>
      <c r="C84" s="40">
        <f>IF(-631.62479="","-",-631.62479)</f>
        <v>-631.62479</v>
      </c>
      <c r="D84" s="40" t="s">
        <v>22</v>
      </c>
    </row>
    <row r="85" spans="1:4" ht="15.75">
      <c r="A85" s="26" t="s">
        <v>149</v>
      </c>
      <c r="B85" s="40">
        <f>IF(-400.57304="","-",-400.57304)</f>
        <v>-400.57304</v>
      </c>
      <c r="C85" s="40">
        <f>IF(-626.44453="","-",-626.44453)</f>
        <v>-626.44453</v>
      </c>
      <c r="D85" s="40" t="s">
        <v>225</v>
      </c>
    </row>
    <row r="86" spans="1:4" ht="15.75">
      <c r="A86" s="26" t="s">
        <v>198</v>
      </c>
      <c r="B86" s="40">
        <f>IF(-414.1538="","-",-414.1538)</f>
        <v>-414.1538</v>
      </c>
      <c r="C86" s="40">
        <f>IF(-621.21245="","-",-621.21245)</f>
        <v>-621.21245</v>
      </c>
      <c r="D86" s="40">
        <f>IF(OR(-414.1538="",-621.21245="",-414.1538=0),"-",-621.21245/-414.1538*100)</f>
        <v>149.99559342447176</v>
      </c>
    </row>
    <row r="87" spans="1:4" ht="15.75">
      <c r="A87" s="26" t="s">
        <v>129</v>
      </c>
      <c r="B87" s="40">
        <f>IF(-367.86153="","-",-367.86153)</f>
        <v>-367.86153</v>
      </c>
      <c r="C87" s="40">
        <f>IF(-541.88011="","-",-541.88011)</f>
        <v>-541.88011</v>
      </c>
      <c r="D87" s="40">
        <f>IF(OR(-367.86153="",-541.88011="",-367.86153=0),"-",-541.88011/-367.86153*100)</f>
        <v>147.3054575725817</v>
      </c>
    </row>
    <row r="88" spans="1:4" ht="15.75">
      <c r="A88" s="26" t="s">
        <v>150</v>
      </c>
      <c r="B88" s="40">
        <f>IF(-142.10443="","-",-142.10443)</f>
        <v>-142.10443</v>
      </c>
      <c r="C88" s="40">
        <f>IF(-465.38888="","-",-465.38888)</f>
        <v>-465.38888</v>
      </c>
      <c r="D88" s="40" t="s">
        <v>300</v>
      </c>
    </row>
    <row r="89" spans="1:4" ht="15.75">
      <c r="A89" s="26" t="s">
        <v>156</v>
      </c>
      <c r="B89" s="40">
        <f>IF(471.43227="","-",471.43227)</f>
        <v>471.43227</v>
      </c>
      <c r="C89" s="40">
        <f>IF(-457.47582="","-",-457.47582)</f>
        <v>-457.47582</v>
      </c>
      <c r="D89" s="40" t="s">
        <v>22</v>
      </c>
    </row>
    <row r="90" spans="1:4" ht="15.75">
      <c r="A90" s="26" t="s">
        <v>244</v>
      </c>
      <c r="B90" s="40">
        <f>IF(-525.02283="","-",-525.02283)</f>
        <v>-525.02283</v>
      </c>
      <c r="C90" s="40">
        <f>IF(-366.98922="","-",-366.98922)</f>
        <v>-366.98922</v>
      </c>
      <c r="D90" s="40">
        <f>IF(OR(-525.02283="",-366.98922="",-525.02283=0),"-",-366.98922/-525.02283*100)</f>
        <v>69.89966893439662</v>
      </c>
    </row>
    <row r="91" spans="1:4" ht="15.75">
      <c r="A91" s="26" t="s">
        <v>159</v>
      </c>
      <c r="B91" s="40">
        <f>IF(-203.47562="","-",-203.47562)</f>
        <v>-203.47562</v>
      </c>
      <c r="C91" s="40">
        <f>IF(-349.17346="","-",-349.17346)</f>
        <v>-349.17346</v>
      </c>
      <c r="D91" s="40" t="s">
        <v>161</v>
      </c>
    </row>
    <row r="92" spans="1:4" ht="15.75">
      <c r="A92" s="26" t="s">
        <v>157</v>
      </c>
      <c r="B92" s="40">
        <f>IF(-146.69135="","-",-146.69135)</f>
        <v>-146.69135</v>
      </c>
      <c r="C92" s="40">
        <f>IF(-310.37304="","-",-310.37304)</f>
        <v>-310.37304</v>
      </c>
      <c r="D92" s="40" t="s">
        <v>145</v>
      </c>
    </row>
    <row r="93" spans="1:4" ht="15.75">
      <c r="A93" s="26" t="s">
        <v>243</v>
      </c>
      <c r="B93" s="40">
        <f>IF(-451.79346="","-",-451.79346)</f>
        <v>-451.79346</v>
      </c>
      <c r="C93" s="40">
        <f>IF(-299.30794="","-",-299.30794)</f>
        <v>-299.30794</v>
      </c>
      <c r="D93" s="40">
        <f>IF(OR(-451.79346="",-299.30794="",-451.79346=0),"-",-299.30794/-451.79346*100)</f>
        <v>66.24884300007352</v>
      </c>
    </row>
    <row r="94" spans="1:4" ht="15.75">
      <c r="A94" s="26" t="s">
        <v>144</v>
      </c>
      <c r="B94" s="40">
        <f>IF(-232.16107="","-",-232.16107)</f>
        <v>-232.16107</v>
      </c>
      <c r="C94" s="40">
        <f>IF(-262.94892="","-",-262.94892)</f>
        <v>-262.94892</v>
      </c>
      <c r="D94" s="40">
        <f>IF(OR(-232.16107="",-262.94892="",-232.16107=0),"-",-262.94892/-232.16107*100)</f>
        <v>113.26141803188622</v>
      </c>
    </row>
    <row r="95" spans="1:4" ht="15.75">
      <c r="A95" s="26" t="s">
        <v>218</v>
      </c>
      <c r="B95" s="40">
        <f>IF(-34.10485="","-",-34.10485)</f>
        <v>-34.10485</v>
      </c>
      <c r="C95" s="40">
        <f>IF(-226.56263="","-",-226.56263)</f>
        <v>-226.56263</v>
      </c>
      <c r="D95" s="40" t="s">
        <v>245</v>
      </c>
    </row>
    <row r="96" spans="1:7" ht="15.75">
      <c r="A96" s="26" t="s">
        <v>277</v>
      </c>
      <c r="B96" s="40">
        <f>IF(67.28772="","-",67.28772)</f>
        <v>67.28772</v>
      </c>
      <c r="C96" s="40">
        <f>IF(-201.31552="","-",-201.31552)</f>
        <v>-201.31552</v>
      </c>
      <c r="D96" s="40" t="s">
        <v>22</v>
      </c>
      <c r="E96" s="16"/>
      <c r="F96" s="16"/>
      <c r="G96" s="16"/>
    </row>
    <row r="97" spans="1:7" ht="15.75">
      <c r="A97" s="26" t="s">
        <v>114</v>
      </c>
      <c r="B97" s="40">
        <f>IF(-941.7031="","-",-941.7031)</f>
        <v>-941.7031</v>
      </c>
      <c r="C97" s="40">
        <f>IF(-156.84281="","-",-156.84281)</f>
        <v>-156.84281</v>
      </c>
      <c r="D97" s="40">
        <f>IF(OR(-941.7031="",-156.84281="",-941.7031=0),"-",-156.84281/-941.7031*100)</f>
        <v>16.655229233077815</v>
      </c>
      <c r="E97" s="16"/>
      <c r="F97" s="16"/>
      <c r="G97" s="16"/>
    </row>
    <row r="98" spans="1:4" ht="15.75">
      <c r="A98" s="26" t="s">
        <v>173</v>
      </c>
      <c r="B98" s="40">
        <f>IF(-24.96933="","-",-24.96933)</f>
        <v>-24.96933</v>
      </c>
      <c r="C98" s="40">
        <f>IF(-91.30918="","-",-91.30918)</f>
        <v>-91.30918</v>
      </c>
      <c r="D98" s="40" t="s">
        <v>223</v>
      </c>
    </row>
    <row r="99" spans="1:4" ht="15.75">
      <c r="A99" s="26" t="s">
        <v>200</v>
      </c>
      <c r="B99" s="40">
        <f>IF(-197.88314="","-",-197.88314)</f>
        <v>-197.88314</v>
      </c>
      <c r="C99" s="40">
        <f>IF(-87.63267="","-",-87.63267)</f>
        <v>-87.63267</v>
      </c>
      <c r="D99" s="40">
        <f>IF(OR(-197.88314="",-87.63267="",-197.88314=0),"-",-87.63267/-197.88314*100)</f>
        <v>44.285061375112605</v>
      </c>
    </row>
    <row r="100" spans="1:7" ht="15.75">
      <c r="A100" s="26" t="s">
        <v>219</v>
      </c>
      <c r="B100" s="40">
        <f>IF(-74.10322="","-",-74.10322)</f>
        <v>-74.10322</v>
      </c>
      <c r="C100" s="40">
        <f>IF(-71.58404="","-",-71.58404)</f>
        <v>-71.58404</v>
      </c>
      <c r="D100" s="40">
        <f>IF(OR(-74.10322="",-71.58404="",-74.10322=0),"-",-71.58404/-74.10322*100)</f>
        <v>96.60044462305419</v>
      </c>
      <c r="E100" s="15"/>
      <c r="F100" s="15"/>
      <c r="G100" s="15"/>
    </row>
    <row r="101" spans="1:4" ht="15.75">
      <c r="A101" s="26" t="s">
        <v>220</v>
      </c>
      <c r="B101" s="40">
        <f>IF(-40.7466="","-",-40.7466)</f>
        <v>-40.7466</v>
      </c>
      <c r="C101" s="40">
        <f>IF(-64.14571="","-",-64.14571)</f>
        <v>-64.14571</v>
      </c>
      <c r="D101" s="40" t="s">
        <v>225</v>
      </c>
    </row>
    <row r="102" spans="1:7" ht="15.75">
      <c r="A102" s="26" t="s">
        <v>246</v>
      </c>
      <c r="B102" s="40">
        <f>IF(-44.8019="","-",-44.8019)</f>
        <v>-44.8019</v>
      </c>
      <c r="C102" s="40">
        <f>IF(-63.05378="","-",-63.05378)</f>
        <v>-63.05378</v>
      </c>
      <c r="D102" s="40">
        <f>IF(OR(-44.8019="",-63.05378="",-44.8019=0),"-",-63.05378/-44.8019*100)</f>
        <v>140.73907579812465</v>
      </c>
      <c r="E102" s="15"/>
      <c r="F102" s="15"/>
      <c r="G102" s="15"/>
    </row>
    <row r="103" spans="1:7" ht="15.75">
      <c r="A103" s="26" t="s">
        <v>291</v>
      </c>
      <c r="B103" s="40">
        <f>IF(-29.52225="","-",-29.52225)</f>
        <v>-29.52225</v>
      </c>
      <c r="C103" s="40">
        <f>IF(-50.7851="","-",-50.7851)</f>
        <v>-50.7851</v>
      </c>
      <c r="D103" s="40" t="s">
        <v>161</v>
      </c>
      <c r="E103" s="1"/>
      <c r="F103" s="1"/>
      <c r="G103" s="1"/>
    </row>
    <row r="104" spans="1:4" ht="15.75">
      <c r="A104" s="26" t="s">
        <v>247</v>
      </c>
      <c r="B104" s="40">
        <f>IF(-61.02817="","-",-61.02817)</f>
        <v>-61.02817</v>
      </c>
      <c r="C104" s="40">
        <f>IF(-46.30917="","-",-46.30917)</f>
        <v>-46.30917</v>
      </c>
      <c r="D104" s="40">
        <f>IF(OR(-61.02817="",-46.30917="",-61.02817=0),"-",-46.30917/-61.02817*100)</f>
        <v>75.88162974573873</v>
      </c>
    </row>
    <row r="105" spans="1:4" ht="15.75">
      <c r="A105" s="26" t="s">
        <v>249</v>
      </c>
      <c r="B105" s="40">
        <f>IF(-0.60452="","-",-0.60452)</f>
        <v>-0.60452</v>
      </c>
      <c r="C105" s="40">
        <f>IF(48.5834="","-",48.5834)</f>
        <v>48.5834</v>
      </c>
      <c r="D105" s="40" t="s">
        <v>22</v>
      </c>
    </row>
    <row r="106" spans="1:4" ht="15.75">
      <c r="A106" s="26" t="s">
        <v>196</v>
      </c>
      <c r="B106" s="40">
        <f>IF(8.90764="","-",8.90764)</f>
        <v>8.90764</v>
      </c>
      <c r="C106" s="40">
        <f>IF(48.96218="","-",48.96218)</f>
        <v>48.96218</v>
      </c>
      <c r="D106" s="40" t="s">
        <v>180</v>
      </c>
    </row>
    <row r="107" spans="1:7" ht="15.75">
      <c r="A107" s="26" t="s">
        <v>280</v>
      </c>
      <c r="B107" s="40">
        <f>IF(-0.02686="","-",-0.02686)</f>
        <v>-0.02686</v>
      </c>
      <c r="C107" s="40">
        <f>IF(55.6754="","-",55.6754)</f>
        <v>55.6754</v>
      </c>
      <c r="D107" s="40" t="s">
        <v>22</v>
      </c>
      <c r="E107" s="16"/>
      <c r="F107" s="16"/>
      <c r="G107" s="16"/>
    </row>
    <row r="108" spans="1:7" ht="15.75">
      <c r="A108" s="26" t="s">
        <v>214</v>
      </c>
      <c r="B108" s="40" t="s">
        <v>221</v>
      </c>
      <c r="C108" s="40">
        <f>IF(65.856="","-",65.856)</f>
        <v>65.856</v>
      </c>
      <c r="D108" s="40" t="s">
        <v>22</v>
      </c>
      <c r="E108" s="12"/>
      <c r="F108" s="12"/>
      <c r="G108" s="12"/>
    </row>
    <row r="109" spans="1:4" ht="15.75">
      <c r="A109" s="26" t="s">
        <v>168</v>
      </c>
      <c r="B109" s="40">
        <f>IF(1034.79823="","-",1034.79823)</f>
        <v>1034.79823</v>
      </c>
      <c r="C109" s="40">
        <f>IF(69.65623="","-",69.65623)</f>
        <v>69.65623</v>
      </c>
      <c r="D109" s="40">
        <f>IF(OR(1034.79823="",69.65623="",1034.79823=0),"-",69.65623/1034.79823*100)</f>
        <v>6.731382793339334</v>
      </c>
    </row>
    <row r="110" spans="1:7" ht="15.75">
      <c r="A110" s="26" t="s">
        <v>179</v>
      </c>
      <c r="B110" s="40">
        <f>IF(-0.40038="","-",-0.40038)</f>
        <v>-0.40038</v>
      </c>
      <c r="C110" s="40">
        <f>IF(74.15029="","-",74.15029)</f>
        <v>74.15029</v>
      </c>
      <c r="D110" s="40" t="s">
        <v>22</v>
      </c>
      <c r="E110" s="16"/>
      <c r="F110" s="16"/>
      <c r="G110" s="16"/>
    </row>
    <row r="111" spans="1:4" ht="15.75">
      <c r="A111" s="26" t="s">
        <v>235</v>
      </c>
      <c r="B111" s="40" t="s">
        <v>221</v>
      </c>
      <c r="C111" s="40">
        <f>IF(75.64265="","-",75.64265)</f>
        <v>75.64265</v>
      </c>
      <c r="D111" s="40" t="s">
        <v>22</v>
      </c>
    </row>
    <row r="112" spans="1:4" ht="15.75">
      <c r="A112" s="26" t="s">
        <v>204</v>
      </c>
      <c r="B112" s="40">
        <f>IF(11.02792="","-",11.02792)</f>
        <v>11.02792</v>
      </c>
      <c r="C112" s="40">
        <f>IF(77.69399="","-",77.69399)</f>
        <v>77.69399</v>
      </c>
      <c r="D112" s="40" t="s">
        <v>234</v>
      </c>
    </row>
    <row r="113" spans="1:7" ht="15.75">
      <c r="A113" s="26" t="s">
        <v>213</v>
      </c>
      <c r="B113" s="40">
        <f>IF(345.50369="","-",345.50369)</f>
        <v>345.50369</v>
      </c>
      <c r="C113" s="40">
        <f>IF(95.45752="","-",95.45752)</f>
        <v>95.45752</v>
      </c>
      <c r="D113" s="40">
        <f>IF(OR(345.50369="",95.45752="",345.50369=0),"-",95.45752/345.50369*100)</f>
        <v>27.62850955368957</v>
      </c>
      <c r="E113" s="16"/>
      <c r="F113" s="16"/>
      <c r="G113" s="16"/>
    </row>
    <row r="114" spans="1:4" ht="15.75">
      <c r="A114" s="26" t="s">
        <v>279</v>
      </c>
      <c r="B114" s="40">
        <f>IF(35.4703="","-",35.4703)</f>
        <v>35.4703</v>
      </c>
      <c r="C114" s="40">
        <f>IF(99.05="","-",99.05)</f>
        <v>99.05</v>
      </c>
      <c r="D114" s="40" t="s">
        <v>226</v>
      </c>
    </row>
    <row r="115" spans="1:4" ht="15.75">
      <c r="A115" s="26" t="s">
        <v>298</v>
      </c>
      <c r="B115" s="40">
        <f>IF(116.25016="","-",116.25016)</f>
        <v>116.25016</v>
      </c>
      <c r="C115" s="40">
        <f>IF(134.90109="","-",134.90109)</f>
        <v>134.90109</v>
      </c>
      <c r="D115" s="40">
        <f>IF(OR(116.25016="",134.90109="",116.25016=0),"-",134.90109/116.25016*100)</f>
        <v>116.04378867091454</v>
      </c>
    </row>
    <row r="116" spans="1:4" ht="15.75">
      <c r="A116" s="26" t="s">
        <v>193</v>
      </c>
      <c r="B116" s="40">
        <f>IF(15.9519="","-",15.9519)</f>
        <v>15.9519</v>
      </c>
      <c r="C116" s="40">
        <f>IF(191.2774="","-",191.2774)</f>
        <v>191.2774</v>
      </c>
      <c r="D116" s="40" t="s">
        <v>301</v>
      </c>
    </row>
    <row r="117" spans="1:4" ht="15.75">
      <c r="A117" s="26" t="s">
        <v>165</v>
      </c>
      <c r="B117" s="40">
        <f>IF(374.52052="","-",374.52052)</f>
        <v>374.52052</v>
      </c>
      <c r="C117" s="40">
        <f>IF(203.26985="","-",203.26985)</f>
        <v>203.26985</v>
      </c>
      <c r="D117" s="40">
        <f>IF(OR(374.52052="",203.26985="",374.52052=0),"-",203.26985/374.52052*100)</f>
        <v>54.274689675214596</v>
      </c>
    </row>
    <row r="118" spans="1:4" ht="15.75">
      <c r="A118" s="26" t="s">
        <v>166</v>
      </c>
      <c r="B118" s="40">
        <f>IF(65.82311="","-",65.82311)</f>
        <v>65.82311</v>
      </c>
      <c r="C118" s="40">
        <f>IF(241.17673="","-",241.17673)</f>
        <v>241.17673</v>
      </c>
      <c r="D118" s="40" t="s">
        <v>174</v>
      </c>
    </row>
    <row r="119" spans="1:4" ht="15.75">
      <c r="A119" s="26" t="s">
        <v>128</v>
      </c>
      <c r="B119" s="40">
        <f>IF(-89.98="","-",-89.98)</f>
        <v>-89.98</v>
      </c>
      <c r="C119" s="40">
        <f>IF(278.13104="","-",278.13104)</f>
        <v>278.13104</v>
      </c>
      <c r="D119" s="40" t="s">
        <v>22</v>
      </c>
    </row>
    <row r="120" spans="1:4" ht="15.75">
      <c r="A120" s="26" t="s">
        <v>278</v>
      </c>
      <c r="B120" s="40">
        <f>IF(-0.54049="","-",-0.54049)</f>
        <v>-0.54049</v>
      </c>
      <c r="C120" s="40">
        <f>IF(284.26267="","-",284.26267)</f>
        <v>284.26267</v>
      </c>
      <c r="D120" s="40" t="s">
        <v>22</v>
      </c>
    </row>
    <row r="121" spans="1:4" ht="15.75">
      <c r="A121" s="26" t="s">
        <v>192</v>
      </c>
      <c r="B121" s="40">
        <f>IF(114.92595="","-",114.92595)</f>
        <v>114.92595</v>
      </c>
      <c r="C121" s="40">
        <f>IF(290.30018="","-",290.30018)</f>
        <v>290.30018</v>
      </c>
      <c r="D121" s="40" t="s">
        <v>148</v>
      </c>
    </row>
    <row r="122" spans="1:4" ht="15.75">
      <c r="A122" s="26" t="s">
        <v>195</v>
      </c>
      <c r="B122" s="40" t="s">
        <v>221</v>
      </c>
      <c r="C122" s="40">
        <f>IF(317.23657="","-",317.23657)</f>
        <v>317.23657</v>
      </c>
      <c r="D122" s="40" t="s">
        <v>22</v>
      </c>
    </row>
    <row r="123" spans="1:4" ht="15.75">
      <c r="A123" s="26" t="s">
        <v>147</v>
      </c>
      <c r="B123" s="40">
        <f>IF(150.64701="","-",150.64701)</f>
        <v>150.64701</v>
      </c>
      <c r="C123" s="40">
        <f>IF(323.36257="","-",323.36257)</f>
        <v>323.36257</v>
      </c>
      <c r="D123" s="40" t="s">
        <v>145</v>
      </c>
    </row>
    <row r="124" spans="1:4" ht="15.75">
      <c r="A124" s="26" t="s">
        <v>177</v>
      </c>
      <c r="B124" s="40" t="s">
        <v>221</v>
      </c>
      <c r="C124" s="40">
        <f>IF(368.5925="","-",368.5925)</f>
        <v>368.5925</v>
      </c>
      <c r="D124" s="40" t="s">
        <v>22</v>
      </c>
    </row>
    <row r="125" spans="1:7" ht="15.75">
      <c r="A125" s="26" t="s">
        <v>170</v>
      </c>
      <c r="B125" s="40">
        <f>IF(143.08186="","-",143.08186)</f>
        <v>143.08186</v>
      </c>
      <c r="C125" s="40">
        <f>IF(407.91458="","-",407.91458)</f>
        <v>407.91458</v>
      </c>
      <c r="D125" s="40" t="s">
        <v>171</v>
      </c>
      <c r="E125" s="1"/>
      <c r="F125" s="1"/>
      <c r="G125" s="1"/>
    </row>
    <row r="126" spans="1:7" ht="15.75">
      <c r="A126" s="26" t="s">
        <v>203</v>
      </c>
      <c r="B126" s="40">
        <f>IF(0.53598="","-",0.53598)</f>
        <v>0.53598</v>
      </c>
      <c r="C126" s="40">
        <f>IF(464.50644="","-",464.50644)</f>
        <v>464.50644</v>
      </c>
      <c r="D126" s="40" t="s">
        <v>302</v>
      </c>
      <c r="E126" s="16"/>
      <c r="F126" s="16"/>
      <c r="G126" s="16"/>
    </row>
    <row r="127" spans="1:4" ht="15.75">
      <c r="A127" s="26" t="s">
        <v>126</v>
      </c>
      <c r="B127" s="40">
        <f>IF(309.9207="","-",309.9207)</f>
        <v>309.9207</v>
      </c>
      <c r="C127" s="40">
        <f>IF(891.28025="","-",891.28025)</f>
        <v>891.28025</v>
      </c>
      <c r="D127" s="40" t="s">
        <v>171</v>
      </c>
    </row>
    <row r="128" spans="1:4" ht="15.75">
      <c r="A128" s="26" t="s">
        <v>164</v>
      </c>
      <c r="B128" s="40">
        <f>IF(964.18936="","-",964.18936)</f>
        <v>964.18936</v>
      </c>
      <c r="C128" s="40">
        <f>IF(965.38917="","-",965.38917)</f>
        <v>965.38917</v>
      </c>
      <c r="D128" s="40">
        <f>IF(OR(964.18936="",965.38917="",964.18936=0),"-",965.38917/964.18936*100)</f>
        <v>100.12443717487196</v>
      </c>
    </row>
    <row r="129" spans="1:4" ht="15.75">
      <c r="A129" s="26" t="s">
        <v>191</v>
      </c>
      <c r="B129" s="40">
        <f>IF(-43.72005="","-",-43.72005)</f>
        <v>-43.72005</v>
      </c>
      <c r="C129" s="40">
        <f>IF(1645.97685="","-",1645.97685)</f>
        <v>1645.97685</v>
      </c>
      <c r="D129" s="40" t="s">
        <v>22</v>
      </c>
    </row>
    <row r="130" spans="1:4" ht="15.75">
      <c r="A130" s="26" t="s">
        <v>178</v>
      </c>
      <c r="B130" s="40" t="s">
        <v>221</v>
      </c>
      <c r="C130" s="40">
        <f>IF(1732.39958="","-",1732.39958)</f>
        <v>1732.39958</v>
      </c>
      <c r="D130" s="40" t="s">
        <v>22</v>
      </c>
    </row>
    <row r="131" spans="1:4" ht="15.75">
      <c r="A131" s="26" t="s">
        <v>194</v>
      </c>
      <c r="B131" s="40">
        <f>IF(3576.02664="","-",3576.02664)</f>
        <v>3576.02664</v>
      </c>
      <c r="C131" s="40">
        <f>IF(1773.07069="","-",1773.07069)</f>
        <v>1773.07069</v>
      </c>
      <c r="D131" s="40">
        <f>IF(OR(3576.02664="",1773.07069="",3576.02664=0),"-",1773.07069/3576.02664*100)</f>
        <v>49.58214433212388</v>
      </c>
    </row>
    <row r="132" spans="1:4" ht="15.75">
      <c r="A132" s="26" t="s">
        <v>112</v>
      </c>
      <c r="B132" s="40">
        <f>IF(405.86473="","-",405.86473)</f>
        <v>405.86473</v>
      </c>
      <c r="C132" s="40">
        <f>IF(2228.70104="","-",2228.70104)</f>
        <v>2228.70104</v>
      </c>
      <c r="D132" s="40" t="s">
        <v>180</v>
      </c>
    </row>
    <row r="133" spans="1:4" ht="15.75">
      <c r="A133" s="26" t="s">
        <v>239</v>
      </c>
      <c r="B133" s="40">
        <f>IF(1895.71884="","-",1895.71884)</f>
        <v>1895.71884</v>
      </c>
      <c r="C133" s="40">
        <f>IF(3459.93098="","-",3459.93098)</f>
        <v>3459.93098</v>
      </c>
      <c r="D133" s="40" t="s">
        <v>160</v>
      </c>
    </row>
    <row r="134" spans="1:4" ht="15.75">
      <c r="A134" s="26" t="s">
        <v>124</v>
      </c>
      <c r="B134" s="40">
        <f>IF(958.88232="","-",958.88232)</f>
        <v>958.88232</v>
      </c>
      <c r="C134" s="40">
        <f>IF(5398.71224="","-",5398.71224)</f>
        <v>5398.71224</v>
      </c>
      <c r="D134" s="40" t="s">
        <v>248</v>
      </c>
    </row>
    <row r="135" spans="1:4" ht="15.75">
      <c r="A135" s="26" t="s">
        <v>105</v>
      </c>
      <c r="B135" s="40">
        <f>IF(10445.73782="","-",10445.73782)</f>
        <v>10445.73782</v>
      </c>
      <c r="C135" s="40">
        <f>IF(8267.47752="","-",8267.47752)</f>
        <v>8267.47752</v>
      </c>
      <c r="D135" s="40">
        <f>IF(OR(10445.73782="",8267.47752="",10445.73782=0),"-",8267.47752/10445.73782*100)</f>
        <v>79.14689859600554</v>
      </c>
    </row>
    <row r="136" spans="1:4" ht="15.75">
      <c r="A136" s="26" t="s">
        <v>108</v>
      </c>
      <c r="B136" s="40">
        <f>IF(4982.02064="","-",4982.02064)</f>
        <v>4982.02064</v>
      </c>
      <c r="C136" s="40">
        <f>IF(9665.4846="","-",9665.4846)</f>
        <v>9665.4846</v>
      </c>
      <c r="D136" s="40" t="s">
        <v>162</v>
      </c>
    </row>
    <row r="137" spans="1:4" ht="15.75">
      <c r="A137" s="62" t="s">
        <v>106</v>
      </c>
      <c r="B137" s="50">
        <f>IF(8893.19875="","-",8893.19875)</f>
        <v>8893.19875</v>
      </c>
      <c r="C137" s="50">
        <f>IF(10494.72552="","-",10494.72552)</f>
        <v>10494.72552</v>
      </c>
      <c r="D137" s="50">
        <f>IF(OR(8893.19875="",10494.72552="",8893.19875=0),"-",10494.72552/8893.19875*100)</f>
        <v>118.00844459930686</v>
      </c>
    </row>
    <row r="138" spans="1:4" ht="15.75">
      <c r="A138" s="45" t="s">
        <v>238</v>
      </c>
      <c r="B138" s="57">
        <f>IF(-3427.17172="","-",-3427.17172)</f>
        <v>-3427.17172</v>
      </c>
      <c r="C138" s="57">
        <f>IF(12219.09985="","-",12219.09985)</f>
        <v>12219.09985</v>
      </c>
      <c r="D138" s="57" t="s">
        <v>22</v>
      </c>
    </row>
    <row r="139" ht="15.75">
      <c r="A139" s="43" t="s">
        <v>20</v>
      </c>
    </row>
  </sheetData>
  <sheetProtection/>
  <mergeCells count="4">
    <mergeCell ref="A1:D1"/>
    <mergeCell ref="A3:A4"/>
    <mergeCell ref="D3:D4"/>
    <mergeCell ref="B3:C3"/>
  </mergeCells>
  <printOptions/>
  <pageMargins left="0.5905511811023623" right="0.3937007874015748" top="0.3937007874015748" bottom="0.1968503937007874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39"/>
  <sheetViews>
    <sheetView zoomScalePageLayoutView="0" workbookViewId="0" topLeftCell="A1">
      <selection activeCell="B6" sqref="B6"/>
    </sheetView>
  </sheetViews>
  <sheetFormatPr defaultColWidth="9.00390625" defaultRowHeight="15.75"/>
  <cols>
    <col min="1" max="1" width="32.625" style="0" customWidth="1"/>
    <col min="2" max="2" width="14.25390625" style="0" customWidth="1"/>
    <col min="3" max="3" width="14.75390625" style="0" customWidth="1"/>
    <col min="4" max="4" width="11.25390625" style="0" customWidth="1"/>
    <col min="5" max="5" width="11.00390625" style="0" customWidth="1"/>
    <col min="6" max="6" width="10.25390625" style="0" customWidth="1"/>
  </cols>
  <sheetData>
    <row r="1" spans="1:5" ht="15.75">
      <c r="A1" s="90" t="s">
        <v>268</v>
      </c>
      <c r="B1" s="90"/>
      <c r="C1" s="90"/>
      <c r="D1" s="90"/>
      <c r="E1" s="90"/>
    </row>
    <row r="2" spans="1:5" ht="15.75">
      <c r="A2" s="11"/>
      <c r="B2" s="11"/>
      <c r="C2" s="11"/>
      <c r="D2" s="11"/>
      <c r="E2" s="11"/>
    </row>
    <row r="3" spans="1:6" ht="19.5" customHeight="1">
      <c r="A3" s="91"/>
      <c r="B3" s="94" t="s">
        <v>269</v>
      </c>
      <c r="C3" s="95"/>
      <c r="D3" s="94" t="s">
        <v>169</v>
      </c>
      <c r="E3" s="110"/>
      <c r="F3" s="1"/>
    </row>
    <row r="4" spans="1:6" ht="21.75" customHeight="1">
      <c r="A4" s="92"/>
      <c r="B4" s="98" t="s">
        <v>202</v>
      </c>
      <c r="C4" s="100" t="s">
        <v>270</v>
      </c>
      <c r="D4" s="102" t="s">
        <v>271</v>
      </c>
      <c r="E4" s="94"/>
      <c r="F4" s="1"/>
    </row>
    <row r="5" spans="1:6" ht="20.25" customHeight="1">
      <c r="A5" s="93"/>
      <c r="B5" s="99"/>
      <c r="C5" s="101"/>
      <c r="D5" s="32">
        <v>2017</v>
      </c>
      <c r="E5" s="31">
        <v>2018</v>
      </c>
      <c r="F5" s="1"/>
    </row>
    <row r="6" spans="1:5" ht="15.75" customHeight="1">
      <c r="A6" s="64" t="s">
        <v>316</v>
      </c>
      <c r="B6" s="65">
        <f>IF(1534061.00855="","-",1534061.00855)</f>
        <v>1534061.00855</v>
      </c>
      <c r="C6" s="60">
        <f>IF(1219791.03674="","-",1534061.00855/1219791.03674*100)</f>
        <v>125.76424669014739</v>
      </c>
      <c r="D6" s="65">
        <v>100</v>
      </c>
      <c r="E6" s="65">
        <v>100</v>
      </c>
    </row>
    <row r="7" spans="1:5" ht="15.75" customHeight="1">
      <c r="A7" s="10" t="s">
        <v>222</v>
      </c>
      <c r="B7" s="82"/>
      <c r="C7" s="81"/>
      <c r="D7" s="82"/>
      <c r="E7" s="82"/>
    </row>
    <row r="8" spans="1:5" ht="15.75">
      <c r="A8" s="36" t="s">
        <v>181</v>
      </c>
      <c r="B8" s="40">
        <f>IF(108610.25115="","-",108610.25115)</f>
        <v>108610.25115</v>
      </c>
      <c r="C8" s="41">
        <v>127.57</v>
      </c>
      <c r="D8" s="40">
        <f>IF(85139.71489="","-",85139.71489/1219791.03674*100)</f>
        <v>6.9798606749516265</v>
      </c>
      <c r="E8" s="40">
        <f>IF(108610.25115="","-",108610.25115/1534061.00855*100)</f>
        <v>7.079917326929443</v>
      </c>
    </row>
    <row r="9" spans="1:5" ht="15.75">
      <c r="A9" s="36" t="s">
        <v>182</v>
      </c>
      <c r="B9" s="40">
        <f>IF(49449.43168="","-",49449.43168)</f>
        <v>49449.43168</v>
      </c>
      <c r="C9" s="41" t="s">
        <v>145</v>
      </c>
      <c r="D9" s="40">
        <f>IF(23066.57117="","-",23066.57117/1219791.03674*100)</f>
        <v>1.8910264525018534</v>
      </c>
      <c r="E9" s="40">
        <f>IF(49449.43168="","-",49449.43168/1534061.00855*100)</f>
        <v>3.223433188406228</v>
      </c>
    </row>
    <row r="10" spans="1:5" ht="15.75">
      <c r="A10" s="36" t="s">
        <v>183</v>
      </c>
      <c r="B10" s="40">
        <f>IF(1341056.65487="","-",1341056.65487)</f>
        <v>1341056.65487</v>
      </c>
      <c r="C10" s="41">
        <v>124.56</v>
      </c>
      <c r="D10" s="40">
        <f>IF(1076606.3939="","-",1076606.3939/1219791.03674*100)</f>
        <v>88.26154328673593</v>
      </c>
      <c r="E10" s="40">
        <f>IF(1341056.65487="","-",1341056.65487/1534061.00855*100)</f>
        <v>87.41873024577892</v>
      </c>
    </row>
    <row r="11" spans="1:5" ht="15.75">
      <c r="A11" s="36" t="s">
        <v>184</v>
      </c>
      <c r="B11" s="40">
        <f>IF(34078.64705="","-",34078.64705)</f>
        <v>34078.64705</v>
      </c>
      <c r="C11" s="41">
        <v>100</v>
      </c>
      <c r="D11" s="40">
        <f>IF(34077.03795="","-",34077.03795/1219791.03674*100)</f>
        <v>2.7936783369940077</v>
      </c>
      <c r="E11" s="40">
        <f>IF(34078.64705="","-",34078.64705/1534061.00855*100)</f>
        <v>2.2214662167974177</v>
      </c>
    </row>
    <row r="12" spans="1:5" ht="15.75">
      <c r="A12" s="36" t="s">
        <v>185</v>
      </c>
      <c r="B12" s="40">
        <f>IF(839.3722="","-",839.3722)</f>
        <v>839.3722</v>
      </c>
      <c r="C12" s="41">
        <v>122.08</v>
      </c>
      <c r="D12" s="40">
        <f>IF(687.53361="","-",687.53361/1219791.03674*100)</f>
        <v>0.05636486818574227</v>
      </c>
      <c r="E12" s="40">
        <f>IF(839.3722="","-",839.3722/1534061.00855*100)</f>
        <v>0.05471569874482226</v>
      </c>
    </row>
    <row r="13" spans="1:5" ht="15.75">
      <c r="A13" s="36" t="s">
        <v>186</v>
      </c>
      <c r="B13" s="40">
        <f>IF(4.89313="","-",4.89313)</f>
        <v>4.89313</v>
      </c>
      <c r="C13" s="41">
        <v>121.34</v>
      </c>
      <c r="D13" s="40">
        <f>IF(4.03244="","-",4.03244/1219791.03674*100)</f>
        <v>0.00033058449181402866</v>
      </c>
      <c r="E13" s="40">
        <f>IF(4.89313="","-",4.89313/1534061.00855*100)</f>
        <v>0.0003189658020592678</v>
      </c>
    </row>
    <row r="14" spans="1:5" ht="15.75">
      <c r="A14" s="36" t="s">
        <v>187</v>
      </c>
      <c r="B14" s="40">
        <f>IF(21.75847="","-",21.75847)</f>
        <v>21.75847</v>
      </c>
      <c r="C14" s="41">
        <v>10.04</v>
      </c>
      <c r="D14" s="40">
        <f>IF(209.75278="","-",209.75278/1219791.03674*100)</f>
        <v>0.017195796139032386</v>
      </c>
      <c r="E14" s="40">
        <f>IF(21.75847="","-",21.75847/1534061.00855*100)</f>
        <v>0.0014183575411101925</v>
      </c>
    </row>
    <row r="15" spans="1:5" ht="15.75">
      <c r="A15" s="35" t="s">
        <v>266</v>
      </c>
      <c r="B15" s="37">
        <f>IF(1053586.45628="","-",1053586.45628)</f>
        <v>1053586.45628</v>
      </c>
      <c r="C15" s="37">
        <f>IF(778221.72122="","-",1053586.45628/778221.72122*100)</f>
        <v>135.38384081959538</v>
      </c>
      <c r="D15" s="37">
        <f>IF(778221.72122="","-",778221.72122/1219791.03674*100)</f>
        <v>63.799593354929605</v>
      </c>
      <c r="E15" s="37">
        <f>IF(1053586.45628="","-",1053586.45628/1534061.00855*100)</f>
        <v>68.67956687562601</v>
      </c>
    </row>
    <row r="16" spans="1:5" ht="15.75">
      <c r="A16" s="10" t="s">
        <v>222</v>
      </c>
      <c r="B16" s="82"/>
      <c r="C16" s="42"/>
      <c r="D16" s="82"/>
      <c r="E16" s="82"/>
    </row>
    <row r="17" spans="1:5" ht="15.75">
      <c r="A17" s="36" t="s">
        <v>181</v>
      </c>
      <c r="B17" s="40">
        <f>IF(63839.88049="","-",63839.88049)</f>
        <v>63839.88049</v>
      </c>
      <c r="C17" s="41">
        <v>156.16</v>
      </c>
      <c r="D17" s="40">
        <f>IF(40880.73291="","-",40880.73291/1219791.03674*100)</f>
        <v>3.351453788286344</v>
      </c>
      <c r="E17" s="40">
        <f>IF(63839.88049="","-",63839.88049/1534061.00855*100)</f>
        <v>4.161495542497471</v>
      </c>
    </row>
    <row r="18" spans="1:5" ht="15.75">
      <c r="A18" s="36" t="s">
        <v>182</v>
      </c>
      <c r="B18" s="40">
        <f>IF(22508.37162="","-",22508.37162)</f>
        <v>22508.37162</v>
      </c>
      <c r="C18" s="41" t="s">
        <v>171</v>
      </c>
      <c r="D18" s="40">
        <f>IF(7723.37777="","-",7723.37777/1219791.03674*100)</f>
        <v>0.6331722022356726</v>
      </c>
      <c r="E18" s="40">
        <f>IF(22508.37162="","-",22508.37162/1534061.00855*100)</f>
        <v>1.4672409698539302</v>
      </c>
    </row>
    <row r="19" spans="1:5" ht="15.75">
      <c r="A19" s="36" t="s">
        <v>183</v>
      </c>
      <c r="B19" s="40">
        <f>IF(959772.79507="","-",959772.79507)</f>
        <v>959772.79507</v>
      </c>
      <c r="C19" s="41">
        <v>132.03</v>
      </c>
      <c r="D19" s="40">
        <f>IF(726913.00761="","-",726913.00761/1219791.03674*100)</f>
        <v>59.593240621995356</v>
      </c>
      <c r="E19" s="40">
        <f>IF(959772.79507="","-",959772.79507/1534061.00855*100)</f>
        <v>62.56418680357314</v>
      </c>
    </row>
    <row r="20" spans="1:5" ht="15.75">
      <c r="A20" s="36" t="s">
        <v>184</v>
      </c>
      <c r="B20" s="40">
        <f>IF(6984.72519="","-",6984.72519)</f>
        <v>6984.72519</v>
      </c>
      <c r="C20" s="41" t="s">
        <v>158</v>
      </c>
      <c r="D20" s="40">
        <f>IF(2231.59437="","-",2231.59437/1219791.03674*100)</f>
        <v>0.18294890704920527</v>
      </c>
      <c r="E20" s="40">
        <f>IF(6984.72519="","-",6984.72519/1534061.00855*100)</f>
        <v>0.455309479288701</v>
      </c>
    </row>
    <row r="21" spans="1:5" ht="15.75">
      <c r="A21" s="36" t="s">
        <v>185</v>
      </c>
      <c r="B21" s="40">
        <f>IF(461.39293="","-",461.39293)</f>
        <v>461.39293</v>
      </c>
      <c r="C21" s="41">
        <v>136.01</v>
      </c>
      <c r="D21" s="40">
        <f>IF(339.23823="","-",339.23823/1219791.03674*100)</f>
        <v>0.027811175831119757</v>
      </c>
      <c r="E21" s="40">
        <f>IF(461.39293="","-",461.39293/1534061.00855*100)</f>
        <v>0.03007656979927482</v>
      </c>
    </row>
    <row r="22" spans="1:5" ht="15.75">
      <c r="A22" s="36" t="s">
        <v>187</v>
      </c>
      <c r="B22" s="40">
        <f>IF(19.29098="","-",19.29098)</f>
        <v>19.29098</v>
      </c>
      <c r="C22" s="41">
        <v>14.42</v>
      </c>
      <c r="D22" s="40">
        <f>IF(133.77033="","-",133.77033/1219791.03674*100)</f>
        <v>0.01096665953190746</v>
      </c>
      <c r="E22" s="40">
        <f>IF(19.29098="","-",19.29098/1534061.00855*100)</f>
        <v>0.0012575106134946946</v>
      </c>
    </row>
    <row r="23" spans="1:5" ht="15.75">
      <c r="A23" s="35" t="s">
        <v>261</v>
      </c>
      <c r="B23" s="37">
        <f>IF(245257.60167="","-",245257.60167)</f>
        <v>245257.60167</v>
      </c>
      <c r="C23" s="37">
        <f>IF(255229.24124="","-",245257.60167/255229.24124*100)</f>
        <v>96.0930653864134</v>
      </c>
      <c r="D23" s="37">
        <f>IF(255229.24124="","-",255229.24124/1219791.03674*100)</f>
        <v>20.924013503339296</v>
      </c>
      <c r="E23" s="37">
        <f>IF(245257.60167="","-",245257.60167/1534061.00855*100)</f>
        <v>15.98747379035586</v>
      </c>
    </row>
    <row r="24" spans="1:5" ht="15.75">
      <c r="A24" s="36" t="s">
        <v>222</v>
      </c>
      <c r="B24" s="82"/>
      <c r="C24" s="42"/>
      <c r="D24" s="82"/>
      <c r="E24" s="85"/>
    </row>
    <row r="25" spans="1:11" ht="15.75">
      <c r="A25" s="36" t="s">
        <v>181</v>
      </c>
      <c r="B25" s="40">
        <f>IF(3412.82899="","-",3412.82899)</f>
        <v>3412.82899</v>
      </c>
      <c r="C25" s="40" t="s">
        <v>317</v>
      </c>
      <c r="D25" s="40">
        <f>IF(973.58518="","-",973.58518/1219791.03674*100)</f>
        <v>0.07981573488209859</v>
      </c>
      <c r="E25" s="40">
        <f>IF(3412.82899="","-",3412.82899/1534061.00855*100)</f>
        <v>0.2224702258240576</v>
      </c>
      <c r="K25" s="34"/>
    </row>
    <row r="26" spans="1:5" ht="15.75">
      <c r="A26" s="36" t="s">
        <v>182</v>
      </c>
      <c r="B26" s="40">
        <f>IF(9409.06149="","-",9409.06149)</f>
        <v>9409.06149</v>
      </c>
      <c r="C26" s="40">
        <v>96.1</v>
      </c>
      <c r="D26" s="40">
        <f>IF(9791.30156="","-",9791.30156/1219791.03674*100)</f>
        <v>0.8027031897338845</v>
      </c>
      <c r="E26" s="40">
        <f>IF(9409.06149="","-",9409.06149/1534061.00855*100)</f>
        <v>0.6133433701501533</v>
      </c>
    </row>
    <row r="27" spans="1:5" ht="15.75">
      <c r="A27" s="36" t="s">
        <v>183</v>
      </c>
      <c r="B27" s="40">
        <f>IF(224507.1216="","-",224507.1216)</f>
        <v>224507.1216</v>
      </c>
      <c r="C27" s="40">
        <v>95.05</v>
      </c>
      <c r="D27" s="40">
        <f>IF(236203.32062="","-",236203.32062/1219791.03674*100)</f>
        <v>19.364244653844516</v>
      </c>
      <c r="E27" s="40">
        <f>IF(224507.1216="","-",224507.1216/1534061.00855*100)</f>
        <v>14.634823540180125</v>
      </c>
    </row>
    <row r="28" spans="1:5" ht="15.75">
      <c r="A28" s="36" t="s">
        <v>184</v>
      </c>
      <c r="B28" s="40">
        <f>IF(7908.66924="","-",7908.66924)</f>
        <v>7908.66924</v>
      </c>
      <c r="C28" s="40">
        <v>97.28</v>
      </c>
      <c r="D28" s="40">
        <f>IF(8129.95758="","-",8129.95758/1219791.03674*100)</f>
        <v>0.6665041253072358</v>
      </c>
      <c r="E28" s="40">
        <f>IF(7908.66924="","-",7908.66924/1534061.00855*100)</f>
        <v>0.5155381171883968</v>
      </c>
    </row>
    <row r="29" spans="1:5" ht="15.75">
      <c r="A29" s="36" t="s">
        <v>185</v>
      </c>
      <c r="B29" s="40">
        <f>IF(12.55973="","-",12.55973)</f>
        <v>12.55973</v>
      </c>
      <c r="C29" s="40">
        <v>13.65</v>
      </c>
      <c r="D29" s="40">
        <f>IF(92.03262="","-",92.03262/1219791.03674*100)</f>
        <v>0.007544949686297529</v>
      </c>
      <c r="E29" s="40">
        <f>IF(12.55973="","-",12.55973/1534061.00855*100)</f>
        <v>0.0008187242834541178</v>
      </c>
    </row>
    <row r="30" spans="1:5" ht="15.75">
      <c r="A30" s="36" t="s">
        <v>186</v>
      </c>
      <c r="B30" s="40">
        <f>IF(4.89313="","-",4.89313)</f>
        <v>4.89313</v>
      </c>
      <c r="C30" s="40">
        <v>121.34</v>
      </c>
      <c r="D30" s="40">
        <f>IF(4.03244="","-",4.03244/1219791.03674*100)</f>
        <v>0.00033058449181402866</v>
      </c>
      <c r="E30" s="40">
        <f>IF(4.89313="","-",4.89313/1534061.00855*100)</f>
        <v>0.0003189658020592678</v>
      </c>
    </row>
    <row r="31" spans="1:5" ht="15.75">
      <c r="A31" s="36" t="s">
        <v>187</v>
      </c>
      <c r="B31" s="40">
        <f>IF(2.46749="","-",2.46749)</f>
        <v>2.46749</v>
      </c>
      <c r="C31" s="40">
        <v>7.06</v>
      </c>
      <c r="D31" s="40">
        <f>IF(35.01124="","-",35.01124/1219791.03674*100)</f>
        <v>0.002870265393453837</v>
      </c>
      <c r="E31" s="40">
        <f>IF(2.46749="","-",2.46749/1534061.00855*100)</f>
        <v>0.00016084692761549822</v>
      </c>
    </row>
    <row r="32" spans="1:5" ht="15.75">
      <c r="A32" s="35" t="s">
        <v>264</v>
      </c>
      <c r="B32" s="37">
        <f>IF(235216.9506="","-",235216.9506)</f>
        <v>235216.9506</v>
      </c>
      <c r="C32" s="37">
        <f>IF(186340.07428="","-",235216.9506/186340.07428*100)</f>
        <v>126.22993283052801</v>
      </c>
      <c r="D32" s="37">
        <f>IF(186340.07428="","-",186340.07428/1219791.03674*100)</f>
        <v>15.276393141731099</v>
      </c>
      <c r="E32" s="37">
        <f>IF(235216.9506="","-",235216.9506/1534061.00855*100)</f>
        <v>15.33295933401814</v>
      </c>
    </row>
    <row r="33" spans="1:5" ht="15.75">
      <c r="A33" s="36" t="s">
        <v>222</v>
      </c>
      <c r="B33" s="82"/>
      <c r="C33" s="42"/>
      <c r="D33" s="82"/>
      <c r="E33" s="82"/>
    </row>
    <row r="34" spans="1:5" ht="15.75">
      <c r="A34" s="36" t="s">
        <v>181</v>
      </c>
      <c r="B34" s="40">
        <f>IF(41357.54167="","-",41357.54167)</f>
        <v>41357.54167</v>
      </c>
      <c r="C34" s="41">
        <v>95.55</v>
      </c>
      <c r="D34" s="40">
        <f>IF(43285.3968="","-",43285.3968/1219791.03674*100)</f>
        <v>3.5485911517831843</v>
      </c>
      <c r="E34" s="40">
        <f>IF(41357.54167="","-",41357.54167/1534061.00855*100)</f>
        <v>2.6959515586079132</v>
      </c>
    </row>
    <row r="35" spans="1:7" ht="15.75">
      <c r="A35" s="36" t="s">
        <v>182</v>
      </c>
      <c r="B35" s="40">
        <f>IF(17531.99857="","-",17531.99857)</f>
        <v>17531.99857</v>
      </c>
      <c r="C35" s="41" t="s">
        <v>318</v>
      </c>
      <c r="D35" s="40">
        <f>IF(5551.89184="","-",5551.89184/1219791.03674*100)</f>
        <v>0.4551510605322962</v>
      </c>
      <c r="E35" s="40">
        <f>IF(17531.99857="","-",17531.99857/1534061.00855*100)</f>
        <v>1.1428488484021446</v>
      </c>
      <c r="F35" s="1"/>
      <c r="G35" s="1"/>
    </row>
    <row r="36" spans="1:7" ht="15.75">
      <c r="A36" s="36" t="s">
        <v>183</v>
      </c>
      <c r="B36" s="40">
        <f>IF(156776.7382="","-",156776.7382)</f>
        <v>156776.7382</v>
      </c>
      <c r="C36" s="41">
        <v>138.14</v>
      </c>
      <c r="D36" s="40">
        <f>IF(113490.06567="","-",113490.06567/1219791.03674*100)</f>
        <v>9.304058010896055</v>
      </c>
      <c r="E36" s="40">
        <f>IF(156776.7382="","-",156776.7382/1534061.00855*100)</f>
        <v>10.219719902025666</v>
      </c>
      <c r="F36" s="16"/>
      <c r="G36" s="16"/>
    </row>
    <row r="37" spans="1:5" ht="15.75">
      <c r="A37" s="36" t="s">
        <v>184</v>
      </c>
      <c r="B37" s="40">
        <f>IF(19185.25262="","-",19185.25262)</f>
        <v>19185.25262</v>
      </c>
      <c r="C37" s="41">
        <v>80.9</v>
      </c>
      <c r="D37" s="40">
        <f>IF(23715.486="","-",23715.486/1219791.03674*100)</f>
        <v>1.944225304637567</v>
      </c>
      <c r="E37" s="40">
        <f>IF(19185.25262="","-",19185.25262/1534061.00855*100)</f>
        <v>1.2506186203203202</v>
      </c>
    </row>
    <row r="38" spans="1:5" ht="15.75">
      <c r="A38" s="47" t="s">
        <v>185</v>
      </c>
      <c r="B38" s="57">
        <f>IF(365.41954="","-",365.41954)</f>
        <v>365.41954</v>
      </c>
      <c r="C38" s="48">
        <v>142.6</v>
      </c>
      <c r="D38" s="57">
        <f>IF(256.26276="","-",256.26276/1219791.03674*100)</f>
        <v>0.021008742668324983</v>
      </c>
      <c r="E38" s="57">
        <f>IF(365.41954="","-",365.41954/1534061.00855*100)</f>
        <v>0.02382040466209332</v>
      </c>
    </row>
    <row r="39" ht="15.75">
      <c r="A39" s="49" t="s">
        <v>20</v>
      </c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40"/>
  <sheetViews>
    <sheetView zoomScalePageLayoutView="0" workbookViewId="0" topLeftCell="A1">
      <selection activeCell="G12" sqref="G12"/>
    </sheetView>
  </sheetViews>
  <sheetFormatPr defaultColWidth="9.00390625" defaultRowHeight="15.75"/>
  <cols>
    <col min="1" max="1" width="31.375" style="0" customWidth="1"/>
    <col min="2" max="2" width="14.00390625" style="0" customWidth="1"/>
    <col min="3" max="3" width="14.875" style="0" customWidth="1"/>
    <col min="4" max="5" width="11.875" style="0" customWidth="1"/>
    <col min="6" max="6" width="13.625" style="0" customWidth="1"/>
  </cols>
  <sheetData>
    <row r="1" spans="1:5" ht="15.75">
      <c r="A1" s="90" t="s">
        <v>267</v>
      </c>
      <c r="B1" s="90"/>
      <c r="C1" s="90"/>
      <c r="D1" s="90"/>
      <c r="E1" s="90"/>
    </row>
    <row r="2" spans="1:5" ht="15.75">
      <c r="A2" s="11"/>
      <c r="B2" s="11"/>
      <c r="C2" s="11"/>
      <c r="D2" s="11"/>
      <c r="E2" s="11"/>
    </row>
    <row r="3" spans="1:6" ht="19.5" customHeight="1">
      <c r="A3" s="91"/>
      <c r="B3" s="94" t="s">
        <v>269</v>
      </c>
      <c r="C3" s="95"/>
      <c r="D3" s="94" t="s">
        <v>169</v>
      </c>
      <c r="E3" s="110"/>
      <c r="F3" s="1"/>
    </row>
    <row r="4" spans="1:6" ht="21.75" customHeight="1">
      <c r="A4" s="92"/>
      <c r="B4" s="98" t="s">
        <v>202</v>
      </c>
      <c r="C4" s="100" t="s">
        <v>270</v>
      </c>
      <c r="D4" s="102" t="s">
        <v>271</v>
      </c>
      <c r="E4" s="94"/>
      <c r="F4" s="1"/>
    </row>
    <row r="5" spans="1:6" ht="20.25" customHeight="1">
      <c r="A5" s="93"/>
      <c r="B5" s="99"/>
      <c r="C5" s="101"/>
      <c r="D5" s="32">
        <v>2017</v>
      </c>
      <c r="E5" s="31">
        <v>2018</v>
      </c>
      <c r="F5" s="1"/>
    </row>
    <row r="6" spans="1:5" ht="16.5" customHeight="1">
      <c r="A6" s="64" t="s">
        <v>263</v>
      </c>
      <c r="B6" s="79">
        <f>IF(3223533.4262="","-",3223533.4262)</f>
        <v>3223533.4262</v>
      </c>
      <c r="C6" s="60">
        <f>IF(2578273.3802="","-",3223533.4262/2578273.3802*100)</f>
        <v>125.02682806855596</v>
      </c>
      <c r="D6" s="79">
        <v>100</v>
      </c>
      <c r="E6" s="79">
        <v>100</v>
      </c>
    </row>
    <row r="7" spans="1:5" ht="15.75" customHeight="1">
      <c r="A7" s="10" t="s">
        <v>222</v>
      </c>
      <c r="B7" s="80"/>
      <c r="C7" s="87"/>
      <c r="D7" s="82"/>
      <c r="E7" s="82"/>
    </row>
    <row r="8" spans="1:5" ht="15.75" customHeight="1">
      <c r="A8" s="36" t="s">
        <v>181</v>
      </c>
      <c r="B8" s="83">
        <f>IF(94309.21882="","-",94309.21882)</f>
        <v>94309.21882</v>
      </c>
      <c r="C8" s="66">
        <v>143.42</v>
      </c>
      <c r="D8" s="83">
        <f>IF(65756.65058="","-",65756.65058/2578273.3802*100)</f>
        <v>2.550414206847963</v>
      </c>
      <c r="E8" s="83">
        <f>IF(94309.21882="","-",94309.21882/3223533.4262*100)</f>
        <v>2.925647305329003</v>
      </c>
    </row>
    <row r="9" spans="1:5" ht="15.75" customHeight="1">
      <c r="A9" s="36" t="s">
        <v>182</v>
      </c>
      <c r="B9" s="83">
        <f>IF(173025.77594="","-",173025.77594)</f>
        <v>173025.77594</v>
      </c>
      <c r="C9" s="66">
        <v>122.01</v>
      </c>
      <c r="D9" s="83">
        <f>IF(141809.15204="","-",141809.15204/2578273.3802*100)</f>
        <v>5.5001596467244935</v>
      </c>
      <c r="E9" s="83">
        <f>IF(173025.77594="","-",173025.77594/3223533.4262*100)</f>
        <v>5.3675812552056605</v>
      </c>
    </row>
    <row r="10" spans="1:5" ht="15.75" customHeight="1">
      <c r="A10" s="36" t="s">
        <v>183</v>
      </c>
      <c r="B10" s="83">
        <f>IF(2689281.19792="","-",2689281.19792)</f>
        <v>2689281.19792</v>
      </c>
      <c r="C10" s="66">
        <v>125.26</v>
      </c>
      <c r="D10" s="83">
        <f>IF(2147028.25573="","-",2147028.25573/2578273.3802*100)</f>
        <v>83.27387903153436</v>
      </c>
      <c r="E10" s="83">
        <f>IF(2689281.19792="","-",2689281.19792/3223533.4262*100)</f>
        <v>83.42650260928758</v>
      </c>
    </row>
    <row r="11" spans="1:5" ht="15.75" customHeight="1">
      <c r="A11" s="36" t="s">
        <v>184</v>
      </c>
      <c r="B11" s="83">
        <f>IF(82170.9514="","-",82170.9514)</f>
        <v>82170.9514</v>
      </c>
      <c r="C11" s="66">
        <v>119.39</v>
      </c>
      <c r="D11" s="83">
        <f>IF(68827.51707="","-",68827.51707/2578273.3802*100)</f>
        <v>2.669519749091191</v>
      </c>
      <c r="E11" s="83">
        <f>IF(82170.9514="","-",82170.9514/3223533.4262*100)</f>
        <v>2.549095682772728</v>
      </c>
    </row>
    <row r="12" spans="1:5" ht="15.75" customHeight="1">
      <c r="A12" s="36" t="s">
        <v>185</v>
      </c>
      <c r="B12" s="83">
        <f>IF(8149.15005="","-",8149.15005)</f>
        <v>8149.15005</v>
      </c>
      <c r="C12" s="66">
        <v>112.03</v>
      </c>
      <c r="D12" s="83">
        <f>IF(7274.074="","-",7274.074/2578273.3802*100)</f>
        <v>0.28212966304743603</v>
      </c>
      <c r="E12" s="83">
        <f>IF(8149.15005="","-",8149.15005/3223533.4262*100)</f>
        <v>0.2528017852635227</v>
      </c>
    </row>
    <row r="13" spans="1:5" ht="15.75" customHeight="1">
      <c r="A13" s="36" t="s">
        <v>186</v>
      </c>
      <c r="B13" s="83">
        <f>IF(155436.91724="","-",155436.91724)</f>
        <v>155436.91724</v>
      </c>
      <c r="C13" s="66">
        <v>117.06</v>
      </c>
      <c r="D13" s="83">
        <f>IF(132784.3368="","-",132784.3368/2578273.3802*100)</f>
        <v>5.1501263527648</v>
      </c>
      <c r="E13" s="83">
        <f>IF(155436.91724="","-",155436.91724/3223533.4262*100)</f>
        <v>4.821942157529721</v>
      </c>
    </row>
    <row r="14" spans="1:5" ht="15.75" customHeight="1">
      <c r="A14" s="36" t="s">
        <v>187</v>
      </c>
      <c r="B14" s="83">
        <f>IF(21160.21483="","-",21160.21483)</f>
        <v>21160.21483</v>
      </c>
      <c r="C14" s="66">
        <v>143.04</v>
      </c>
      <c r="D14" s="83">
        <f>IF(14793.39398="","-",14793.39398/2578273.3802*100)</f>
        <v>0.573771349989754</v>
      </c>
      <c r="E14" s="83">
        <f>IF(21160.21483="","-",21160.21483/3223533.4262*100)</f>
        <v>0.6564292046117949</v>
      </c>
    </row>
    <row r="15" spans="1:5" ht="15.75">
      <c r="A15" s="35" t="s">
        <v>266</v>
      </c>
      <c r="B15" s="84">
        <f>IF(1647133.18735="","-",1647133.18735)</f>
        <v>1647133.18735</v>
      </c>
      <c r="C15" s="37">
        <f>IF(1281857.55855="","-",1647133.18735/1281857.55855*100)</f>
        <v>128.4958048859336</v>
      </c>
      <c r="D15" s="84">
        <f>IF(1281857.55855="","-",1281857.55855/2578273.3802*100)</f>
        <v>49.71767417660592</v>
      </c>
      <c r="E15" s="84">
        <f>IF(1647133.18735="","-",1647133.18735/3223533.4262*100)</f>
        <v>51.09713378377128</v>
      </c>
    </row>
    <row r="16" spans="1:5" ht="15.75">
      <c r="A16" s="10" t="s">
        <v>222</v>
      </c>
      <c r="B16" s="80"/>
      <c r="C16" s="67"/>
      <c r="D16" s="80"/>
      <c r="E16" s="80"/>
    </row>
    <row r="17" spans="1:5" ht="15.75">
      <c r="A17" s="36" t="s">
        <v>181</v>
      </c>
      <c r="B17" s="83">
        <f>IF(50448.82736="","-",50448.82736)</f>
        <v>50448.82736</v>
      </c>
      <c r="C17" s="66">
        <v>147.81</v>
      </c>
      <c r="D17" s="83">
        <f>IF(34129.88434="","-",34129.88434/2578273.3802*100)</f>
        <v>1.323749630357371</v>
      </c>
      <c r="E17" s="83">
        <f>IF(50448.82736="","-",50448.82736/3223533.4262*100)</f>
        <v>1.5650164180078203</v>
      </c>
    </row>
    <row r="18" spans="1:5" ht="15.75">
      <c r="A18" s="36" t="s">
        <v>182</v>
      </c>
      <c r="B18" s="83">
        <f>IF(25438.86002="","-",25438.86002)</f>
        <v>25438.86002</v>
      </c>
      <c r="C18" s="66">
        <v>127.06</v>
      </c>
      <c r="D18" s="83">
        <f>IF(20021.27566="","-",20021.27566/2578273.3802*100)</f>
        <v>0.7765381209670994</v>
      </c>
      <c r="E18" s="83">
        <f>IF(25438.86002="","-",25438.86002/3223533.4262*100)</f>
        <v>0.7891607331644179</v>
      </c>
    </row>
    <row r="19" spans="1:5" ht="15.75">
      <c r="A19" s="36" t="s">
        <v>183</v>
      </c>
      <c r="B19" s="83">
        <f>IF(1526024.46637="","-",1526024.46637)</f>
        <v>1526024.46637</v>
      </c>
      <c r="C19" s="66">
        <v>128.06</v>
      </c>
      <c r="D19" s="83">
        <f>IF(1191610.7677="","-",1191610.7677/2578273.3802*100)</f>
        <v>46.21739404560603</v>
      </c>
      <c r="E19" s="83">
        <f>IF(1526024.46637="","-",1526024.46637/3223533.4262*100)</f>
        <v>47.34011609642045</v>
      </c>
    </row>
    <row r="20" spans="1:5" ht="15.75">
      <c r="A20" s="36" t="s">
        <v>184</v>
      </c>
      <c r="B20" s="83">
        <f>IF(22815.95684="","-",22815.95684)</f>
        <v>22815.95684</v>
      </c>
      <c r="C20" s="66">
        <v>116.3</v>
      </c>
      <c r="D20" s="83">
        <f>IF(19618.55786="","-",19618.55786/2578273.3802*100)</f>
        <v>0.7609184507221713</v>
      </c>
      <c r="E20" s="83">
        <f>IF(22815.95684="","-",22815.95684/3223533.4262*100)</f>
        <v>0.7077934000794943</v>
      </c>
    </row>
    <row r="21" spans="1:5" ht="15.75">
      <c r="A21" s="36" t="s">
        <v>185</v>
      </c>
      <c r="B21" s="83">
        <f>IF(3558.2413="","-",3558.2413)</f>
        <v>3558.2413</v>
      </c>
      <c r="C21" s="66">
        <v>121.24</v>
      </c>
      <c r="D21" s="83">
        <f>IF(2934.96825="","-",2934.96825/2578273.3802*100)</f>
        <v>0.11383464114159729</v>
      </c>
      <c r="E21" s="83">
        <f>IF(3558.2413="","-",3558.2413/3223533.4262*100)</f>
        <v>0.11038326052646408</v>
      </c>
    </row>
    <row r="22" spans="1:5" ht="15.75">
      <c r="A22" s="36" t="s">
        <v>187</v>
      </c>
      <c r="B22" s="83">
        <f>IF(18846.83546="","-",18846.83546)</f>
        <v>18846.83546</v>
      </c>
      <c r="C22" s="66">
        <v>139.17</v>
      </c>
      <c r="D22" s="83">
        <f>IF(13542.10474="","-",13542.10474/2578273.3802*100)</f>
        <v>0.5252392878116564</v>
      </c>
      <c r="E22" s="83">
        <f>IF(18846.83546="","-",18846.83546/3223533.4262*100)</f>
        <v>0.5846638755726267</v>
      </c>
    </row>
    <row r="23" spans="1:5" ht="15.75">
      <c r="A23" s="35" t="s">
        <v>261</v>
      </c>
      <c r="B23" s="84">
        <f>IF(759710.89918="","-",759710.89918)</f>
        <v>759710.89918</v>
      </c>
      <c r="C23" s="37">
        <f>IF(635226.27601="","-",759710.89918/635226.27601*100)</f>
        <v>119.5968945037847</v>
      </c>
      <c r="D23" s="84">
        <f>IF(635226.27601="","-",635226.27601/2578273.3802*100)</f>
        <v>24.63766181229101</v>
      </c>
      <c r="E23" s="84">
        <f>IF(759710.89918="","-",759710.89918/3223533.4262*100)</f>
        <v>23.567644529610803</v>
      </c>
    </row>
    <row r="24" spans="1:5" ht="15.75">
      <c r="A24" s="36" t="s">
        <v>222</v>
      </c>
      <c r="B24" s="80"/>
      <c r="C24" s="67"/>
      <c r="D24" s="82"/>
      <c r="E24" s="80"/>
    </row>
    <row r="25" spans="1:5" ht="15.75">
      <c r="A25" s="36" t="s">
        <v>181</v>
      </c>
      <c r="B25" s="83">
        <f>IF(28155.26057="","-",28155.26057)</f>
        <v>28155.26057</v>
      </c>
      <c r="C25" s="66">
        <v>102.82</v>
      </c>
      <c r="D25" s="83">
        <f>IF(27383.93119="","-",27383.93119/2578273.3802*100)</f>
        <v>1.0621034759268155</v>
      </c>
      <c r="E25" s="83">
        <f>IF(28155.26057="","-",28155.26057/3223533.4262*100)</f>
        <v>0.8734285284949033</v>
      </c>
    </row>
    <row r="26" spans="1:5" ht="15.75">
      <c r="A26" s="36" t="s">
        <v>182</v>
      </c>
      <c r="B26" s="83">
        <f>IF(147015.98072="","-",147015.98072)</f>
        <v>147015.98072</v>
      </c>
      <c r="C26" s="66">
        <v>121.33</v>
      </c>
      <c r="D26" s="83">
        <f>IF(121171.99264="","-",121171.99264/2578273.3802*100)</f>
        <v>4.699734076709915</v>
      </c>
      <c r="E26" s="83">
        <f>IF(147015.98072="","-",147015.98072/3223533.4262*100)</f>
        <v>4.560709050667637</v>
      </c>
    </row>
    <row r="27" spans="1:5" ht="15.75">
      <c r="A27" s="36" t="s">
        <v>183</v>
      </c>
      <c r="B27" s="83">
        <f>IF(418290.16929="","-",418290.16929)</f>
        <v>418290.16929</v>
      </c>
      <c r="C27" s="66">
        <v>121.39</v>
      </c>
      <c r="D27" s="83">
        <f>IF(344580.96123="","-",344580.96123/2578273.3802*100)</f>
        <v>13.364795365620633</v>
      </c>
      <c r="E27" s="83">
        <f>IF(418290.16929="","-",418290.16929/3223533.4262*100)</f>
        <v>12.97613872684712</v>
      </c>
    </row>
    <row r="28" spans="1:5" ht="15.75">
      <c r="A28" s="36" t="s">
        <v>184</v>
      </c>
      <c r="B28" s="83">
        <f>IF(9338.88906="","-",9338.88906)</f>
        <v>9338.88906</v>
      </c>
      <c r="C28" s="66">
        <v>115.99</v>
      </c>
      <c r="D28" s="83">
        <f>IF(8051.22287="","-",8051.22287/2578273.3802*100)</f>
        <v>0.3122718844258267</v>
      </c>
      <c r="E28" s="83">
        <f>IF(9338.88906="","-",9338.88906/3223533.4262*100)</f>
        <v>0.28970970128915235</v>
      </c>
    </row>
    <row r="29" spans="1:5" ht="15.75">
      <c r="A29" s="36" t="s">
        <v>185</v>
      </c>
      <c r="B29" s="83">
        <f>IF(311.1214="","-",311.1214)</f>
        <v>311.1214</v>
      </c>
      <c r="C29" s="66">
        <v>67.07</v>
      </c>
      <c r="D29" s="83">
        <f>IF(463.88373="","-",463.88373/2578273.3802*100)</f>
        <v>0.017992030386010344</v>
      </c>
      <c r="E29" s="83">
        <f>IF(311.1214="","-",311.1214/3223533.4262*100)</f>
        <v>0.009651564257757967</v>
      </c>
    </row>
    <row r="30" spans="1:5" ht="15.75">
      <c r="A30" s="36" t="s">
        <v>186</v>
      </c>
      <c r="B30" s="83">
        <f>IF(155436.91724="","-",155436.91724)</f>
        <v>155436.91724</v>
      </c>
      <c r="C30" s="66">
        <v>117.06</v>
      </c>
      <c r="D30" s="83">
        <f>IF(132784.3368="","-",132784.3368/2578273.3802*100)</f>
        <v>5.1501263527648</v>
      </c>
      <c r="E30" s="83">
        <f>IF(155436.91724="","-",155436.91724/3223533.4262*100)</f>
        <v>4.821942157529721</v>
      </c>
    </row>
    <row r="31" spans="1:5" ht="15.75">
      <c r="A31" s="36" t="s">
        <v>187</v>
      </c>
      <c r="B31" s="83">
        <f>IF(1162.5609="","-",1162.5609)</f>
        <v>1162.5609</v>
      </c>
      <c r="C31" s="66">
        <v>147.17</v>
      </c>
      <c r="D31" s="83">
        <f>IF(789.94755="","-",789.94755/2578273.3802*100)</f>
        <v>0.030638626457009877</v>
      </c>
      <c r="E31" s="83">
        <f>IF(1162.5609="","-",1162.5609/3223533.4262*100)</f>
        <v>0.03606480052451208</v>
      </c>
    </row>
    <row r="32" spans="1:5" ht="15.75">
      <c r="A32" s="35" t="s">
        <v>262</v>
      </c>
      <c r="B32" s="84">
        <f>IF(816689.33967="","-",816689.33967)</f>
        <v>816689.33967</v>
      </c>
      <c r="C32" s="37">
        <f>IF(661189.54564="","-",816689.33967/661189.54564*100)</f>
        <v>123.51818703961564</v>
      </c>
      <c r="D32" s="84">
        <f>IF(661189.54564="","-",661189.54564/2578273.3802*100)</f>
        <v>25.644664011103067</v>
      </c>
      <c r="E32" s="84">
        <f>IF(816689.33967="","-",816689.33967/3223533.4262*100)</f>
        <v>25.33522168661792</v>
      </c>
    </row>
    <row r="33" spans="1:5" ht="15.75">
      <c r="A33" s="36" t="s">
        <v>222</v>
      </c>
      <c r="B33" s="80"/>
      <c r="C33" s="67"/>
      <c r="D33" s="82"/>
      <c r="E33" s="80"/>
    </row>
    <row r="34" spans="1:5" ht="15.75">
      <c r="A34" s="36" t="s">
        <v>181</v>
      </c>
      <c r="B34" s="83">
        <f>IF(15705.13089="","-",15705.13089)</f>
        <v>15705.13089</v>
      </c>
      <c r="C34" s="66" t="s">
        <v>174</v>
      </c>
      <c r="D34" s="83">
        <f>IF(4242.83505="","-",4242.83505/2578273.3802*100)</f>
        <v>0.16456110056377643</v>
      </c>
      <c r="E34" s="83">
        <f>IF(15705.13089="","-",15705.13089/3223533.4262*100)</f>
        <v>0.48720235882627994</v>
      </c>
    </row>
    <row r="35" spans="1:7" ht="15.75">
      <c r="A35" s="36" t="s">
        <v>182</v>
      </c>
      <c r="B35" s="83">
        <f>IF(570.9352="","-",570.9352)</f>
        <v>570.9352</v>
      </c>
      <c r="C35" s="66">
        <v>92.7</v>
      </c>
      <c r="D35" s="83">
        <f>IF(615.88374="","-",615.88374/2578273.3802*100)</f>
        <v>0.023887449047479407</v>
      </c>
      <c r="E35" s="83">
        <f>IF(570.9352="","-",570.9352/3223533.4262*100)</f>
        <v>0.017711471373604952</v>
      </c>
      <c r="F35" s="1"/>
      <c r="G35" s="1"/>
    </row>
    <row r="36" spans="1:7" ht="15.75">
      <c r="A36" s="36" t="s">
        <v>183</v>
      </c>
      <c r="B36" s="83">
        <f>IF(744966.56226="","-",744966.56226)</f>
        <v>744966.56226</v>
      </c>
      <c r="C36" s="66">
        <v>121.96</v>
      </c>
      <c r="D36" s="83">
        <f>IF(610836.5268="","-",610836.5268/2578273.3802*100)</f>
        <v>23.691689620307706</v>
      </c>
      <c r="E36" s="83">
        <f>IF(744966.56226="","-",744966.56226/3223533.4262*100)</f>
        <v>23.110247786019997</v>
      </c>
      <c r="F36" s="1"/>
      <c r="G36" s="1"/>
    </row>
    <row r="37" spans="1:7" ht="15.75">
      <c r="A37" s="36" t="s">
        <v>184</v>
      </c>
      <c r="B37" s="83">
        <f>IF(50016.1055="","-",50016.1055)</f>
        <v>50016.1055</v>
      </c>
      <c r="C37" s="66">
        <v>121.52</v>
      </c>
      <c r="D37" s="83">
        <f>IF(41157.73634="","-",41157.73634/2578273.3802*100)</f>
        <v>1.5963294139431927</v>
      </c>
      <c r="E37" s="83">
        <f>IF(50016.1055="","-",50016.1055/3223533.4262*100)</f>
        <v>1.551592581404081</v>
      </c>
      <c r="F37" s="16"/>
      <c r="G37" s="16"/>
    </row>
    <row r="38" spans="1:5" ht="15.75">
      <c r="A38" s="36" t="s">
        <v>185</v>
      </c>
      <c r="B38" s="83">
        <f>IF(4279.78735="","-",4279.78735)</f>
        <v>4279.78735</v>
      </c>
      <c r="C38" s="66">
        <v>110.44</v>
      </c>
      <c r="D38" s="83">
        <f>IF(3875.22202="","-",3875.22202/2578273.3802*100)</f>
        <v>0.15030299151982845</v>
      </c>
      <c r="E38" s="83">
        <f>IF(4279.78735="","-",4279.78735/3223533.4262*100)</f>
        <v>0.13276696047930064</v>
      </c>
    </row>
    <row r="39" spans="1:5" ht="15.75">
      <c r="A39" s="88" t="s">
        <v>187</v>
      </c>
      <c r="B39" s="86">
        <f>IF(1150.81847="","-",1150.81847)</f>
        <v>1150.81847</v>
      </c>
      <c r="C39" s="89" t="s">
        <v>148</v>
      </c>
      <c r="D39" s="86">
        <f>IF(461.34169="","-",461.34169/2578273.3802*100)</f>
        <v>0.01789343572108762</v>
      </c>
      <c r="E39" s="86">
        <f>IF(1150.81847="","-",1150.81847/3223533.4262*100)</f>
        <v>0.03570052851465604</v>
      </c>
    </row>
    <row r="40" ht="15.75">
      <c r="A40" s="44" t="s">
        <v>20</v>
      </c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79"/>
  <sheetViews>
    <sheetView zoomScalePageLayoutView="0" workbookViewId="0" topLeftCell="A1">
      <selection activeCell="J19" sqref="J19"/>
    </sheetView>
  </sheetViews>
  <sheetFormatPr defaultColWidth="9.00390625" defaultRowHeight="15.75"/>
  <cols>
    <col min="1" max="1" width="27.375" style="0" customWidth="1"/>
    <col min="2" max="2" width="11.125" style="0" customWidth="1"/>
    <col min="3" max="3" width="11.25390625" style="0" customWidth="1"/>
    <col min="4" max="4" width="8.25390625" style="0" customWidth="1"/>
    <col min="5" max="5" width="8.375" style="0" customWidth="1"/>
    <col min="6" max="6" width="9.625" style="0" customWidth="1"/>
    <col min="7" max="7" width="9.875" style="0" customWidth="1"/>
    <col min="8" max="8" width="11.00390625" style="0" customWidth="1"/>
  </cols>
  <sheetData>
    <row r="1" spans="1:7" ht="15.75">
      <c r="A1" s="103" t="s">
        <v>210</v>
      </c>
      <c r="B1" s="103"/>
      <c r="C1" s="103"/>
      <c r="D1" s="103"/>
      <c r="E1" s="103"/>
      <c r="F1" s="103"/>
      <c r="G1" s="103"/>
    </row>
    <row r="2" spans="1:7" ht="15.75">
      <c r="A2" s="103" t="s">
        <v>23</v>
      </c>
      <c r="B2" s="103"/>
      <c r="C2" s="103"/>
      <c r="D2" s="103"/>
      <c r="E2" s="103"/>
      <c r="F2" s="103"/>
      <c r="G2" s="103"/>
    </row>
    <row r="3" ht="15.75">
      <c r="A3" s="6"/>
    </row>
    <row r="4" spans="1:7" ht="57" customHeight="1">
      <c r="A4" s="111"/>
      <c r="B4" s="114" t="s">
        <v>269</v>
      </c>
      <c r="C4" s="109"/>
      <c r="D4" s="114" t="s">
        <v>0</v>
      </c>
      <c r="E4" s="109"/>
      <c r="F4" s="106" t="s">
        <v>163</v>
      </c>
      <c r="G4" s="115"/>
    </row>
    <row r="5" spans="1:7" ht="26.25" customHeight="1">
      <c r="A5" s="112"/>
      <c r="B5" s="116" t="s">
        <v>176</v>
      </c>
      <c r="C5" s="104" t="s">
        <v>270</v>
      </c>
      <c r="D5" s="118" t="s">
        <v>271</v>
      </c>
      <c r="E5" s="118"/>
      <c r="F5" s="118" t="s">
        <v>271</v>
      </c>
      <c r="G5" s="114"/>
    </row>
    <row r="6" spans="1:13" ht="21.75" customHeight="1">
      <c r="A6" s="113"/>
      <c r="B6" s="117"/>
      <c r="C6" s="105"/>
      <c r="D6" s="33">
        <v>2017</v>
      </c>
      <c r="E6" s="33">
        <v>2018</v>
      </c>
      <c r="F6" s="33" t="s">
        <v>146</v>
      </c>
      <c r="G6" s="29" t="s">
        <v>175</v>
      </c>
      <c r="H6" s="1"/>
      <c r="I6" s="1"/>
      <c r="J6" s="1"/>
      <c r="K6" s="1"/>
      <c r="L6" s="1"/>
      <c r="M6" s="1"/>
    </row>
    <row r="7" spans="1:13" ht="16.5" customHeight="1">
      <c r="A7" s="59" t="s">
        <v>153</v>
      </c>
      <c r="B7" s="60">
        <f>IF(1534061.00855="","-",1534061.00855)</f>
        <v>1534061.00855</v>
      </c>
      <c r="C7" s="60">
        <f>IF(1219791.03674="","-",1534061.00855/1219791.03674*100)</f>
        <v>125.76424669014739</v>
      </c>
      <c r="D7" s="60">
        <v>100</v>
      </c>
      <c r="E7" s="60">
        <v>100</v>
      </c>
      <c r="F7" s="60">
        <f>IF(1071013.38714="","-",(1219791.03674-1071013.38714)/1071013.38714*100)</f>
        <v>13.891296914344926</v>
      </c>
      <c r="G7" s="60">
        <f>IF(1219791.03674="","-",(1534061.00855-1219791.03674)/1219791.03674*100)</f>
        <v>25.764246690147395</v>
      </c>
      <c r="H7" s="38"/>
      <c r="I7" s="38"/>
      <c r="J7" s="38"/>
      <c r="K7" s="38"/>
      <c r="L7" s="38"/>
      <c r="M7" s="38"/>
    </row>
    <row r="8" spans="1:13" ht="16.5" customHeight="1">
      <c r="A8" s="75" t="s">
        <v>312</v>
      </c>
      <c r="B8" s="76"/>
      <c r="C8" s="76"/>
      <c r="D8" s="76"/>
      <c r="E8" s="76"/>
      <c r="F8" s="76"/>
      <c r="G8" s="76"/>
      <c r="H8" s="38"/>
      <c r="I8" s="38"/>
      <c r="J8" s="38"/>
      <c r="K8" s="38"/>
      <c r="L8" s="38"/>
      <c r="M8" s="38"/>
    </row>
    <row r="9" spans="1:7" ht="13.5" customHeight="1">
      <c r="A9" s="74" t="s">
        <v>24</v>
      </c>
      <c r="B9" s="37">
        <f>IF(329645.84896="","-",329645.84896)</f>
        <v>329645.84896</v>
      </c>
      <c r="C9" s="37">
        <f>IF(241801.14632="","-",329645.84896/241801.14632*100)</f>
        <v>136.3293160420944</v>
      </c>
      <c r="D9" s="37">
        <f>IF(241801.14632="","-",241801.14632/1219791.03674*100)</f>
        <v>19.823161429865486</v>
      </c>
      <c r="E9" s="37">
        <f>IF(329645.84896="","-",329645.84896/1534061.00855*100)</f>
        <v>21.488444535304527</v>
      </c>
      <c r="F9" s="37">
        <f>IF(1071013.38714="","-",(241801.14632-228834.06979)/1071013.38714*100)</f>
        <v>1.2107296403294137</v>
      </c>
      <c r="G9" s="37">
        <f>IF(1219791.03674="","-",(329645.84896-241801.14632)/1219791.03674*100)</f>
        <v>7.201618965390397</v>
      </c>
    </row>
    <row r="10" spans="1:10" ht="15.75">
      <c r="A10" s="26" t="s">
        <v>25</v>
      </c>
      <c r="B10" s="40">
        <f>IF(8662.40913="","-",8662.40913)</f>
        <v>8662.40913</v>
      </c>
      <c r="C10" s="40" t="s">
        <v>148</v>
      </c>
      <c r="D10" s="40">
        <f>IF(3447.3914="","-",3447.3914/1219791.03674*100)</f>
        <v>0.2826214733642789</v>
      </c>
      <c r="E10" s="40">
        <f>IF(8662.40913="","-",8662.40913/1534061.00855*100)</f>
        <v>0.5646717491495167</v>
      </c>
      <c r="F10" s="40">
        <f>IF(OR(1071013.38714="",5267.33292="",3447.3914=""),"-",(3447.3914-5267.33292)/1071013.38714*100)</f>
        <v>-0.16992705617433165</v>
      </c>
      <c r="G10" s="40">
        <f>IF(OR(1219791.03674="",8662.40913="",3447.3914=""),"-",(8662.40913-3447.3914)/1219791.03674*100)</f>
        <v>0.42753369822568943</v>
      </c>
      <c r="J10" s="21"/>
    </row>
    <row r="11" spans="1:10" s="11" customFormat="1" ht="15.75">
      <c r="A11" s="26" t="s">
        <v>26</v>
      </c>
      <c r="B11" s="40">
        <f>IF(3853.22416="","-",3853.22416)</f>
        <v>3853.22416</v>
      </c>
      <c r="C11" s="40">
        <f>IF(OR(5216.95542="",3853.22416=""),"-",3853.22416/5216.95542*100)</f>
        <v>73.8596336328287</v>
      </c>
      <c r="D11" s="40">
        <f>IF(5216.95542="","-",5216.95542/1219791.03674*100)</f>
        <v>0.42769255248364324</v>
      </c>
      <c r="E11" s="40">
        <f>IF(3853.22416="","-",3853.22416/1534061.00855*100)</f>
        <v>0.2511780260709502</v>
      </c>
      <c r="F11" s="40">
        <f>IF(OR(1071013.38714="",3352.87751="",5216.95542=""),"-",(5216.95542-3352.87751)/1071013.38714*100)</f>
        <v>0.17404804948122776</v>
      </c>
      <c r="G11" s="40">
        <f>IF(OR(1219791.03674="",3853.22416="",5216.95542=""),"-",(3853.22416-5216.95542)/1219791.03674*100)</f>
        <v>-0.11180040014433072</v>
      </c>
      <c r="J11" s="21"/>
    </row>
    <row r="12" spans="1:10" s="11" customFormat="1" ht="15.75">
      <c r="A12" s="26" t="s">
        <v>313</v>
      </c>
      <c r="B12" s="40">
        <f>IF(12775.81329="","-",12775.81329)</f>
        <v>12775.81329</v>
      </c>
      <c r="C12" s="40">
        <f>IF(OR(14291.61057="",12775.81329=""),"-",12775.81329/14291.61057*100)</f>
        <v>89.39379664331281</v>
      </c>
      <c r="D12" s="40">
        <f>IF(14291.61057="","-",14291.61057/1219791.03674*100)</f>
        <v>1.1716441701519305</v>
      </c>
      <c r="E12" s="40">
        <f>IF(12775.81329="","-",12775.81329/1534061.00855*100)</f>
        <v>0.8328099872687428</v>
      </c>
      <c r="F12" s="40">
        <f>IF(OR(1071013.38714="",10332.05182="",14291.61057=""),"-",(14291.61057-10332.05182)/1071013.38714*100)</f>
        <v>0.3697020781946974</v>
      </c>
      <c r="G12" s="40">
        <f>IF(OR(1219791.03674="",12775.81329="",14291.61057=""),"-",(12775.81329-14291.61057)/1219791.03674*100)</f>
        <v>-0.12426696330308376</v>
      </c>
      <c r="J12" s="21"/>
    </row>
    <row r="13" spans="1:10" s="11" customFormat="1" ht="15.75">
      <c r="A13" s="26" t="s">
        <v>29</v>
      </c>
      <c r="B13" s="40">
        <f>IF(118171.97737="","-",118171.97737)</f>
        <v>118171.97737</v>
      </c>
      <c r="C13" s="40">
        <f>IF(OR(76766.88028="",118171.97737=""),"-",118171.97737/76766.88028*100)</f>
        <v>153.93614660251762</v>
      </c>
      <c r="D13" s="40">
        <f>IF(76766.88028="","-",76766.88028/1219791.03674*100)</f>
        <v>6.2934451859202305</v>
      </c>
      <c r="E13" s="40">
        <f>IF(118171.97737="","-",118171.97737/1534061.00855*100)</f>
        <v>7.703212369741186</v>
      </c>
      <c r="F13" s="40">
        <f>IF(OR(1071013.38714="",73173.70288="",76766.88028=""),"-",(76766.88028-73173.70288)/1071013.38714*100)</f>
        <v>0.3354932294165908</v>
      </c>
      <c r="G13" s="40">
        <f>IF(OR(1219791.03674="",118171.97737="",76766.88028=""),"-",(118171.97737-76766.88028)/1219791.03674*100)</f>
        <v>3.394441821827024</v>
      </c>
      <c r="J13" s="21"/>
    </row>
    <row r="14" spans="1:10" s="11" customFormat="1" ht="15.75">
      <c r="A14" s="26" t="s">
        <v>30</v>
      </c>
      <c r="B14" s="40">
        <f>IF(152030.2022="","-",152030.2022)</f>
        <v>152030.2022</v>
      </c>
      <c r="C14" s="40">
        <f>IF(OR(104751.18142="",152030.2022=""),"-",152030.2022/104751.18142*100)</f>
        <v>145.13459432064514</v>
      </c>
      <c r="D14" s="40">
        <f>IF(104751.18142="","-",104751.18142/1219791.03674*100)</f>
        <v>8.587633312994072</v>
      </c>
      <c r="E14" s="40">
        <f>IF(152030.2022="","-",152030.2022/1534061.00855*100)</f>
        <v>9.910310043255679</v>
      </c>
      <c r="F14" s="40">
        <f>IF(OR(1071013.38714="",93834.781="",104751.18142=""),"-",(104751.18142-93834.781)/1071013.38714*100)</f>
        <v>1.0192590075041732</v>
      </c>
      <c r="G14" s="40">
        <f>IF(OR(1219791.03674="",152030.2022="",104751.18142=""),"-",(152030.2022-104751.18142)/1219791.03674*100)</f>
        <v>3.875993457564453</v>
      </c>
      <c r="J14" s="21"/>
    </row>
    <row r="15" spans="1:10" s="11" customFormat="1" ht="15.75" customHeight="1">
      <c r="A15" s="26" t="s">
        <v>31</v>
      </c>
      <c r="B15" s="40">
        <f>IF(14997.71572="","-",14997.71572)</f>
        <v>14997.71572</v>
      </c>
      <c r="C15" s="40">
        <f>IF(OR(24145.2227="",14997.71572=""),"-",14997.71572/24145.2227*100)</f>
        <v>62.114629905650034</v>
      </c>
      <c r="D15" s="40">
        <f>IF(24145.2227="","-",24145.2227/1219791.03674*100)</f>
        <v>1.979455658612663</v>
      </c>
      <c r="E15" s="40">
        <f>IF(14997.71572="","-",14997.71572/1534061.00855*100)</f>
        <v>0.9776479316279537</v>
      </c>
      <c r="F15" s="40">
        <f>IF(OR(1071013.38714="",27950.12315="",24145.2227=""),"-",(24145.2227-27950.12315)/1071013.38714*100)</f>
        <v>-0.355261707807452</v>
      </c>
      <c r="G15" s="40">
        <f>IF(OR(1219791.03674="",14997.71572="",24145.2227=""),"-",(14997.71572-24145.2227)/1219791.03674*100)</f>
        <v>-0.7499241021189601</v>
      </c>
      <c r="J15" s="21"/>
    </row>
    <row r="16" spans="1:10" s="11" customFormat="1" ht="25.5">
      <c r="A16" s="26" t="s">
        <v>32</v>
      </c>
      <c r="B16" s="40">
        <f>IF(5938.41887="","-",5938.41887)</f>
        <v>5938.41887</v>
      </c>
      <c r="C16" s="40">
        <f>IF(OR(4984.07829="",5938.41887=""),"-",5938.41887/4984.07829*100)</f>
        <v>119.14778469501128</v>
      </c>
      <c r="D16" s="40">
        <f>IF(4984.07829="","-",4984.07829/1219791.03674*100)</f>
        <v>0.40860099311111464</v>
      </c>
      <c r="E16" s="40">
        <f>IF(5938.41887="","-",5938.41887/1534061.00855*100)</f>
        <v>0.38710447869430015</v>
      </c>
      <c r="F16" s="40">
        <f>IF(OR(1071013.38714="",4042.35665="",4984.07829=""),"-",(4984.07829-4042.35665)/1071013.38714*100)</f>
        <v>0.08792809233829875</v>
      </c>
      <c r="G16" s="40">
        <f>IF(OR(1219791.03674="",5938.41887="",4984.07829=""),"-",(5938.41887-4984.07829)/1219791.03674*100)</f>
        <v>0.07823803842259411</v>
      </c>
      <c r="J16" s="21"/>
    </row>
    <row r="17" spans="1:10" s="11" customFormat="1" ht="25.5">
      <c r="A17" s="26" t="s">
        <v>33</v>
      </c>
      <c r="B17" s="40">
        <f>IF(11804.52274="","-",11804.52274)</f>
        <v>11804.52274</v>
      </c>
      <c r="C17" s="40" t="s">
        <v>160</v>
      </c>
      <c r="D17" s="40">
        <f>IF(6589.83795="","-",6589.83795/1219791.03674*100)</f>
        <v>0.540243185227195</v>
      </c>
      <c r="E17" s="40">
        <f>IF(11804.52274="","-",11804.52274/1534061.00855*100)</f>
        <v>0.7694949988434735</v>
      </c>
      <c r="F17" s="40">
        <f>IF(OR(1071013.38714="",6735.29404="",6589.83795=""),"-",(6589.83795-6735.29404)/1071013.38714*100)</f>
        <v>-0.013581164507048878</v>
      </c>
      <c r="G17" s="40">
        <f>IF(OR(1219791.03674="",11804.52274="",6589.83795=""),"-",(11804.52274-6589.83795)/1219791.03674*100)</f>
        <v>0.4275064033866579</v>
      </c>
      <c r="J17" s="21"/>
    </row>
    <row r="18" spans="1:10" s="11" customFormat="1" ht="15.75">
      <c r="A18" s="26" t="s">
        <v>34</v>
      </c>
      <c r="B18" s="40">
        <f>IF(1401.03531="","-",1401.03531)</f>
        <v>1401.03531</v>
      </c>
      <c r="C18" s="40">
        <f>IF(OR(1595.8306="",1401.03531=""),"-",1401.03531/1595.8306*100)</f>
        <v>87.79348572461262</v>
      </c>
      <c r="D18" s="40">
        <f>IF(1595.8306="","-",1595.8306/1219791.03674*100)</f>
        <v>0.13082819531655188</v>
      </c>
      <c r="E18" s="40">
        <f>IF(1401.03531="","-",1401.03531/1534061.00855*100)</f>
        <v>0.09132852619233596</v>
      </c>
      <c r="F18" s="40">
        <f>IF(OR(1071013.38714="",4140.42672="",1595.8306=""),"-",(1595.8306-4140.42672)/1071013.38714*100)</f>
        <v>-0.237587704369878</v>
      </c>
      <c r="G18" s="40">
        <f>IF(OR(1219791.03674="",1401.03531="",1595.8306=""),"-",(1401.03531-1595.8306)/1219791.03674*100)</f>
        <v>-0.015969562337546584</v>
      </c>
      <c r="J18" s="21"/>
    </row>
    <row r="19" spans="1:10" s="11" customFormat="1" ht="15.75">
      <c r="A19" s="74" t="s">
        <v>35</v>
      </c>
      <c r="B19" s="37">
        <f>IF(125100.911="","-",125100.911)</f>
        <v>125100.911</v>
      </c>
      <c r="C19" s="37">
        <f>IF(102594.72922="","-",125100.911/102594.72922*100)</f>
        <v>121.93697663720975</v>
      </c>
      <c r="D19" s="37">
        <f>IF(102594.72922="","-",102594.72922/1219791.03674*100)</f>
        <v>8.41084465534306</v>
      </c>
      <c r="E19" s="37">
        <f>IF(125100.911="","-",125100.911/1534061.00855*100)</f>
        <v>8.154884994974603</v>
      </c>
      <c r="F19" s="37">
        <f>IF(1071013.38714="","-",(102594.72922-93406.01197)/1071013.38714*100)</f>
        <v>0.8579460686796124</v>
      </c>
      <c r="G19" s="37">
        <f>IF(1219791.03674="","-",(125100.911-102594.72922)/1219791.03674*100)</f>
        <v>1.8450850270346117</v>
      </c>
      <c r="J19" s="21"/>
    </row>
    <row r="20" spans="1:7" s="11" customFormat="1" ht="15.75">
      <c r="A20" s="26" t="s">
        <v>252</v>
      </c>
      <c r="B20" s="40">
        <f>IF(111961.56854="","-",111961.56854)</f>
        <v>111961.56854</v>
      </c>
      <c r="C20" s="40">
        <f>IF(OR(93002.59763="",111961.56854=""),"-",111961.56854/93002.59763*100)</f>
        <v>120.38542083031491</v>
      </c>
      <c r="D20" s="40">
        <f>IF(93002.59763="","-",93002.59763/1219791.03674*100)</f>
        <v>7.624469669703241</v>
      </c>
      <c r="E20" s="40">
        <f>IF(111961.56854="","-",111961.56854/1534061.00855*100)</f>
        <v>7.298377829564058</v>
      </c>
      <c r="F20" s="40">
        <f>IF(OR(1071013.38714="",86775.13537="",93002.59763=""),"-",(93002.59763-86775.13537)/1071013.38714*100)</f>
        <v>0.5814551278980384</v>
      </c>
      <c r="G20" s="40">
        <f>IF(OR(1219791.03674="",111961.56854="",93002.59763=""),"-",(111961.56854-93002.59763)/1219791.03674*100)</f>
        <v>1.5542802282487274</v>
      </c>
    </row>
    <row r="21" spans="1:7" s="11" customFormat="1" ht="15.75">
      <c r="A21" s="26" t="s">
        <v>36</v>
      </c>
      <c r="B21" s="40">
        <f>IF(13139.34246="","-",13139.34246)</f>
        <v>13139.34246</v>
      </c>
      <c r="C21" s="40">
        <f>IF(OR(9592.13159="",13139.34246=""),"-",13139.34246/9592.13159*100)</f>
        <v>136.98042334717385</v>
      </c>
      <c r="D21" s="40">
        <f>IF(9592.13159="","-",9592.13159/1219791.03674*100)</f>
        <v>0.7863749856398212</v>
      </c>
      <c r="E21" s="40">
        <f>IF(13139.34246="","-",13139.34246/1534061.00855*100)</f>
        <v>0.8565071654105435</v>
      </c>
      <c r="F21" s="40">
        <f>IF(OR(1071013.38714="",6630.8766="",9592.13159=""),"-",(9592.13159-6630.8766)/1071013.38714*100)</f>
        <v>0.2764909407815753</v>
      </c>
      <c r="G21" s="40">
        <f>IF(OR(1219791.03674="",13139.34246="",9592.13159=""),"-",(13139.34246-9592.13159)/1219791.03674*100)</f>
        <v>0.2908047987858835</v>
      </c>
    </row>
    <row r="22" spans="1:7" s="11" customFormat="1" ht="25.5">
      <c r="A22" s="74" t="s">
        <v>37</v>
      </c>
      <c r="B22" s="37">
        <f>IF(155841.92346="","-",155841.92346)</f>
        <v>155841.92346</v>
      </c>
      <c r="C22" s="37">
        <f>IF(146198.82045="","-",155841.92346/146198.82045*100)</f>
        <v>106.59588290816473</v>
      </c>
      <c r="D22" s="37">
        <f>IF(146198.82045="","-",146198.82045/1219791.03674*100)</f>
        <v>11.985562776451395</v>
      </c>
      <c r="E22" s="37">
        <f>IF(155841.92346="","-",155841.92346/1534061.00855*100)</f>
        <v>10.158782642373678</v>
      </c>
      <c r="F22" s="37">
        <f>IF(1071013.38714="","-",(146198.82045-112084.02267)/1071013.38714*100)</f>
        <v>3.185282106612977</v>
      </c>
      <c r="G22" s="37">
        <f>IF(1219791.03674="","-",(155841.92346-146198.82045)/1219791.03674*100)</f>
        <v>0.7905536866193117</v>
      </c>
    </row>
    <row r="23" spans="1:7" s="11" customFormat="1" ht="15.75">
      <c r="A23" s="26" t="s">
        <v>303</v>
      </c>
      <c r="B23" s="40">
        <f>IF(2018.90544="","-",2018.90544)</f>
        <v>2018.90544</v>
      </c>
      <c r="C23" s="40">
        <f>IF(OR(2425.46153="",2018.90544=""),"-",2018.90544/2425.46153*100)</f>
        <v>83.23799058565154</v>
      </c>
      <c r="D23" s="40">
        <f>IF(2425.46153="","-",2425.46153/1219791.03674*100)</f>
        <v>0.1988423801245713</v>
      </c>
      <c r="E23" s="40">
        <f>IF(2018.90544="","-",2018.90544/1534061.00855*100)</f>
        <v>0.1316052900600268</v>
      </c>
      <c r="F23" s="40">
        <f>IF(OR(1071013.38714="",2319.55375="",2425.46153=""),"-",(2425.46153-2319.55375)/1071013.38714*100)</f>
        <v>0.00988855800232458</v>
      </c>
      <c r="G23" s="40">
        <f>IF(OR(1219791.03674="",2018.90544="",2425.46153=""),"-",(2018.90544-2425.46153)/1219791.03674*100)</f>
        <v>-0.033329978476195184</v>
      </c>
    </row>
    <row r="24" spans="1:8" s="11" customFormat="1" ht="15.75">
      <c r="A24" s="26" t="s">
        <v>39</v>
      </c>
      <c r="B24" s="40">
        <f>IF(131826.61914="","-",131826.61914)</f>
        <v>131826.61914</v>
      </c>
      <c r="C24" s="40">
        <f>IF(OR(125268.09814="",131826.61914=""),"-",131826.61914/125268.09814*100)</f>
        <v>105.23558758964326</v>
      </c>
      <c r="D24" s="40">
        <f>IF(125268.09814="","-",125268.09814/1219791.03674*100)</f>
        <v>10.269635893930664</v>
      </c>
      <c r="E24" s="40">
        <f>IF(131826.61914="","-",131826.61914/1534061.00855*100)</f>
        <v>8.593310070803703</v>
      </c>
      <c r="F24" s="40">
        <f>IF(OR(1071013.38714="",95185.33636="",125268.09814=""),"-",(125268.09814-95185.33636)/1071013.38714*100)</f>
        <v>2.80881286277215</v>
      </c>
      <c r="G24" s="40">
        <f>IF(OR(1219791.03674="",131826.61914="",125268.09814=""),"-",(131826.61914-125268.09814)/1219791.03674*100)</f>
        <v>0.5376757823641847</v>
      </c>
      <c r="H24" s="8"/>
    </row>
    <row r="25" spans="1:8" s="11" customFormat="1" ht="15.75">
      <c r="A25" s="26" t="s">
        <v>41</v>
      </c>
      <c r="B25" s="40">
        <f>IF(468.87259="","-",468.87259)</f>
        <v>468.87259</v>
      </c>
      <c r="C25" s="40">
        <f>IF(OR(303.1241="",468.87259=""),"-",468.87259/303.1241*100)</f>
        <v>154.68007657589746</v>
      </c>
      <c r="D25" s="40">
        <f>IF(303.1241="","-",303.1241/1219791.03674*100)</f>
        <v>0.024850494131365825</v>
      </c>
      <c r="E25" s="40">
        <f>IF(468.87259="","-",468.87259/1534061.00855*100)</f>
        <v>0.03056414232463806</v>
      </c>
      <c r="F25" s="40">
        <f>IF(OR(1071013.38714="",1347.53285="",303.1241=""),"-",(303.1241-1347.53285)/1071013.38714*100)</f>
        <v>-0.09751593794629923</v>
      </c>
      <c r="G25" s="40">
        <f>IF(OR(1219791.03674="",468.87259="",303.1241=""),"-",(468.87259-303.1241)/1219791.03674*100)</f>
        <v>0.013588269220519736</v>
      </c>
      <c r="H25" s="9"/>
    </row>
    <row r="26" spans="1:8" s="11" customFormat="1" ht="15.75">
      <c r="A26" s="26" t="s">
        <v>253</v>
      </c>
      <c r="B26" s="40">
        <f>IF(1888.82295="","-",1888.82295)</f>
        <v>1888.82295</v>
      </c>
      <c r="C26" s="40">
        <f>IF(OR(1583.21746="",1888.82295=""),"-",1888.82295/1583.21746*100)</f>
        <v>119.30281200916014</v>
      </c>
      <c r="D26" s="40">
        <f>IF(1583.21746="","-",1583.21746/1219791.03674*100)</f>
        <v>0.12979415427016824</v>
      </c>
      <c r="E26" s="40">
        <f>IF(1888.82295="","-",1888.82295/1534061.00855*100)</f>
        <v>0.12312567358617127</v>
      </c>
      <c r="F26" s="40">
        <f>IF(OR(1071013.38714="",1449.38105="",1583.21746=""),"-",(1583.21746-1449.38105)/1071013.38714*100)</f>
        <v>0.012496240626589421</v>
      </c>
      <c r="G26" s="40">
        <f>IF(OR(1219791.03674="",1888.82295="",1583.21746=""),"-",(1888.82295-1583.21746)/1219791.03674*100)</f>
        <v>0.025053921597649853</v>
      </c>
      <c r="H26" s="9"/>
    </row>
    <row r="27" spans="1:8" s="11" customFormat="1" ht="38.25">
      <c r="A27" s="26" t="s">
        <v>304</v>
      </c>
      <c r="B27" s="40">
        <f>IF(244.99582="","-",244.99582)</f>
        <v>244.99582</v>
      </c>
      <c r="C27" s="40">
        <f>IF(OR(286.0684="",244.99582=""),"-",244.99582/286.0684*100)</f>
        <v>85.64239181957882</v>
      </c>
      <c r="D27" s="40">
        <f>IF(286.0684="","-",286.0684/1219791.03674*100)</f>
        <v>0.02345224644087755</v>
      </c>
      <c r="E27" s="40">
        <f>IF(244.99582="","-",244.99582/1534061.00855*100)</f>
        <v>0.015970409171117056</v>
      </c>
      <c r="F27" s="40">
        <f>IF(OR(1071013.38714="",710.70479="",286.0684=""),"-",(286.0684-710.70479)/1071013.38714*100)</f>
        <v>-0.039648093581158256</v>
      </c>
      <c r="G27" s="40">
        <f>IF(OR(1219791.03674="",244.99582="",286.0684=""),"-",(244.99582-286.0684)/1219791.03674*100)</f>
        <v>-0.0033671816534879707</v>
      </c>
      <c r="H27" s="9"/>
    </row>
    <row r="28" spans="1:8" s="11" customFormat="1" ht="38.25">
      <c r="A28" s="26" t="s">
        <v>42</v>
      </c>
      <c r="B28" s="40">
        <f>IF(6846.782="","-",6846.782)</f>
        <v>6846.782</v>
      </c>
      <c r="C28" s="40">
        <f>IF(OR(6165.20068="",6846.782=""),"-",6846.782/6165.20068*100)</f>
        <v>111.05529820320463</v>
      </c>
      <c r="D28" s="40">
        <f>IF(6165.20068="","-",6165.20068/1219791.03674*100)</f>
        <v>0.5054308889231591</v>
      </c>
      <c r="E28" s="40">
        <f>IF(6846.782="","-",6846.782/1534061.00855*100)</f>
        <v>0.4463174516423961</v>
      </c>
      <c r="F28" s="40">
        <f>IF(OR(1071013.38714="",3797.97185="",6165.20068=""),"-",(6165.20068-3797.97185)/1071013.38714*100)</f>
        <v>0.2210270066111286</v>
      </c>
      <c r="G28" s="40">
        <f>IF(OR(1219791.03674="",6846.782="",6165.20068=""),"-",(6846.782-6165.20068)/1219791.03674*100)</f>
        <v>0.055876891981563245</v>
      </c>
      <c r="H28" s="9"/>
    </row>
    <row r="29" spans="1:8" s="11" customFormat="1" ht="16.5" customHeight="1">
      <c r="A29" s="26" t="s">
        <v>305</v>
      </c>
      <c r="B29" s="40">
        <f>IF(10395.85107="","-",10395.85107)</f>
        <v>10395.85107</v>
      </c>
      <c r="C29" s="40">
        <f>IF(OR(9058.72041="",10395.85107=""),"-",10395.85107/9058.72041*100)</f>
        <v>114.76070128540374</v>
      </c>
      <c r="D29" s="40">
        <f>IF(9058.72041="","-",9058.72041/1219791.03674*100)</f>
        <v>0.7426452676853764</v>
      </c>
      <c r="E29" s="40">
        <f>IF(10395.85107="","-",10395.85107/1534061.00855*100)</f>
        <v>0.6776686854081636</v>
      </c>
      <c r="F29" s="40">
        <f>IF(OR(1071013.38714="",6306.70516="",9058.72041=""),"-",(9058.72041-6306.70516)/1071013.38714*100)</f>
        <v>0.25695432783981287</v>
      </c>
      <c r="G29" s="40">
        <f>IF(OR(1219791.03674="",10395.85107="",9058.72041=""),"-",(10395.85107-9058.72041)/1219791.03674*100)</f>
        <v>0.10961964957322538</v>
      </c>
      <c r="H29" s="9"/>
    </row>
    <row r="30" spans="1:8" s="11" customFormat="1" ht="25.5">
      <c r="A30" s="26" t="s">
        <v>43</v>
      </c>
      <c r="B30" s="40">
        <f>IF(2150.13757="","-",2150.13757)</f>
        <v>2150.13757</v>
      </c>
      <c r="C30" s="40" t="s">
        <v>162</v>
      </c>
      <c r="D30" s="40">
        <f>IF(1108.53529="","-",1108.53529/1219791.03674*100)</f>
        <v>0.09087911425900122</v>
      </c>
      <c r="E30" s="40">
        <f>IF(2150.13757="","-",2150.13757/1534061.00855*100)</f>
        <v>0.14015984749083205</v>
      </c>
      <c r="F30" s="40">
        <f>IF(OR(1071013.38714="",966.37571="",1108.53529=""),"-",(1108.53529-966.37571)/1071013.38714*100)</f>
        <v>0.013273370968743762</v>
      </c>
      <c r="G30" s="40">
        <f>IF(OR(1219791.03674="",2150.13757="",1108.53529=""),"-",(2150.13757-1108.53529)/1219791.03674*100)</f>
        <v>0.08539186209990317</v>
      </c>
      <c r="H30" s="9"/>
    </row>
    <row r="31" spans="1:8" s="11" customFormat="1" ht="25.5">
      <c r="A31" s="74" t="s">
        <v>44</v>
      </c>
      <c r="B31" s="37">
        <f>IF(13444.0353="","-",13444.0353)</f>
        <v>13444.0353</v>
      </c>
      <c r="C31" s="37" t="s">
        <v>225</v>
      </c>
      <c r="D31" s="37">
        <f>IF(8157.26209="","-",8157.26209/1219791.03674*100)</f>
        <v>0.6687425833035311</v>
      </c>
      <c r="E31" s="37">
        <f>IF(13444.0353="","-",13444.0353/1534061.00855*100)</f>
        <v>0.8763690117322877</v>
      </c>
      <c r="F31" s="37">
        <f>IF(1071013.38714="","-",(8157.26209-3179.73316)/1071013.38714*100)</f>
        <v>0.46474945969553516</v>
      </c>
      <c r="G31" s="37">
        <f>IF(1219791.03674="","-",(13444.0353-8157.26209)/1219791.03674*100)</f>
        <v>0.43341630252746993</v>
      </c>
      <c r="H31" s="9"/>
    </row>
    <row r="32" spans="1:8" s="11" customFormat="1" ht="25.5">
      <c r="A32" s="26" t="s">
        <v>45</v>
      </c>
      <c r="B32" s="40">
        <f>IF(13411.50354="","-",13411.50354)</f>
        <v>13411.50354</v>
      </c>
      <c r="C32" s="40" t="s">
        <v>225</v>
      </c>
      <c r="D32" s="40">
        <f>IF(8153.22965="","-",8153.22965/1219791.03674*100)</f>
        <v>0.6684119988117171</v>
      </c>
      <c r="E32" s="40">
        <f>IF(13411.50354="","-",13411.50354/1534061.00855*100)</f>
        <v>0.8742483815996732</v>
      </c>
      <c r="F32" s="40">
        <f>IF(OR(1071013.38714="",3175.74887="",8153.22965=""),"-",(8153.22965-3175.74887)/1071013.38714*100)</f>
        <v>0.464744963953411</v>
      </c>
      <c r="G32" s="40">
        <f>IF(OR(1219791.03674="",13411.50354="",8153.22965=""),"-",(13411.50354-8153.22965)/1219791.03674*100)</f>
        <v>0.4310798925079172</v>
      </c>
      <c r="H32" s="9"/>
    </row>
    <row r="33" spans="1:7" s="11" customFormat="1" ht="25.5">
      <c r="A33" s="74" t="s">
        <v>48</v>
      </c>
      <c r="B33" s="37">
        <f>IF(48975.38002="","-",48975.38002)</f>
        <v>48975.38002</v>
      </c>
      <c r="C33" s="37" t="s">
        <v>19</v>
      </c>
      <c r="D33" s="37">
        <f>IF(25074.60696="","-",25074.60696/1219791.03674*100)</f>
        <v>2.0556477466020837</v>
      </c>
      <c r="E33" s="37">
        <f>IF(48975.38002="","-",48975.38002/1534061.00855*100)</f>
        <v>3.192531440864383</v>
      </c>
      <c r="F33" s="37">
        <f>IF(1071013.38714="","-",(25074.60696-25305.37394)/1071013.38714*100)</f>
        <v>-0.021546600889484034</v>
      </c>
      <c r="G33" s="37">
        <f>IF(1219791.03674="","-",(48975.38002-25074.60696)/1219791.03674*100)</f>
        <v>1.959415370347116</v>
      </c>
    </row>
    <row r="34" spans="1:7" s="11" customFormat="1" ht="25.5">
      <c r="A34" s="26" t="s">
        <v>50</v>
      </c>
      <c r="B34" s="40">
        <f>IF(48817.92134="","-",48817.92134)</f>
        <v>48817.92134</v>
      </c>
      <c r="C34" s="40" t="s">
        <v>19</v>
      </c>
      <c r="D34" s="40">
        <f>IF(24980.98555="","-",24980.98555/1219791.03674*100)</f>
        <v>2.0479725459176934</v>
      </c>
      <c r="E34" s="40">
        <f>IF(48817.92134="","-",48817.92134/1534061.00855*100)</f>
        <v>3.182267267593411</v>
      </c>
      <c r="F34" s="40">
        <f>IF(OR(1071013.38714="",25270.1652="",24980.98555=""),"-",(24980.98555-25270.1652)/1071013.38714*100)</f>
        <v>-0.02700056352910904</v>
      </c>
      <c r="G34" s="40">
        <f>IF(OR(1219791.03674="",48817.92134="",24980.98555=""),"-",(48817.92134-24980.98555)/1219791.03674*100)</f>
        <v>1.9541819108382967</v>
      </c>
    </row>
    <row r="35" spans="1:7" s="11" customFormat="1" ht="63.75">
      <c r="A35" s="26" t="s">
        <v>255</v>
      </c>
      <c r="B35" s="40">
        <f>IF(157.4556="","-",157.4556)</f>
        <v>157.4556</v>
      </c>
      <c r="C35" s="40" t="s">
        <v>161</v>
      </c>
      <c r="D35" s="40">
        <f>IF(93.62141="","-",93.62141/1219791.03674*100)</f>
        <v>0.0076752006843903</v>
      </c>
      <c r="E35" s="40">
        <f>IF(157.4556="","-",157.4556/1534061.00855*100)</f>
        <v>0.010263972496688877</v>
      </c>
      <c r="F35" s="40">
        <f>IF(OR(1071013.38714="",9.57077="",93.62141=""),"-",(93.62141-9.57077)/1071013.38714*100)</f>
        <v>0.007847767451763245</v>
      </c>
      <c r="G35" s="40">
        <f>IF(OR(1219791.03674="",157.4556="",93.62141=""),"-",(157.4556-93.62141)/1219791.03674*100)</f>
        <v>0.005233207006554381</v>
      </c>
    </row>
    <row r="36" spans="1:7" s="11" customFormat="1" ht="25.5">
      <c r="A36" s="74" t="s">
        <v>51</v>
      </c>
      <c r="B36" s="37">
        <f>IF(76099.63677="","-",76099.63677)</f>
        <v>76099.63677</v>
      </c>
      <c r="C36" s="37">
        <f>IF(73722.48447="","-",76099.63677/73722.48447*100)</f>
        <v>103.22446037608424</v>
      </c>
      <c r="D36" s="37">
        <f>IF(73722.48447="","-",73722.48447/1219791.03674*100)</f>
        <v>6.043861796773807</v>
      </c>
      <c r="E36" s="37">
        <f>IF(76099.63677="","-",76099.63677/1534061.00855*100)</f>
        <v>4.9606656023367455</v>
      </c>
      <c r="F36" s="37">
        <f>IF(1071013.38714="","-",(73722.48447-56934.39766)/1071013.38714*100)</f>
        <v>1.5674955151429402</v>
      </c>
      <c r="G36" s="37">
        <f>IF(1219791.03674="","-",(76099.63677-73722.48447)/1219791.03674*100)</f>
        <v>0.1948819288222639</v>
      </c>
    </row>
    <row r="37" spans="1:7" s="11" customFormat="1" ht="15.75">
      <c r="A37" s="26" t="s">
        <v>52</v>
      </c>
      <c r="B37" s="40">
        <f>IF(15695.34155="","-",15695.34155)</f>
        <v>15695.34155</v>
      </c>
      <c r="C37" s="40">
        <f>IF(OR(14179.19776="",15695.34155=""),"-",15695.34155/14179.19776*100)</f>
        <v>110.69273322555027</v>
      </c>
      <c r="D37" s="40">
        <f>IF(14179.19776="","-",14179.19776/1219791.03674*100)</f>
        <v>1.1624284269127905</v>
      </c>
      <c r="E37" s="40">
        <f>IF(15695.34155="","-",15695.34155/1534061.00855*100)</f>
        <v>1.0231236869018197</v>
      </c>
      <c r="F37" s="40">
        <f>IF(OR(1071013.38714="",8826.57772="",14179.19776=""),"-",(14179.19776-8826.57772)/1071013.38714*100)</f>
        <v>0.4997715345364137</v>
      </c>
      <c r="G37" s="40">
        <f>IF(OR(1219791.03674="",15695.34155="",14179.19776=""),"-",(15695.34155-14179.19776)/1219791.03674*100)</f>
        <v>0.12429537062774534</v>
      </c>
    </row>
    <row r="38" spans="1:7" s="11" customFormat="1" ht="15.75">
      <c r="A38" s="26" t="s">
        <v>53</v>
      </c>
      <c r="B38" s="40">
        <f>IF(492.15784="","-",492.15784)</f>
        <v>492.15784</v>
      </c>
      <c r="C38" s="40">
        <f>IF(OR(664.4592="",492.15784=""),"-",492.15784/664.4592*100)</f>
        <v>74.06893305111886</v>
      </c>
      <c r="D38" s="40">
        <f>IF(664.4592="","-",664.4592/1219791.03674*100)</f>
        <v>0.05447319909611947</v>
      </c>
      <c r="E38" s="40">
        <f>IF(492.15784="","-",492.15784/1534061.00855*100)</f>
        <v>0.03208202524260684</v>
      </c>
      <c r="F38" s="40">
        <f>IF(OR(1071013.38714="",466.14954="",664.4592=""),"-",(664.4592-466.14954)/1071013.38714*100)</f>
        <v>0.01851607667851471</v>
      </c>
      <c r="G38" s="40">
        <f>IF(OR(1219791.03674="",492.15784="",664.4592=""),"-",(492.15784-664.4592)/1219791.03674*100)</f>
        <v>-0.014125481726812054</v>
      </c>
    </row>
    <row r="39" spans="1:7" s="11" customFormat="1" ht="15.75">
      <c r="A39" s="26" t="s">
        <v>54</v>
      </c>
      <c r="B39" s="40">
        <f>IF(2148.57197="","-",2148.57197)</f>
        <v>2148.57197</v>
      </c>
      <c r="C39" s="40" t="s">
        <v>315</v>
      </c>
      <c r="D39" s="40">
        <f>IF(560.52989="","-",560.52989/1219791.03674*100)</f>
        <v>0.04595294383356563</v>
      </c>
      <c r="E39" s="40">
        <f>IF(2148.57197="","-",2148.57197/1534061.00855*100)</f>
        <v>0.14005779157576256</v>
      </c>
      <c r="F39" s="40">
        <f>IF(OR(1071013.38714="",957.96139="",560.52989=""),"-",(560.52989-957.96139)/1071013.38714*100)</f>
        <v>-0.037107986209331</v>
      </c>
      <c r="G39" s="40">
        <f>IF(OR(1219791.03674="",2148.57197="",560.52989=""),"-",(2148.57197-560.52989)/1219791.03674*100)</f>
        <v>0.13018968267254888</v>
      </c>
    </row>
    <row r="40" spans="1:7" s="11" customFormat="1" ht="15.75">
      <c r="A40" s="26" t="s">
        <v>55</v>
      </c>
      <c r="B40" s="40">
        <f>IF(40526.95052="","-",40526.95052)</f>
        <v>40526.95052</v>
      </c>
      <c r="C40" s="40">
        <f>IF(OR(34853.17486="",40526.95052=""),"-",40526.95052/34853.17486*100)</f>
        <v>116.27907839900011</v>
      </c>
      <c r="D40" s="40">
        <f>IF(34853.17486="","-",34853.17486/1219791.03674*100)</f>
        <v>2.8573070149087347</v>
      </c>
      <c r="E40" s="40">
        <f>IF(40526.95052="","-",40526.95052/1534061.00855*100)</f>
        <v>2.6418082653900594</v>
      </c>
      <c r="F40" s="40">
        <f>IF(OR(1071013.38714="",19590.87442="",34853.17486=""),"-",(34853.17486-19590.87442)/1071013.38714*100)</f>
        <v>1.4250335825172045</v>
      </c>
      <c r="G40" s="40">
        <f>IF(OR(1219791.03674="",40526.95052="",34853.17486=""),"-",(40526.95052-34853.17486)/1219791.03674*100)</f>
        <v>0.4651432490571229</v>
      </c>
    </row>
    <row r="41" spans="1:7" s="11" customFormat="1" ht="38.25">
      <c r="A41" s="26" t="s">
        <v>256</v>
      </c>
      <c r="B41" s="40">
        <f>IF(12989.17495="","-",12989.17495)</f>
        <v>12989.17495</v>
      </c>
      <c r="C41" s="40">
        <f>IF(OR(16493.01132="",12989.17495=""),"-",12989.17495/16493.01132*100)</f>
        <v>78.75562987244709</v>
      </c>
      <c r="D41" s="40">
        <f>IF(16493.01132="","-",16493.01132/1219791.03674*100)</f>
        <v>1.3521177663412778</v>
      </c>
      <c r="E41" s="40">
        <f>IF(12989.17495="","-",12989.17495/1534061.00855*100)</f>
        <v>0.8467182776698964</v>
      </c>
      <c r="F41" s="40">
        <f>IF(OR(1071013.38714="",21229.87777="",16493.01132=""),"-",(16493.01132-21229.87777)/1071013.38714*100)</f>
        <v>-0.44227892077513375</v>
      </c>
      <c r="G41" s="40">
        <f>IF(OR(1219791.03674="",12989.17495="",16493.01132=""),"-",(12989.17495-16493.01132)/1219791.03674*100)</f>
        <v>-0.2872489028419421</v>
      </c>
    </row>
    <row r="42" spans="1:7" s="11" customFormat="1" ht="15.75">
      <c r="A42" s="26" t="s">
        <v>57</v>
      </c>
      <c r="B42" s="40">
        <f>IF(1440.27952="","-",1440.27952)</f>
        <v>1440.27952</v>
      </c>
      <c r="C42" s="40">
        <f>IF(OR(2227.27977="",1440.27952=""),"-",1440.27952/2227.27977*100)</f>
        <v>64.66540662738566</v>
      </c>
      <c r="D42" s="40">
        <f>IF(2227.27977="","-",2227.27977/1219791.03674*100)</f>
        <v>0.18259519072648733</v>
      </c>
      <c r="E42" s="40">
        <f>IF(1440.27952="","-",1440.27952/1534061.00855*100)</f>
        <v>0.0938867171496235</v>
      </c>
      <c r="F42" s="40">
        <f>IF(OR(1071013.38714="",2098.1812="",2227.27977=""),"-",(2227.27977-2098.1812)/1071013.38714*100)</f>
        <v>0.012053870805923426</v>
      </c>
      <c r="G42" s="40">
        <f>IF(OR(1219791.03674="",1440.27952="",2227.27977=""),"-",(1440.27952-2227.27977)/1219791.03674*100)</f>
        <v>-0.06451926816115391</v>
      </c>
    </row>
    <row r="43" spans="1:7" s="11" customFormat="1" ht="15.75">
      <c r="A43" s="26" t="s">
        <v>58</v>
      </c>
      <c r="B43" s="40">
        <f>IF(1150.77914="","-",1150.77914)</f>
        <v>1150.77914</v>
      </c>
      <c r="C43" s="40">
        <f>IF(OR(1927.06157="",1150.77914=""),"-",1150.77914/1927.06157*100)</f>
        <v>59.71678113014314</v>
      </c>
      <c r="D43" s="40">
        <f>IF(1927.06157="","-",1927.06157/1219791.03674*100)</f>
        <v>0.15798292592395527</v>
      </c>
      <c r="E43" s="40">
        <f>IF(1150.77914="","-",1150.77914/1534061.00855*100)</f>
        <v>0.0750152134488915</v>
      </c>
      <c r="F43" s="40">
        <f>IF(OR(1071013.38714="",1816.83288="",1927.06157=""),"-",(1927.06157-1816.83288)/1071013.38714*100)</f>
        <v>0.010291999271302418</v>
      </c>
      <c r="G43" s="40">
        <f>IF(OR(1219791.03674="",1150.77914="",1927.06157=""),"-",(1150.77914-1927.06157)/1219791.03674*100)</f>
        <v>-0.06364060782695075</v>
      </c>
    </row>
    <row r="44" spans="1:7" s="11" customFormat="1" ht="15.75">
      <c r="A44" s="26" t="s">
        <v>59</v>
      </c>
      <c r="B44" s="40">
        <f>IF(1656.38128="","-",1656.38128)</f>
        <v>1656.38128</v>
      </c>
      <c r="C44" s="40">
        <f>IF(OR(2792.5701="",1656.38128=""),"-",1656.38128/2792.5701*100)</f>
        <v>59.31386574682585</v>
      </c>
      <c r="D44" s="40">
        <f>IF(2792.5701="","-",2792.5701/1219791.03674*100)</f>
        <v>0.22893840140548924</v>
      </c>
      <c r="E44" s="40">
        <f>IF(1656.38128="","-",1656.38128/1534061.00855*100)</f>
        <v>0.10797362495808545</v>
      </c>
      <c r="F44" s="40">
        <f>IF(OR(1071013.38714="",1930.52512="",2792.5701=""),"-",(2792.5701-1930.52512)/1071013.38714*100)</f>
        <v>0.0804887212756488</v>
      </c>
      <c r="G44" s="40">
        <f>IF(OR(1219791.03674="",1656.38128="",2792.5701=""),"-",(1656.38128-2792.5701)/1219791.03674*100)</f>
        <v>-0.09314618535290811</v>
      </c>
    </row>
    <row r="45" spans="1:7" s="11" customFormat="1" ht="25.5">
      <c r="A45" s="74" t="s">
        <v>306</v>
      </c>
      <c r="B45" s="37">
        <f>IF(105684.77581="","-",105684.77581)</f>
        <v>105684.77581</v>
      </c>
      <c r="C45" s="37">
        <f>IF(96275.15405="","-",105684.77581/96275.15405*100)</f>
        <v>109.77367613986178</v>
      </c>
      <c r="D45" s="37">
        <f>IF(96275.15405="","-",96275.15405/1219791.03674*100)</f>
        <v>7.892757951993476</v>
      </c>
      <c r="E45" s="37">
        <f>IF(105684.77581="","-",105684.77581/1534061.00855*100)</f>
        <v>6.889215958229304</v>
      </c>
      <c r="F45" s="37">
        <f>IF(1071013.38714="","-",(96275.15405-102965.44894)/1071013.38714*100)</f>
        <v>-0.6246695858644266</v>
      </c>
      <c r="G45" s="37">
        <f>IF(1219791.03674="","-",(105684.77581-96275.15405)/1219791.03674*100)</f>
        <v>0.7714126007310285</v>
      </c>
    </row>
    <row r="46" spans="1:7" s="11" customFormat="1" ht="15.75">
      <c r="A46" s="26" t="s">
        <v>60</v>
      </c>
      <c r="B46" s="40">
        <f>IF(990.1444="","-",990.1444)</f>
        <v>990.1444</v>
      </c>
      <c r="C46" s="40">
        <f>IF(OR(1490.20252="",990.1444=""),"-",990.1444/1490.20252*100)</f>
        <v>66.44361331505465</v>
      </c>
      <c r="D46" s="40">
        <f>IF(1490.20252="","-",1490.20252/1219791.03674*100)</f>
        <v>0.12216867275748303</v>
      </c>
      <c r="E46" s="40">
        <f>IF(990.1444="","-",990.1444/1534061.00855*100)</f>
        <v>0.06454400408337659</v>
      </c>
      <c r="F46" s="40">
        <f>IF(OR(1071013.38714="",1036.00805="",1490.20252=""),"-",(1490.20252-1036.00805)/1071013.38714*100)</f>
        <v>0.04240791716085516</v>
      </c>
      <c r="G46" s="40">
        <f>IF(OR(1219791.03674="",990.1444="",1490.20252=""),"-",(990.1444-1490.20252)/1219791.03674*100)</f>
        <v>-0.04099539223836649</v>
      </c>
    </row>
    <row r="47" spans="1:7" s="11" customFormat="1" ht="15.75">
      <c r="A47" s="26" t="s">
        <v>61</v>
      </c>
      <c r="B47" s="40">
        <f>IF(934.82303="","-",934.82303)</f>
        <v>934.82303</v>
      </c>
      <c r="C47" s="40">
        <f>IF(OR(1209.62642="",934.82303=""),"-",934.82303/1209.62642*100)</f>
        <v>77.28196197963335</v>
      </c>
      <c r="D47" s="40">
        <f>IF(1209.62642="","-",1209.62642/1219791.03674*100)</f>
        <v>0.09916669196330825</v>
      </c>
      <c r="E47" s="40">
        <f>IF(934.82303="","-",934.82303/1534061.00855*100)</f>
        <v>0.06093780004770463</v>
      </c>
      <c r="F47" s="40">
        <f>IF(OR(1071013.38714="",7441.01333="",1209.62642=""),"-",(1209.62642-7441.01333)/1071013.38714*100)</f>
        <v>-0.5818215705631931</v>
      </c>
      <c r="G47" s="40">
        <f>IF(OR(1219791.03674="",934.82303="",1209.62642=""),"-",(934.82303-1209.62642)/1219791.03674*100)</f>
        <v>-0.022528726783764254</v>
      </c>
    </row>
    <row r="48" spans="1:7" s="11" customFormat="1" ht="15.75">
      <c r="A48" s="26" t="s">
        <v>62</v>
      </c>
      <c r="B48" s="40">
        <f>IF(9272.57682="","-",9272.57682)</f>
        <v>9272.57682</v>
      </c>
      <c r="C48" s="40" t="s">
        <v>160</v>
      </c>
      <c r="D48" s="40">
        <f>IF(5296.67357="","-",5296.67357/1219791.03674*100)</f>
        <v>0.43422794646498075</v>
      </c>
      <c r="E48" s="40">
        <f>IF(9272.57682="","-",9272.57682/1534061.00855*100)</f>
        <v>0.6044464182532397</v>
      </c>
      <c r="F48" s="40">
        <f>IF(OR(1071013.38714="",4874.35442="",5296.67357=""),"-",(5296.67357-4874.35442)/1071013.38714*100)</f>
        <v>0.0394317340073356</v>
      </c>
      <c r="G48" s="40">
        <f>IF(OR(1219791.03674="",9272.57682="",5296.67357=""),"-",(9272.57682-5296.67357)/1219791.03674*100)</f>
        <v>0.32594953809678384</v>
      </c>
    </row>
    <row r="49" spans="1:7" s="11" customFormat="1" ht="25.5">
      <c r="A49" s="26" t="s">
        <v>307</v>
      </c>
      <c r="B49" s="40">
        <f>IF(5749.82547="","-",5749.82547)</f>
        <v>5749.82547</v>
      </c>
      <c r="C49" s="40">
        <f>IF(OR(4204.66025="",5749.82547=""),"-",5749.82547/4204.66025*100)</f>
        <v>136.7488721591715</v>
      </c>
      <c r="D49" s="40">
        <f>IF(4204.66025="","-",4204.66025/1219791.03674*100)</f>
        <v>0.34470332404124965</v>
      </c>
      <c r="E49" s="40">
        <f>IF(5749.82547="","-",5749.82547/1534061.00855*100)</f>
        <v>0.37481074337680714</v>
      </c>
      <c r="F49" s="40">
        <f>IF(OR(1071013.38714="",3992.66505="",4204.66025=""),"-",(4204.66025-3992.66505)/1071013.38714*100)</f>
        <v>0.019793888904237233</v>
      </c>
      <c r="G49" s="40">
        <f>IF(OR(1219791.03674="",5749.82547="",4204.66025=""),"-",(5749.82547-4204.66025)/1219791.03674*100)</f>
        <v>0.12667458388033342</v>
      </c>
    </row>
    <row r="50" spans="1:7" s="11" customFormat="1" ht="25.5">
      <c r="A50" s="26" t="s">
        <v>308</v>
      </c>
      <c r="B50" s="40">
        <f>IF(43525.30777="","-",43525.30777)</f>
        <v>43525.30777</v>
      </c>
      <c r="C50" s="40">
        <f>IF(OR(49046.98041="",43525.30777=""),"-",43525.30777/49046.98041*100)</f>
        <v>88.74207424423992</v>
      </c>
      <c r="D50" s="40">
        <f>IF(49046.98041="","-",49046.98041/1219791.03674*100)</f>
        <v>4.020933006778146</v>
      </c>
      <c r="E50" s="40">
        <f>IF(43525.30777="","-",43525.30777/1534061.00855*100)</f>
        <v>2.8372605474889347</v>
      </c>
      <c r="F50" s="40">
        <f>IF(OR(1071013.38714="",45422.03582="",49046.98041=""),"-",(49046.98041-45422.03582)/1071013.38714*100)</f>
        <v>0.3384593165245054</v>
      </c>
      <c r="G50" s="40">
        <f>IF(OR(1219791.03674="",43525.30777="",49046.98041=""),"-",(43525.30777-49046.98041)/1219791.03674*100)</f>
        <v>-0.45267365259193565</v>
      </c>
    </row>
    <row r="51" spans="1:7" s="11" customFormat="1" ht="15.75">
      <c r="A51" s="26" t="s">
        <v>63</v>
      </c>
      <c r="B51" s="40">
        <f>IF(28622.33808="","-",28622.33808)</f>
        <v>28622.33808</v>
      </c>
      <c r="C51" s="40" t="s">
        <v>161</v>
      </c>
      <c r="D51" s="40">
        <f>IF(16428.21013="","-",16428.21013/1219791.03674*100)</f>
        <v>1.3468052834611617</v>
      </c>
      <c r="E51" s="40">
        <f>IF(28622.33808="","-",28622.33808/1534061.00855*100)</f>
        <v>1.8657887737498744</v>
      </c>
      <c r="F51" s="40">
        <f>IF(OR(1071013.38714="",19665.36338="",16428.21013=""),"-",(16428.21013-19665.36338)/1071013.38714*100)</f>
        <v>-0.3022514273742544</v>
      </c>
      <c r="G51" s="40">
        <f>IF(OR(1219791.03674="",28622.33808="",16428.21013=""),"-",(28622.33808-16428.21013)/1219791.03674*100)</f>
        <v>0.9996899126747064</v>
      </c>
    </row>
    <row r="52" spans="1:7" s="11" customFormat="1" ht="15.75">
      <c r="A52" s="26" t="s">
        <v>309</v>
      </c>
      <c r="B52" s="40">
        <f>IF(1509.18578="","-",1509.18578)</f>
        <v>1509.18578</v>
      </c>
      <c r="C52" s="40">
        <f>IF(OR(1477.42871="",1509.18578=""),"-",1509.18578/1477.42871*100)</f>
        <v>102.14948239363781</v>
      </c>
      <c r="D52" s="40">
        <f>IF(1477.42871="","-",1477.42871/1219791.03674*100)</f>
        <v>0.12112145978286244</v>
      </c>
      <c r="E52" s="40">
        <f>IF(1509.18578="","-",1509.18578/1534061.00855*100)</f>
        <v>0.09837847201569173</v>
      </c>
      <c r="F52" s="40">
        <f>IF(OR(1071013.38714="",2207.22214="",1477.42871=""),"-",(1477.42871-2207.22214)/1071013.38714*100)</f>
        <v>-0.06814045825783906</v>
      </c>
      <c r="G52" s="40">
        <f>IF(OR(1219791.03674="",1509.18578="",1477.42871=""),"-",(1509.18578-1477.42871)/1219791.03674*100)</f>
        <v>0.002603484452949721</v>
      </c>
    </row>
    <row r="53" spans="1:7" s="11" customFormat="1" ht="15.75">
      <c r="A53" s="26" t="s">
        <v>64</v>
      </c>
      <c r="B53" s="40">
        <f>IF(1248.97484="","-",1248.97484)</f>
        <v>1248.97484</v>
      </c>
      <c r="C53" s="40">
        <f>IF(OR(2034.52671="",1248.97484=""),"-",1248.97484/2034.52671*100)</f>
        <v>61.388962546478446</v>
      </c>
      <c r="D53" s="40">
        <f>IF(2034.52671="","-",2034.52671/1219791.03674*100)</f>
        <v>0.1667930529672897</v>
      </c>
      <c r="E53" s="40">
        <f>IF(1248.97484="","-",1248.97484/1534061.00855*100)</f>
        <v>0.08141624309847596</v>
      </c>
      <c r="F53" s="40">
        <f>IF(OR(1071013.38714="",1351.88863="",2034.52671=""),"-",(2034.52671-1351.88863)/1071013.38714*100)</f>
        <v>0.06373758612139249</v>
      </c>
      <c r="G53" s="40">
        <f>IF(OR(1219791.03674="",1248.97484="",2034.52671=""),"-",(1248.97484-2034.52671)/1219791.03674*100)</f>
        <v>-0.06440052815107228</v>
      </c>
    </row>
    <row r="54" spans="1:7" s="11" customFormat="1" ht="15.75">
      <c r="A54" s="26" t="s">
        <v>65</v>
      </c>
      <c r="B54" s="40">
        <f>IF(13831.59962="","-",13831.59962)</f>
        <v>13831.59962</v>
      </c>
      <c r="C54" s="40">
        <f>IF(OR(15086.84533="",13831.59962=""),"-",13831.59962/15086.84533*100)</f>
        <v>91.67986625073992</v>
      </c>
      <c r="D54" s="40">
        <f>IF(15086.84533="","-",15086.84533/1219791.03674*100)</f>
        <v>1.236838513776994</v>
      </c>
      <c r="E54" s="40">
        <f>IF(13831.59962="","-",13831.59962/1534061.00855*100)</f>
        <v>0.9016329561151991</v>
      </c>
      <c r="F54" s="40">
        <f>IF(OR(1071013.38714="",16974.89812="",15086.84533=""),"-",(15086.84533-16974.89812)/1071013.38714*100)</f>
        <v>-0.17628657238746545</v>
      </c>
      <c r="G54" s="40">
        <f>IF(OR(1219791.03674="",13831.59962="",15086.84533=""),"-",(13831.59962-15086.84533)/1219791.03674*100)</f>
        <v>-0.10290661860860653</v>
      </c>
    </row>
    <row r="55" spans="1:7" s="11" customFormat="1" ht="15.75" customHeight="1">
      <c r="A55" s="74" t="s">
        <v>310</v>
      </c>
      <c r="B55" s="37">
        <f>IF(314517.21536="","-",314517.21536)</f>
        <v>314517.21536</v>
      </c>
      <c r="C55" s="37">
        <f>IF(231205.94056="","-",314517.21536/231205.94056*100)</f>
        <v>136.03336255037962</v>
      </c>
      <c r="D55" s="37">
        <f>IF(231205.94056="","-",231205.94056/1219791.03674*100)</f>
        <v>18.9545531649354</v>
      </c>
      <c r="E55" s="37">
        <f>IF(314517.21536="","-",314517.21536/1534061.00855*100)</f>
        <v>20.502262531089478</v>
      </c>
      <c r="F55" s="37">
        <f>IF(1071013.38714="","-",(231205.94056-177679.79341)/1071013.38714*100)</f>
        <v>4.997710373437488</v>
      </c>
      <c r="G55" s="37">
        <f>IF(1219791.03674="","-",(314517.21536-231205.94056)/1219791.03674*100)</f>
        <v>6.829962861725626</v>
      </c>
    </row>
    <row r="56" spans="1:7" s="11" customFormat="1" ht="25.5">
      <c r="A56" s="26" t="s">
        <v>67</v>
      </c>
      <c r="B56" s="40">
        <f>IF(1887.45604="","-",1887.45604)</f>
        <v>1887.45604</v>
      </c>
      <c r="C56" s="40">
        <f>IF(OR(1681.6547="",1887.45604=""),"-",1887.45604/1681.6547*100)</f>
        <v>112.2380260347145</v>
      </c>
      <c r="D56" s="40">
        <f>IF(1681.6547="","-",1681.6547/1219791.03674*100)</f>
        <v>0.13786416274170796</v>
      </c>
      <c r="E56" s="40">
        <f>IF(1887.45604="","-",1887.45604/1534061.00855*100)</f>
        <v>0.12303656956798806</v>
      </c>
      <c r="F56" s="40">
        <f>IF(OR(1071013.38714="",1326.49628="",1681.6547=""),"-",(1681.6547-1326.49628)/1071013.38714*100)</f>
        <v>0.033160969252532285</v>
      </c>
      <c r="G56" s="40">
        <f>IF(OR(1219791.03674="",1887.45604="",1681.6547=""),"-",(1887.45604-1681.6547)/1219791.03674*100)</f>
        <v>0.016871852128871382</v>
      </c>
    </row>
    <row r="57" spans="1:7" s="11" customFormat="1" ht="25.5">
      <c r="A57" s="26" t="s">
        <v>68</v>
      </c>
      <c r="B57" s="40">
        <f>IF(8828.04582="","-",8828.04582)</f>
        <v>8828.04582</v>
      </c>
      <c r="C57" s="40" t="s">
        <v>162</v>
      </c>
      <c r="D57" s="40">
        <f>IF(4594.15142="","-",4594.15142/1219791.03674*100)</f>
        <v>0.3766342989597857</v>
      </c>
      <c r="E57" s="40">
        <f>IF(8828.04582="","-",8828.04582/1534061.00855*100)</f>
        <v>0.5754690179072018</v>
      </c>
      <c r="F57" s="40">
        <f>IF(OR(1071013.38714="",4634.51615="",4594.15142=""),"-",(4594.15142-4634.51615)/1071013.38714*100)</f>
        <v>-0.0037688352437674866</v>
      </c>
      <c r="G57" s="40">
        <f>IF(OR(1219791.03674="",8828.04582="",4594.15142=""),"-",(8828.04582-4594.15142)/1219791.03674*100)</f>
        <v>0.34709997634639606</v>
      </c>
    </row>
    <row r="58" spans="1:7" s="11" customFormat="1" ht="25.5">
      <c r="A58" s="26" t="s">
        <v>69</v>
      </c>
      <c r="B58" s="40">
        <f>IF(1374.71663="","-",1374.71663)</f>
        <v>1374.71663</v>
      </c>
      <c r="C58" s="40" t="s">
        <v>225</v>
      </c>
      <c r="D58" s="40">
        <f>IF(874.08851="","-",874.08851/1219791.03674*100)</f>
        <v>0.07165887300960003</v>
      </c>
      <c r="E58" s="40">
        <f>IF(1374.71663="","-",1374.71663/1534061.00855*100)</f>
        <v>0.08961290472400359</v>
      </c>
      <c r="F58" s="40">
        <f>IF(OR(1071013.38714="",1117.96504="",874.08851=""),"-",(874.08851-1117.96504)/1071013.38714*100)</f>
        <v>-0.022770633208539077</v>
      </c>
      <c r="G58" s="40">
        <f>IF(OR(1219791.03674="",1374.71663="",874.08851=""),"-",(1374.71663-874.08851)/1219791.03674*100)</f>
        <v>0.0410421215537026</v>
      </c>
    </row>
    <row r="59" spans="1:7" s="11" customFormat="1" ht="38.25">
      <c r="A59" s="26" t="s">
        <v>70</v>
      </c>
      <c r="B59" s="40">
        <f>IF(11818.66934="","-",11818.66934)</f>
        <v>11818.66934</v>
      </c>
      <c r="C59" s="40">
        <f>IF(OR(17878.71221="",11818.66934=""),"-",11818.66934/17878.71221*100)</f>
        <v>66.10470150858812</v>
      </c>
      <c r="D59" s="40">
        <f>IF(17878.71221="","-",17878.71221/1219791.03674*100)</f>
        <v>1.4657192643243593</v>
      </c>
      <c r="E59" s="40">
        <f>IF(11818.66934="","-",11818.66934/1534061.00855*100)</f>
        <v>0.7704171655579103</v>
      </c>
      <c r="F59" s="40">
        <f>IF(OR(1071013.38714="",17029.92175="",17878.71221=""),"-",(17878.71221-17029.92175)/1071013.38714*100)</f>
        <v>0.079251153178074</v>
      </c>
      <c r="G59" s="40">
        <f>IF(OR(1219791.03674="",11818.66934="",17878.71221=""),"-",(11818.66934-17878.71221)/1219791.03674*100)</f>
        <v>-0.49680991968886773</v>
      </c>
    </row>
    <row r="60" spans="1:7" s="11" customFormat="1" ht="25.5">
      <c r="A60" s="26" t="s">
        <v>71</v>
      </c>
      <c r="B60" s="40">
        <f>IF(804.38083="","-",804.38083)</f>
        <v>804.38083</v>
      </c>
      <c r="C60" s="40" t="s">
        <v>225</v>
      </c>
      <c r="D60" s="40">
        <f>IF(500.46248="","-",500.46248/1219791.03674*100)</f>
        <v>0.04102854217862844</v>
      </c>
      <c r="E60" s="40">
        <f>IF(804.38083="","-",804.38083/1534061.00855*100)</f>
        <v>0.05243473535386338</v>
      </c>
      <c r="F60" s="40">
        <f>IF(OR(1071013.38714="",1915.93894="",500.46248=""),"-",(500.46248-1915.93894)/1071013.38714*100)</f>
        <v>-0.1321623498824644</v>
      </c>
      <c r="G60" s="40">
        <f>IF(OR(1219791.03674="",804.38083="",500.46248=""),"-",(804.38083-500.46248)/1219791.03674*100)</f>
        <v>0.02491560774313023</v>
      </c>
    </row>
    <row r="61" spans="1:7" s="11" customFormat="1" ht="38.25">
      <c r="A61" s="26" t="s">
        <v>72</v>
      </c>
      <c r="B61" s="40">
        <f>IF(2790.02255="","-",2790.02255)</f>
        <v>2790.02255</v>
      </c>
      <c r="C61" s="40">
        <f>IF(OR(2642.44918="",2790.02255=""),"-",2790.02255/2642.44918*100)</f>
        <v>105.58471932466833</v>
      </c>
      <c r="D61" s="40">
        <f>IF(2642.44918="","-",2642.44918/1219791.03674*100)</f>
        <v>0.2166312999857894</v>
      </c>
      <c r="E61" s="40">
        <f>IF(2790.02255="","-",2790.02255/1534061.00855*100)</f>
        <v>0.18187168140314963</v>
      </c>
      <c r="F61" s="40">
        <f>IF(OR(1071013.38714="",1573.87233="",2642.44918=""),"-",(2642.44918-1573.87233)/1071013.38714*100)</f>
        <v>0.09977250171013209</v>
      </c>
      <c r="G61" s="40">
        <f>IF(OR(1219791.03674="",2790.02255="",2642.44918=""),"-",(2790.02255-2642.44918)/1219791.03674*100)</f>
        <v>0.012098250073586623</v>
      </c>
    </row>
    <row r="62" spans="1:7" s="11" customFormat="1" ht="51">
      <c r="A62" s="26" t="s">
        <v>73</v>
      </c>
      <c r="B62" s="40">
        <f>IF(275913.59124="","-",275913.59124)</f>
        <v>275913.59124</v>
      </c>
      <c r="C62" s="40" t="s">
        <v>225</v>
      </c>
      <c r="D62" s="40">
        <f>IF(173803.447="","-",173803.447/1219791.03674*100)</f>
        <v>14.24862470415467</v>
      </c>
      <c r="E62" s="40">
        <f>IF(275913.59124="","-",275913.59124/1534061.00855*100)</f>
        <v>17.985829096901078</v>
      </c>
      <c r="F62" s="40">
        <f>IF(OR(1071013.38714="",136382.8097="",173803.447=""),"-",(173803.447-136382.8097)/1071013.38714*100)</f>
        <v>3.4939467376712114</v>
      </c>
      <c r="G62" s="40">
        <f>IF(OR(1219791.03674="",275913.59124="",173803.447=""),"-",(275913.59124-173803.447)/1219791.03674*100)</f>
        <v>8.371117770540309</v>
      </c>
    </row>
    <row r="63" spans="1:7" s="11" customFormat="1" ht="25.5">
      <c r="A63" s="26" t="s">
        <v>74</v>
      </c>
      <c r="B63" s="40">
        <f>IF(10867.04358="","-",10867.04358)</f>
        <v>10867.04358</v>
      </c>
      <c r="C63" s="40">
        <f>IF(OR(16583.75748="",10867.04358=""),"-",10867.04358/16583.75748*100)</f>
        <v>65.52823504025336</v>
      </c>
      <c r="D63" s="40">
        <f>IF(16583.75748="","-",16583.75748/1219791.03674*100)</f>
        <v>1.3595572504222992</v>
      </c>
      <c r="E63" s="40">
        <f>IF(10867.04358="","-",10867.04358/1534061.00855*100)</f>
        <v>0.708384055095147</v>
      </c>
      <c r="F63" s="40">
        <f>IF(OR(1071013.38714="",13417.79659="",16583.75748=""),"-",(16583.75748-13417.79659)/1071013.38714*100)</f>
        <v>0.2956042312836333</v>
      </c>
      <c r="G63" s="40">
        <f>IF(OR(1219791.03674="",10867.04358="",16583.75748=""),"-",(10867.04358-16583.75748)/1219791.03674*100)</f>
        <v>-0.4686633798587689</v>
      </c>
    </row>
    <row r="64" spans="1:7" s="11" customFormat="1" ht="15.75">
      <c r="A64" s="26" t="s">
        <v>75</v>
      </c>
      <c r="B64" s="40">
        <f>IF(233.28933="","-",233.28933)</f>
        <v>233.28933</v>
      </c>
      <c r="C64" s="40">
        <f>IF(OR(12647.21758="",233.28933=""),"-",233.28933/12647.21758*100)</f>
        <v>1.8445901521368466</v>
      </c>
      <c r="D64" s="40">
        <f>IF(12647.21758="","-",12647.21758/1219791.03674*100)</f>
        <v>1.0368347691585613</v>
      </c>
      <c r="E64" s="40">
        <f>IF(233.28933="","-",233.28933/1534061.00855*100)</f>
        <v>0.015207304579138346</v>
      </c>
      <c r="F64" s="40">
        <f>IF(OR(1071013.38714="",280.47663="",12647.21758=""),"-",(12647.21758-280.47663)/1071013.38714*100)</f>
        <v>1.154676598676675</v>
      </c>
      <c r="G64" s="40">
        <f>IF(OR(1219791.03674="",233.28933="",12647.21758=""),"-",(233.28933-12647.21758)/1219791.03674*100)</f>
        <v>-1.0177094171127319</v>
      </c>
    </row>
    <row r="65" spans="1:7" s="11" customFormat="1" ht="15.75">
      <c r="A65" s="74" t="s">
        <v>76</v>
      </c>
      <c r="B65" s="37">
        <f>IF(364025.56127="","-",364025.56127)</f>
        <v>364025.56127</v>
      </c>
      <c r="C65" s="37">
        <f>IF(294442.95593="","-",364025.56127/294442.95593*100)</f>
        <v>123.63194769602244</v>
      </c>
      <c r="D65" s="37">
        <f>IF(294442.95593="","-",294442.95593/1219791.03674*100)</f>
        <v>24.13880304588276</v>
      </c>
      <c r="E65" s="37">
        <f>IF(364025.56127="","-",364025.56127/1534061.00855*100)</f>
        <v>23.729536129340666</v>
      </c>
      <c r="F65" s="37">
        <f>IF(1071013.38714="","-",(294442.95593-270385.85684)/1071013.38714*100)</f>
        <v>2.246199662755037</v>
      </c>
      <c r="G65" s="37">
        <f>IF(1219791.03674="","-",(364025.56127-294442.95593)/1219791.03674*100)</f>
        <v>5.704469310248886</v>
      </c>
    </row>
    <row r="66" spans="1:7" ht="38.25">
      <c r="A66" s="26" t="s">
        <v>258</v>
      </c>
      <c r="B66" s="40">
        <f>IF(4511.22395="","-",4511.22395)</f>
        <v>4511.22395</v>
      </c>
      <c r="C66" s="40">
        <f>IF(OR(5607.72495="",4511.22395=""),"-",4511.22395/5607.72495*100)</f>
        <v>80.44659804507708</v>
      </c>
      <c r="D66" s="40">
        <f>IF(5607.72495="","-",5607.72495/1219791.03674*100)</f>
        <v>0.4597283289592899</v>
      </c>
      <c r="E66" s="40">
        <f>IF(4511.22395="","-",4511.22395/1534061.00855*100)</f>
        <v>0.2940707002431426</v>
      </c>
      <c r="F66" s="40">
        <f>IF(OR(1071013.38714="",2257.08855="",5607.72495=""),"-",(5607.72495-2257.08855)/1071013.38714*100)</f>
        <v>0.3128472939957765</v>
      </c>
      <c r="G66" s="40">
        <f>IF(OR(1219791.03674="",4511.22395="",5607.72495=""),"-",(4511.22395-5607.72495)/1219791.03674*100)</f>
        <v>-0.08989252806206027</v>
      </c>
    </row>
    <row r="67" spans="1:7" ht="15.75">
      <c r="A67" s="26" t="s">
        <v>311</v>
      </c>
      <c r="B67" s="40">
        <f>IF(92276.49838="","-",92276.49838)</f>
        <v>92276.49838</v>
      </c>
      <c r="C67" s="40">
        <f>IF(OR(71449.0462="",92276.49838=""),"-",92276.49838/71449.0462*100)</f>
        <v>129.1500772756292</v>
      </c>
      <c r="D67" s="40">
        <f>IF(71449.0462="","-",71449.0462/1219791.03674*100)</f>
        <v>5.857482474289525</v>
      </c>
      <c r="E67" s="40">
        <f>IF(92276.49838="","-",92276.49838/1534061.00855*100)</f>
        <v>6.015177875306281</v>
      </c>
      <c r="F67" s="40">
        <f>IF(OR(1071013.38714="",68081.88683="",71449.0462=""),"-",(71449.0462-68081.88683)/1071013.38714*100)</f>
        <v>0.31439003568307855</v>
      </c>
      <c r="G67" s="40">
        <f>IF(OR(1219791.03674="",92276.49838="",71449.0462=""),"-",(92276.49838-71449.0462)/1219791.03674*100)</f>
        <v>1.707460667661834</v>
      </c>
    </row>
    <row r="68" spans="1:7" ht="15.75">
      <c r="A68" s="26" t="s">
        <v>78</v>
      </c>
      <c r="B68" s="40">
        <f>IF(10518.90129="","-",10518.90129)</f>
        <v>10518.90129</v>
      </c>
      <c r="C68" s="40">
        <f>IF(OR(7128.98025="",10518.90129=""),"-",10518.90129/7128.98025*100)</f>
        <v>147.5512755137735</v>
      </c>
      <c r="D68" s="40">
        <f>IF(7128.98025="","-",7128.98025/1219791.03674*100)</f>
        <v>0.5844427475916559</v>
      </c>
      <c r="E68" s="40">
        <f>IF(10518.90129="","-",10518.90129/1534061.00855*100)</f>
        <v>0.6856898931250788</v>
      </c>
      <c r="F68" s="40">
        <f>IF(OR(1071013.38714="",8841.3635="",7128.98025=""),"-",(7128.98025-8841.3635)/1071013.38714*100)</f>
        <v>-0.15988439272198954</v>
      </c>
      <c r="G68" s="40">
        <f>IF(OR(1219791.03674="",10518.90129="",7128.98025=""),"-",(10518.90129-7128.98025)/1219791.03674*100)</f>
        <v>0.27790998112757626</v>
      </c>
    </row>
    <row r="69" spans="1:7" ht="15.75">
      <c r="A69" s="26" t="s">
        <v>79</v>
      </c>
      <c r="B69" s="40">
        <f>IF(185771.17547="","-",185771.17547)</f>
        <v>185771.17547</v>
      </c>
      <c r="C69" s="40">
        <f>IF(OR(152466.53797="",185771.17547=""),"-",185771.17547/152466.53797*100)</f>
        <v>121.84389961458504</v>
      </c>
      <c r="D69" s="40">
        <f>IF(152466.53797="","-",152466.53797/1219791.03674*100)</f>
        <v>12.499398124573894</v>
      </c>
      <c r="E69" s="40">
        <f>IF(185771.17547="","-",185771.17547/1534061.00855*100)</f>
        <v>12.109764503146558</v>
      </c>
      <c r="F69" s="40">
        <f>IF(OR(1071013.38714="",143240.9888="",152466.53797=""),"-",(152466.53797-143240.9888)/1071013.38714*100)</f>
        <v>0.8613850471687964</v>
      </c>
      <c r="G69" s="40">
        <f>IF(OR(1219791.03674="",185771.17547="",152466.53797=""),"-",(185771.17547-152466.53797)/1219791.03674*100)</f>
        <v>2.7303559787592464</v>
      </c>
    </row>
    <row r="70" spans="1:7" s="1" customFormat="1" ht="15.75">
      <c r="A70" s="26" t="s">
        <v>80</v>
      </c>
      <c r="B70" s="40">
        <f>IF(22471.22422="","-",22471.22422)</f>
        <v>22471.22422</v>
      </c>
      <c r="C70" s="40">
        <f>IF(OR(18839.21243="",22471.22422=""),"-",22471.22422/18839.21243*100)</f>
        <v>119.27900013599455</v>
      </c>
      <c r="D70" s="40">
        <f>IF(18839.21243="","-",18839.21243/1219791.03674*100)</f>
        <v>1.5444622777643515</v>
      </c>
      <c r="E70" s="40">
        <f>IF(22471.22422="","-",22471.22422/1534061.00855*100)</f>
        <v>1.464819462508853</v>
      </c>
      <c r="F70" s="40">
        <f>IF(OR(1071013.38714="",17858.17965="",18839.21243=""),"-",(18839.21243-17858.17965)/1071013.38714*100)</f>
        <v>0.09159855439526485</v>
      </c>
      <c r="G70" s="40">
        <f>IF(OR(1219791.03674="",22471.22422="",18839.21243=""),"-",(22471.22422-18839.21243)/1219791.03674*100)</f>
        <v>0.2977568846305737</v>
      </c>
    </row>
    <row r="71" spans="1:7" s="1" customFormat="1" ht="25.5">
      <c r="A71" s="26" t="s">
        <v>81</v>
      </c>
      <c r="B71" s="40">
        <f>IF(14882.95072="","-",14882.95072)</f>
        <v>14882.95072</v>
      </c>
      <c r="C71" s="40">
        <f>IF(OR(13983.73717="",14882.95072=""),"-",14882.95072/13983.73717*100)</f>
        <v>106.43042370625449</v>
      </c>
      <c r="D71" s="40">
        <f>IF(13983.73717="","-",13983.73717/1219791.03674*100)</f>
        <v>1.1464043224463087</v>
      </c>
      <c r="E71" s="40">
        <f>IF(14882.95072="","-",14882.95072/1534061.00855*100)</f>
        <v>0.9701668080376686</v>
      </c>
      <c r="F71" s="40">
        <f>IF(OR(1071013.38714="",13387.3335="",13983.73717=""),"-",(13983.73717-13387.3335)/1071013.38714*100)</f>
        <v>0.055685921124909284</v>
      </c>
      <c r="G71" s="40">
        <f>IF(OR(1219791.03674="",14882.95072="",13983.73717=""),"-",(14882.95072-13983.73717)/1219791.03674*100)</f>
        <v>0.07371865532011357</v>
      </c>
    </row>
    <row r="72" spans="1:7" ht="25.5">
      <c r="A72" s="26" t="s">
        <v>82</v>
      </c>
      <c r="B72" s="40">
        <f>IF(2023.27842="","-",2023.27842)</f>
        <v>2023.27842</v>
      </c>
      <c r="C72" s="40">
        <f>IF(OR(1347.72441="",2023.27842=""),"-",2023.27842/1347.72441*100)</f>
        <v>150.12553048586543</v>
      </c>
      <c r="D72" s="40">
        <f>IF(1347.72441="","-",1347.72441/1219791.03674*100)</f>
        <v>0.11048813849312367</v>
      </c>
      <c r="E72" s="40">
        <f>IF(2023.27842="","-",2023.27842/1534061.00855*100)</f>
        <v>0.13189034912714523</v>
      </c>
      <c r="F72" s="40">
        <f>IF(OR(1071013.38714="",1023.89101="",1347.72441=""),"-",(1347.72441-1023.89101)/1071013.38714*100)</f>
        <v>0.03023616734285221</v>
      </c>
      <c r="G72" s="40">
        <f>IF(OR(1219791.03674="",2023.27842="",1347.72441=""),"-",(2023.27842-1347.72441)/1219791.03674*100)</f>
        <v>0.05538276554363593</v>
      </c>
    </row>
    <row r="73" spans="1:7" ht="15.75">
      <c r="A73" s="26" t="s">
        <v>83</v>
      </c>
      <c r="B73" s="40">
        <f>IF(31570.30882="","-",31570.30882)</f>
        <v>31570.30882</v>
      </c>
      <c r="C73" s="40">
        <f>IF(OR(23619.99255="",31570.30882=""),"-",31570.30882/23619.99255*100)</f>
        <v>133.65926662834616</v>
      </c>
      <c r="D73" s="40">
        <f>IF(23619.99255="","-",23619.99255/1219791.03674*100)</f>
        <v>1.9363966317646122</v>
      </c>
      <c r="E73" s="40">
        <f>IF(31570.30882="","-",31570.30882/1534061.00855*100)</f>
        <v>2.057956537845934</v>
      </c>
      <c r="F73" s="40">
        <f>IF(OR(1071013.38714="",15695.125="",23619.99255=""),"-",(23619.99255-15695.125)/1071013.38714*100)</f>
        <v>0.7399410357663514</v>
      </c>
      <c r="G73" s="40">
        <f>IF(OR(1219791.03674="",31570.30882="",23619.99255=""),"-",(31570.30882-23619.99255)/1219791.03674*100)</f>
        <v>0.6517769052679652</v>
      </c>
    </row>
    <row r="74" spans="1:7" ht="25.5">
      <c r="A74" s="52" t="s">
        <v>224</v>
      </c>
      <c r="B74" s="53">
        <f>IF(725.7206="","-",725.7206)</f>
        <v>725.7206</v>
      </c>
      <c r="C74" s="53" t="s">
        <v>172</v>
      </c>
      <c r="D74" s="53">
        <f>IF(317.93669="","-",317.93669/1219791.03674*100)</f>
        <v>0.026064848849005656</v>
      </c>
      <c r="E74" s="53">
        <f>IF(725.7206="","-",725.7206/1534061.00855*100)</f>
        <v>0.0473071537543317</v>
      </c>
      <c r="F74" s="53">
        <f>IF(1071013.38714="","-",(317.93669-238.67876)/1071013.38714*100)</f>
        <v>0.007400274445835625</v>
      </c>
      <c r="G74" s="53">
        <f>IF(1219791.03674="","-",(725.7206-317.93669)/1219791.03674*100)</f>
        <v>0.03343063670067939</v>
      </c>
    </row>
    <row r="75" spans="1:7" ht="15.75">
      <c r="A75" s="51" t="s">
        <v>20</v>
      </c>
      <c r="B75" s="40"/>
      <c r="C75" s="40"/>
      <c r="D75" s="40"/>
      <c r="E75" s="40"/>
      <c r="F75" s="40"/>
      <c r="G75" s="40"/>
    </row>
    <row r="76" spans="2:7" ht="15.75">
      <c r="B76" s="40"/>
      <c r="C76" s="40"/>
      <c r="D76" s="40"/>
      <c r="E76" s="40"/>
      <c r="F76" s="40"/>
      <c r="G76" s="40"/>
    </row>
    <row r="77" spans="2:7" ht="15.75">
      <c r="B77" s="40"/>
      <c r="C77" s="40"/>
      <c r="D77" s="40"/>
      <c r="E77" s="40"/>
      <c r="F77" s="40"/>
      <c r="G77" s="40"/>
    </row>
    <row r="78" spans="2:7" ht="15.75">
      <c r="B78" s="40"/>
      <c r="C78" s="40"/>
      <c r="D78" s="40"/>
      <c r="E78" s="40"/>
      <c r="F78" s="40"/>
      <c r="G78" s="40"/>
    </row>
    <row r="79" spans="2:7" ht="15.75">
      <c r="B79" s="37"/>
      <c r="C79" s="37"/>
      <c r="D79" s="37"/>
      <c r="E79" s="37"/>
      <c r="F79" s="37"/>
      <c r="G79" s="37"/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N82"/>
  <sheetViews>
    <sheetView zoomScalePageLayoutView="0" workbookViewId="0" topLeftCell="A1">
      <selection activeCell="J17" sqref="J17"/>
    </sheetView>
  </sheetViews>
  <sheetFormatPr defaultColWidth="9.00390625" defaultRowHeight="15.75"/>
  <cols>
    <col min="1" max="1" width="27.375" style="0" customWidth="1"/>
    <col min="2" max="2" width="11.50390625" style="0" customWidth="1"/>
    <col min="3" max="3" width="11.25390625" style="0" customWidth="1"/>
    <col min="4" max="5" width="8.125" style="0" customWidth="1"/>
    <col min="6" max="6" width="10.125" style="0" customWidth="1"/>
    <col min="7" max="7" width="9.50390625" style="0" customWidth="1"/>
    <col min="8" max="8" width="13.00390625" style="0" customWidth="1"/>
  </cols>
  <sheetData>
    <row r="1" spans="1:7" ht="15.75">
      <c r="A1" s="103" t="s">
        <v>211</v>
      </c>
      <c r="B1" s="103"/>
      <c r="C1" s="103"/>
      <c r="D1" s="103"/>
      <c r="E1" s="103"/>
      <c r="F1" s="103"/>
      <c r="G1" s="103"/>
    </row>
    <row r="2" spans="1:7" ht="15.75">
      <c r="A2" s="103" t="s">
        <v>23</v>
      </c>
      <c r="B2" s="103"/>
      <c r="C2" s="103"/>
      <c r="D2" s="103"/>
      <c r="E2" s="103"/>
      <c r="F2" s="103"/>
      <c r="G2" s="103"/>
    </row>
    <row r="3" ht="15.75">
      <c r="A3" s="5"/>
    </row>
    <row r="4" spans="1:7" ht="57" customHeight="1">
      <c r="A4" s="111"/>
      <c r="B4" s="114" t="s">
        <v>269</v>
      </c>
      <c r="C4" s="109"/>
      <c r="D4" s="114" t="s">
        <v>0</v>
      </c>
      <c r="E4" s="109"/>
      <c r="F4" s="106" t="s">
        <v>189</v>
      </c>
      <c r="G4" s="115"/>
    </row>
    <row r="5" spans="1:7" ht="26.25" customHeight="1">
      <c r="A5" s="112"/>
      <c r="B5" s="116" t="s">
        <v>176</v>
      </c>
      <c r="C5" s="104" t="s">
        <v>270</v>
      </c>
      <c r="D5" s="118" t="s">
        <v>271</v>
      </c>
      <c r="E5" s="118"/>
      <c r="F5" s="118" t="s">
        <v>271</v>
      </c>
      <c r="G5" s="114"/>
    </row>
    <row r="6" spans="1:14" ht="21" customHeight="1">
      <c r="A6" s="113"/>
      <c r="B6" s="117"/>
      <c r="C6" s="105"/>
      <c r="D6" s="33">
        <v>2017</v>
      </c>
      <c r="E6" s="33">
        <v>2018</v>
      </c>
      <c r="F6" s="33" t="s">
        <v>146</v>
      </c>
      <c r="G6" s="29" t="s">
        <v>175</v>
      </c>
      <c r="H6" s="1"/>
      <c r="I6" s="1"/>
      <c r="J6" s="1"/>
      <c r="K6" s="1"/>
      <c r="L6" s="1"/>
      <c r="M6" s="1"/>
      <c r="N6" s="1"/>
    </row>
    <row r="7" spans="1:14" ht="15.75">
      <c r="A7" s="63" t="s">
        <v>154</v>
      </c>
      <c r="B7" s="60">
        <f>IF(3223533.4262="","-",3223533.4262)</f>
        <v>3223533.4262</v>
      </c>
      <c r="C7" s="60">
        <f>IF(2578273.3802="","-",3223533.4262/2578273.3802*100)</f>
        <v>125.02682806855596</v>
      </c>
      <c r="D7" s="60">
        <v>100</v>
      </c>
      <c r="E7" s="60">
        <v>100</v>
      </c>
      <c r="F7" s="60">
        <f>IF(2182440.05753="","-",(2578273.3802-2182440.05753)/2182440.05753*100)</f>
        <v>18.137191044687327</v>
      </c>
      <c r="G7" s="60">
        <f>IF(2578273.3802="","-",(3223533.4262-2578273.3802)/2578273.3802*100)</f>
        <v>25.026828068555957</v>
      </c>
      <c r="H7" s="39"/>
      <c r="I7" s="39"/>
      <c r="J7" s="39"/>
      <c r="K7" s="39"/>
      <c r="L7" s="39"/>
      <c r="M7" s="39"/>
      <c r="N7" s="1"/>
    </row>
    <row r="8" spans="1:14" ht="15.75">
      <c r="A8" s="7" t="s">
        <v>84</v>
      </c>
      <c r="B8" s="77"/>
      <c r="C8" s="77"/>
      <c r="D8" s="77"/>
      <c r="E8" s="77"/>
      <c r="F8" s="77"/>
      <c r="G8" s="77"/>
      <c r="H8" s="1"/>
      <c r="I8" s="1"/>
      <c r="J8" s="1"/>
      <c r="K8" s="1"/>
      <c r="L8" s="1"/>
      <c r="M8" s="1"/>
      <c r="N8" s="1"/>
    </row>
    <row r="9" spans="1:7" ht="15.75">
      <c r="A9" s="74" t="s">
        <v>24</v>
      </c>
      <c r="B9" s="37">
        <f>IF(321478.03599="","-",321478.03599)</f>
        <v>321478.03599</v>
      </c>
      <c r="C9" s="37">
        <f>IF(274744.87455="","-",321478.03599/274744.87455*100)</f>
        <v>117.00965723802616</v>
      </c>
      <c r="D9" s="37">
        <f>IF(274744.87455="","-",274744.87455/2578273.3802*100)</f>
        <v>10.656157592128096</v>
      </c>
      <c r="E9" s="37">
        <f>IF(321478.03599="","-",321478.03599/3223533.4262*100)</f>
        <v>9.972846360987427</v>
      </c>
      <c r="F9" s="37">
        <f>IF(2182440.05753="","-",(274744.87455-240403.10055)/2182440.05753*100)</f>
        <v>1.5735494719092846</v>
      </c>
      <c r="G9" s="37">
        <f>IF(2578273.3802="","-",(321478.03599-274744.87455)/2578273.3802*100)</f>
        <v>1.812575881164892</v>
      </c>
    </row>
    <row r="10" spans="1:7" ht="15.75">
      <c r="A10" s="26" t="s">
        <v>25</v>
      </c>
      <c r="B10" s="40">
        <f>IF(3102.1732="","-",3102.1732)</f>
        <v>3102.1732</v>
      </c>
      <c r="C10" s="40">
        <f>IF(OR(3540.03319="",3102.1732=""),"-",3102.1732/3540.03319*100)</f>
        <v>87.63118969514521</v>
      </c>
      <c r="D10" s="40">
        <f>IF(3540.03319="","-",3540.03319/2578273.3802*100)</f>
        <v>0.137302476036323</v>
      </c>
      <c r="E10" s="40">
        <f>IF(3102.1732="","-",3102.1732/3223533.4262*100)</f>
        <v>0.09623518015313205</v>
      </c>
      <c r="F10" s="40">
        <f>IF(OR(2182440.05753="",3709.48875="",3540.03319=""),"-",(3540.03319-3709.48875)/2182440.05753*100)</f>
        <v>-0.007764500079410338</v>
      </c>
      <c r="G10" s="40">
        <f>IF(OR(2578273.3802="",3102.1732="",3540.03319=""),"-",(3102.1732-3540.03319)/2578273.3802*100)</f>
        <v>-0.016982682804801506</v>
      </c>
    </row>
    <row r="11" spans="1:7" s="11" customFormat="1" ht="15.75">
      <c r="A11" s="26" t="s">
        <v>26</v>
      </c>
      <c r="B11" s="40">
        <f>IF(23852.13958="","-",23852.13958)</f>
        <v>23852.13958</v>
      </c>
      <c r="C11" s="40">
        <f>IF(OR(17626.45586="",23852.13958=""),"-",23852.13958/17626.45586*100)</f>
        <v>135.32011068729958</v>
      </c>
      <c r="D11" s="40">
        <f>IF(17626.45586="","-",17626.45586/2578273.3802*100)</f>
        <v>0.6836534866846701</v>
      </c>
      <c r="E11" s="40">
        <f>IF(23852.13958="","-",23852.13958/3223533.4262*100)</f>
        <v>0.7399377151214354</v>
      </c>
      <c r="F11" s="40">
        <f>IF(OR(2182440.05753="",12913.3247="",17626.45586=""),"-",(17626.45586-12913.3247)/2182440.05753*100)</f>
        <v>0.21595695807261422</v>
      </c>
      <c r="G11" s="40">
        <f>IF(OR(2578273.3802="",23852.13958="",17626.45586=""),"-",(23852.13958-17626.45586)/2578273.3802*100)</f>
        <v>0.24146716821460829</v>
      </c>
    </row>
    <row r="12" spans="1:7" s="11" customFormat="1" ht="15.75">
      <c r="A12" s="26" t="s">
        <v>27</v>
      </c>
      <c r="B12" s="40">
        <f>IF(32344.14428="","-",32344.14428)</f>
        <v>32344.14428</v>
      </c>
      <c r="C12" s="40">
        <f>IF(OR(29251.60174="",32344.14428=""),"-",32344.14428/29251.60174*100)</f>
        <v>110.57221607038056</v>
      </c>
      <c r="D12" s="40">
        <f>IF(29251.60174="","-",29251.60174/2578273.3802*100)</f>
        <v>1.1345422857265397</v>
      </c>
      <c r="E12" s="40">
        <f>IF(32344.14428="","-",32344.14428/3223533.4262*100)</f>
        <v>1.0033754890554452</v>
      </c>
      <c r="F12" s="40">
        <f>IF(OR(2182440.05753="",21222.79329="",29251.60174=""),"-",(29251.60174-21222.79329)/2182440.05753*100)</f>
        <v>0.36788219783166404</v>
      </c>
      <c r="G12" s="40">
        <f>IF(OR(2578273.3802="",32344.14428="",29251.60174=""),"-",(32344.14428-29251.60174)/2578273.3802*100)</f>
        <v>0.11994626185684426</v>
      </c>
    </row>
    <row r="13" spans="1:7" s="11" customFormat="1" ht="15.75">
      <c r="A13" s="26" t="s">
        <v>28</v>
      </c>
      <c r="B13" s="40">
        <f>IF(27284.16594="","-",27284.16594)</f>
        <v>27284.16594</v>
      </c>
      <c r="C13" s="40">
        <f>IF(OR(23148.47449="",27284.16594=""),"-",27284.16594/23148.47449*100)</f>
        <v>117.86593519061739</v>
      </c>
      <c r="D13" s="40">
        <f>IF(23148.47449="","-",23148.47449/2578273.3802*100)</f>
        <v>0.8978285494381647</v>
      </c>
      <c r="E13" s="40">
        <f>IF(27284.16594="","-",27284.16594/3223533.4262*100)</f>
        <v>0.846405553553183</v>
      </c>
      <c r="F13" s="40">
        <f>IF(OR(2182440.05753="",21849.46204="",23148.47449=""),"-",(23148.47449-21849.46204)/2182440.05753*100)</f>
        <v>0.059521105540473504</v>
      </c>
      <c r="G13" s="40">
        <f>IF(OR(2578273.3802="",27284.16594="",23148.47449=""),"-",(27284.16594-23148.47449)/2578273.3802*100)</f>
        <v>0.1604054667654827</v>
      </c>
    </row>
    <row r="14" spans="1:7" s="11" customFormat="1" ht="15.75">
      <c r="A14" s="26" t="s">
        <v>29</v>
      </c>
      <c r="B14" s="40">
        <f>IF(46862.20945="","-",46862.20945)</f>
        <v>46862.20945</v>
      </c>
      <c r="C14" s="40">
        <f>IF(OR(37747.4015="",46862.20945=""),"-",46862.20945/37747.4015*100)</f>
        <v>124.14684875725817</v>
      </c>
      <c r="D14" s="40">
        <f>IF(37747.4015="","-",37747.4015/2578273.3802*100)</f>
        <v>1.4640573722663919</v>
      </c>
      <c r="E14" s="40">
        <f>IF(46862.20945="","-",46862.20945/3223533.4262*100)</f>
        <v>1.4537528622820148</v>
      </c>
      <c r="F14" s="40">
        <f>IF(OR(2182440.05753="",34657.47682="",37747.4015=""),"-",(37747.4015-34657.47682)/2182440.05753*100)</f>
        <v>0.14158119345999595</v>
      </c>
      <c r="G14" s="40">
        <f>IF(OR(2578273.3802="",46862.20945="",37747.4015=""),"-",(46862.20945-37747.4015)/2578273.3802*100)</f>
        <v>0.35352371940065386</v>
      </c>
    </row>
    <row r="15" spans="1:7" s="11" customFormat="1" ht="15.75">
      <c r="A15" s="26" t="s">
        <v>30</v>
      </c>
      <c r="B15" s="40">
        <f>IF(91615.262="","-",91615.262)</f>
        <v>91615.262</v>
      </c>
      <c r="C15" s="40">
        <f>IF(OR(62796.15581="",91615.262=""),"-",91615.262/62796.15581*100)</f>
        <v>145.89310574551237</v>
      </c>
      <c r="D15" s="40">
        <f>IF(62796.15581="","-",62796.15581/2578273.3802*100)</f>
        <v>2.435589503124328</v>
      </c>
      <c r="E15" s="40">
        <f>IF(91615.262="","-",91615.262/3223533.4262*100)</f>
        <v>2.842075756229985</v>
      </c>
      <c r="F15" s="40">
        <f>IF(OR(2182440.05753="",58140.4248099999="",62796.15581=""),"-",(62796.15581-58140.4248099999)/2182440.05753*100)</f>
        <v>0.213326867051243</v>
      </c>
      <c r="G15" s="40">
        <f>IF(OR(2578273.3802="",91615.262="",62796.15581=""),"-",(91615.262-62796.15581)/2578273.3802*100)</f>
        <v>1.1177676661954472</v>
      </c>
    </row>
    <row r="16" spans="1:7" s="11" customFormat="1" ht="15" customHeight="1">
      <c r="A16" s="26" t="s">
        <v>31</v>
      </c>
      <c r="B16" s="40">
        <f>IF(8998.06074="","-",8998.06074)</f>
        <v>8998.06074</v>
      </c>
      <c r="C16" s="40">
        <f>IF(OR(21961.65033="",8998.06074=""),"-",8998.06074/21961.65033*100)</f>
        <v>40.97169659289444</v>
      </c>
      <c r="D16" s="40">
        <f>IF(21961.65033="","-",21961.65033/2578273.3802*100)</f>
        <v>0.851796807066922</v>
      </c>
      <c r="E16" s="40">
        <f>IF(8998.06074="","-",8998.06074/3223533.4262*100)</f>
        <v>0.2791365731425714</v>
      </c>
      <c r="F16" s="40">
        <f>IF(OR(2182440.05753="",13195.03674="",21961.65033=""),"-",(21961.65033-13195.03674)/2182440.05753*100)</f>
        <v>0.40168863102346597</v>
      </c>
      <c r="G16" s="40">
        <f>IF(OR(2578273.3802="",8998.06074="",21961.65033=""),"-",(8998.06074-21961.65033)/2578273.3802*100)</f>
        <v>-0.5028012036875003</v>
      </c>
    </row>
    <row r="17" spans="1:7" s="11" customFormat="1" ht="25.5">
      <c r="A17" s="26" t="s">
        <v>32</v>
      </c>
      <c r="B17" s="40">
        <f>IF(27622.21441="","-",27622.21441)</f>
        <v>27622.21441</v>
      </c>
      <c r="C17" s="40">
        <f>IF(OR(24243.6927="",27622.21441=""),"-",27622.21441/24243.6927*100)</f>
        <v>113.93567288534392</v>
      </c>
      <c r="D17" s="40">
        <f>IF(24243.6927="","-",24243.6927/2578273.3802*100)</f>
        <v>0.9403072958120284</v>
      </c>
      <c r="E17" s="40">
        <f>IF(27622.21441="","-",27622.21441/3223533.4262*100)</f>
        <v>0.8568924455845309</v>
      </c>
      <c r="F17" s="40">
        <f>IF(OR(2182440.05753="",22879.38293="",24243.6927=""),"-",(24243.6927-22879.38293)/2182440.05753*100)</f>
        <v>0.06251304659171589</v>
      </c>
      <c r="G17" s="40">
        <f>IF(OR(2578273.3802="",27622.21441="",24243.6927=""),"-",(27622.21441-24243.6927)/2578273.3802*100)</f>
        <v>0.1310381488613874</v>
      </c>
    </row>
    <row r="18" spans="1:7" s="11" customFormat="1" ht="25.5">
      <c r="A18" s="26" t="s">
        <v>33</v>
      </c>
      <c r="B18" s="40">
        <f>IF(21497.2428="","-",21497.2428)</f>
        <v>21497.2428</v>
      </c>
      <c r="C18" s="40">
        <f>IF(OR(17420.47066="",21497.2428=""),"-",21497.2428/17420.47066*100)</f>
        <v>123.40219285441512</v>
      </c>
      <c r="D18" s="40">
        <f>IF(17420.47066="","-",17420.47066/2578273.3802*100)</f>
        <v>0.6756642175256322</v>
      </c>
      <c r="E18" s="40">
        <f>IF(21497.2428="","-",21497.2428/3223533.4262*100)</f>
        <v>0.6668844388358525</v>
      </c>
      <c r="F18" s="40">
        <f>IF(OR(2182440.05753="",15430.54783="",17420.47066=""),"-",(17420.47066-15430.54783)/2182440.05753*100)</f>
        <v>0.09117880801052178</v>
      </c>
      <c r="G18" s="40">
        <f>IF(OR(2578273.3802="",21497.2428="",17420.47066=""),"-",(21497.2428-17420.47066)/2578273.3802*100)</f>
        <v>0.15812024323362328</v>
      </c>
    </row>
    <row r="19" spans="1:7" s="11" customFormat="1" ht="15.75">
      <c r="A19" s="26" t="s">
        <v>34</v>
      </c>
      <c r="B19" s="40">
        <f>IF(38300.42359="","-",38300.42359)</f>
        <v>38300.42359</v>
      </c>
      <c r="C19" s="40">
        <f>IF(OR(37008.93827="",38300.42359=""),"-",38300.42359/37008.93827*100)</f>
        <v>103.48965785124102</v>
      </c>
      <c r="D19" s="40">
        <f>IF(37008.93827="","-",37008.93827/2578273.3802*100)</f>
        <v>1.435415598447096</v>
      </c>
      <c r="E19" s="40">
        <f>IF(38300.42359="","-",38300.42359/3223533.4262*100)</f>
        <v>1.1881503470292756</v>
      </c>
      <c r="F19" s="40">
        <f>IF(OR(2182440.05753="",36405.16264="",37008.93827=""),"-",(37008.93827-36405.16264)/2182440.05753*100)</f>
        <v>0.027665164407004426</v>
      </c>
      <c r="G19" s="40">
        <f>IF(OR(2578273.3802="",38300.42359="",37008.93827=""),"-",(38300.42359-37008.93827)/2578273.3802*100)</f>
        <v>0.05009109312914744</v>
      </c>
    </row>
    <row r="20" spans="1:7" s="11" customFormat="1" ht="15.75">
      <c r="A20" s="74" t="s">
        <v>35</v>
      </c>
      <c r="B20" s="37">
        <f>IF(61658.2325="","-",61658.2325)</f>
        <v>61658.2325</v>
      </c>
      <c r="C20" s="37">
        <f>IF(60062.82995="","-",61658.2325/60062.82995*100)</f>
        <v>102.65622274429644</v>
      </c>
      <c r="D20" s="37">
        <f>IF(60062.82995="","-",60062.82995/2578273.3802*100)</f>
        <v>2.3295756924481315</v>
      </c>
      <c r="E20" s="37">
        <f>IF(61658.2325="","-",61658.2325/3223533.4262*100)</f>
        <v>1.912753005719088</v>
      </c>
      <c r="F20" s="37">
        <f>IF(2182440.05753="","-",(60062.82995-59320.91751)/2182440.05753*100)</f>
        <v>0.03399463080052093</v>
      </c>
      <c r="G20" s="37">
        <f>IF(2578273.3802="","-",(61658.2325-60062.82995)/2578273.3802*100)</f>
        <v>0.06187871938840875</v>
      </c>
    </row>
    <row r="21" spans="1:7" s="11" customFormat="1" ht="15.75">
      <c r="A21" s="26" t="s">
        <v>252</v>
      </c>
      <c r="B21" s="40">
        <f>IF(35031.34034="","-",35031.34034)</f>
        <v>35031.34034</v>
      </c>
      <c r="C21" s="40">
        <f>IF(OR(29201.2809="",35031.34034=""),"-",35031.34034/29201.2809*100)</f>
        <v>119.96508118929809</v>
      </c>
      <c r="D21" s="40">
        <f>IF(29201.2809="","-",29201.2809/2578273.3802*100)</f>
        <v>1.1325905594128587</v>
      </c>
      <c r="E21" s="40">
        <f>IF(35031.34034="","-",35031.34034/3223533.4262*100)</f>
        <v>1.086737306809814</v>
      </c>
      <c r="F21" s="40">
        <f>IF(OR(2182440.05753="",27617.04485="",29201.2809=""),"-",(29201.2809-27617.04485)/2182440.05753*100)</f>
        <v>0.07259012885755861</v>
      </c>
      <c r="G21" s="40">
        <f>IF(OR(2578273.3802="",35031.34034="",29201.2809=""),"-",(35031.34034-29201.2809)/2578273.3802*100)</f>
        <v>0.22612262472910283</v>
      </c>
    </row>
    <row r="22" spans="1:7" s="11" customFormat="1" ht="15.75">
      <c r="A22" s="26" t="s">
        <v>36</v>
      </c>
      <c r="B22" s="40">
        <f>IF(26626.89216="","-",26626.89216)</f>
        <v>26626.89216</v>
      </c>
      <c r="C22" s="40">
        <f>IF(OR(30861.54905="",26626.89216=""),"-",26626.89216/30861.54905*100)</f>
        <v>86.27853422671924</v>
      </c>
      <c r="D22" s="40">
        <f>IF(30861.54905="","-",30861.54905/2578273.3802*100)</f>
        <v>1.196985133035273</v>
      </c>
      <c r="E22" s="40">
        <f>IF(26626.89216="","-",26626.89216/3223533.4262*100)</f>
        <v>0.8260156989092741</v>
      </c>
      <c r="F22" s="40">
        <f>IF(OR(2182440.05753="",31703.87266="",30861.54905=""),"-",(30861.54905-31703.87266)/2182440.05753*100)</f>
        <v>-0.03859549805703751</v>
      </c>
      <c r="G22" s="40">
        <f>IF(OR(2578273.3802="",26626.89216="",30861.54905=""),"-",(26626.89216-30861.54905)/2578273.3802*100)</f>
        <v>-0.16424390534069408</v>
      </c>
    </row>
    <row r="23" spans="1:7" s="11" customFormat="1" ht="25.5">
      <c r="A23" s="74" t="s">
        <v>37</v>
      </c>
      <c r="B23" s="37">
        <f>IF(86053.32174="","-",86053.32174)</f>
        <v>86053.32174</v>
      </c>
      <c r="C23" s="37">
        <f>IF(68058.70283="","-",86053.32174/68058.70283*100)</f>
        <v>126.43984995562985</v>
      </c>
      <c r="D23" s="37">
        <f>IF(68058.70283="","-",68058.70283/2578273.3802*100)</f>
        <v>2.639700791725996</v>
      </c>
      <c r="E23" s="37">
        <f>IF(86053.32174="","-",86053.32174/3223533.4262*100)</f>
        <v>2.669534028733255</v>
      </c>
      <c r="F23" s="37">
        <f>IF(2182440.05753="","-",(68058.70283-60154.1114)/2182440.05753*100)</f>
        <v>0.3621905400208838</v>
      </c>
      <c r="G23" s="37">
        <f>IF(2578273.3802="","-",(86053.32174-68058.70283)/2578273.3802*100)</f>
        <v>0.6979329286099265</v>
      </c>
    </row>
    <row r="24" spans="1:7" s="11" customFormat="1" ht="15.75">
      <c r="A24" s="26" t="s">
        <v>38</v>
      </c>
      <c r="B24" s="40">
        <f>IF(39.57298="","-",39.57298)</f>
        <v>39.57298</v>
      </c>
      <c r="C24" s="40">
        <f>IF(OR(26.90087="",39.57298=""),"-",39.57298/26.90087*100)</f>
        <v>147.10669208839712</v>
      </c>
      <c r="D24" s="40">
        <f>IF(26.90087="","-",26.90087/2578273.3802*100)</f>
        <v>0.0010433676353557692</v>
      </c>
      <c r="E24" s="40">
        <f>IF(39.57298="","-",39.57298/3223533.4262*100)</f>
        <v>0.0012276274127751125</v>
      </c>
      <c r="F24" s="40">
        <f>IF(OR(2182440.05753="",40.49872="",26.90087=""),"-",(26.90087-40.49872)/2182440.05753*100)</f>
        <v>-0.0006230572039348248</v>
      </c>
      <c r="G24" s="40">
        <f>IF(OR(2578273.3802="",39.57298="",26.90087=""),"-",(39.57298-26.90087)/2578273.3802*100)</f>
        <v>0.0004914959793370325</v>
      </c>
    </row>
    <row r="25" spans="1:7" s="11" customFormat="1" ht="15.75">
      <c r="A25" s="26" t="s">
        <v>39</v>
      </c>
      <c r="B25" s="40">
        <f>IF(29890.84517="","-",29890.84517)</f>
        <v>29890.84517</v>
      </c>
      <c r="C25" s="40">
        <f>IF(OR(22164.15358="",29890.84517=""),"-",29890.84517/22164.15358*100)</f>
        <v>134.86120758959296</v>
      </c>
      <c r="D25" s="40">
        <f>IF(22164.15358="","-",22164.15358/2578273.3802*100)</f>
        <v>0.8596510265440003</v>
      </c>
      <c r="E25" s="40">
        <f>IF(29890.84517="","-",29890.84517/3223533.4262*100)</f>
        <v>0.9272695895459115</v>
      </c>
      <c r="F25" s="40">
        <f>IF(OR(2182440.05753="",20655.35594="",22164.15358=""),"-",(22164.15358-20655.35594)/2182440.05753*100)</f>
        <v>0.06913352029047684</v>
      </c>
      <c r="G25" s="40">
        <f>IF(OR(2578273.3802="",29890.84517="",22164.15358=""),"-",(29890.84517-22164.15358)/2578273.3802*100)</f>
        <v>0.299684728909571</v>
      </c>
    </row>
    <row r="26" spans="1:7" s="11" customFormat="1" ht="25.5">
      <c r="A26" s="26" t="s">
        <v>40</v>
      </c>
      <c r="B26" s="40">
        <f>IF(466.28742="","-",466.28742)</f>
        <v>466.28742</v>
      </c>
      <c r="C26" s="40">
        <f>IF(OR(353.87724="",466.28742=""),"-",466.28742/353.87724*100)</f>
        <v>131.76530369684133</v>
      </c>
      <c r="D26" s="40">
        <f>IF(353.87724="","-",353.87724/2578273.3802*100)</f>
        <v>0.01372535754810257</v>
      </c>
      <c r="E26" s="40">
        <f>IF(466.28742="","-",466.28742/3223533.4262*100)</f>
        <v>0.014465102679256964</v>
      </c>
      <c r="F26" s="40">
        <f>IF(OR(2182440.05753="",330.80181="",353.87724=""),"-",(353.87724-330.80181)/2182440.05753*100)</f>
        <v>0.001057322510205199</v>
      </c>
      <c r="G26" s="40">
        <f>IF(OR(2578273.3802="",466.28742="",353.87724=""),"-",(466.28742-353.87724)/2578273.3802*100)</f>
        <v>0.004359901508632115</v>
      </c>
    </row>
    <row r="27" spans="1:7" s="11" customFormat="1" ht="15.75">
      <c r="A27" s="26" t="s">
        <v>41</v>
      </c>
      <c r="B27" s="40">
        <f>IF(18390.76563="","-",18390.76563)</f>
        <v>18390.76563</v>
      </c>
      <c r="C27" s="40">
        <f>IF(OR(17193.94464="",18390.76563=""),"-",18390.76563/17193.94464*100)</f>
        <v>106.9607121289417</v>
      </c>
      <c r="D27" s="40">
        <f>IF(17193.94464="","-",17193.94464/2578273.3802*100)</f>
        <v>0.666878259382496</v>
      </c>
      <c r="E27" s="40">
        <f>IF(18390.76563="","-",18390.76563/3223533.4262*100)</f>
        <v>0.5705157415314784</v>
      </c>
      <c r="F27" s="40">
        <f>IF(OR(2182440.05753="",13713.54167="",17193.94464=""),"-",(17193.94464-13713.54167)/2182440.05753*100)</f>
        <v>0.1594730154439607</v>
      </c>
      <c r="G27" s="40">
        <f>IF(OR(2578273.3802="",18390.76563="",17193.94464=""),"-",(18390.76563-17193.94464)/2578273.3802*100)</f>
        <v>0.046419475886112636</v>
      </c>
    </row>
    <row r="28" spans="1:7" s="11" customFormat="1" ht="15.75">
      <c r="A28" s="26" t="s">
        <v>253</v>
      </c>
      <c r="B28" s="40">
        <f>IF(280.83201="","-",280.83201)</f>
        <v>280.83201</v>
      </c>
      <c r="C28" s="40">
        <f>IF(OR(306.76891="",280.83201=""),"-",280.83201/306.76891*100)</f>
        <v>91.54513408806649</v>
      </c>
      <c r="D28" s="40">
        <f>IF(306.76891="","-",306.76891/2578273.3802*100)</f>
        <v>0.011898230511777751</v>
      </c>
      <c r="E28" s="40">
        <f>IF(280.83201="","-",280.83201/3223533.4262*100)</f>
        <v>0.008711931066620066</v>
      </c>
      <c r="F28" s="40">
        <f>IF(OR(2182440.05753="",298.52914="",306.76891=""),"-",(306.76891-298.52914)/2182440.05753*100)</f>
        <v>0.0003775485137184235</v>
      </c>
      <c r="G28" s="40">
        <f>IF(OR(2578273.3802="",280.83201="",306.76891=""),"-",(280.83201-306.76891)/2578273.3802*100)</f>
        <v>-0.0010059794356635688</v>
      </c>
    </row>
    <row r="29" spans="1:7" s="11" customFormat="1" ht="38.25">
      <c r="A29" s="26" t="s">
        <v>304</v>
      </c>
      <c r="B29" s="40">
        <f>IF(4842.70166="","-",4842.70166)</f>
        <v>4842.70166</v>
      </c>
      <c r="C29" s="40">
        <f>IF(OR(4798.14429="",4842.70166=""),"-",4842.70166/4798.14429*100)</f>
        <v>100.92863755875085</v>
      </c>
      <c r="D29" s="40">
        <f>IF(4798.14429="","-",4798.14429/2578273.3802*100)</f>
        <v>0.18609912846510487</v>
      </c>
      <c r="E29" s="40">
        <f>IF(4842.70166="","-",4842.70166/3223533.4262*100)</f>
        <v>0.1502296089328512</v>
      </c>
      <c r="F29" s="40">
        <f>IF(OR(2182440.05753="",4350.67768="",4798.14429=""),"-",(4798.14429-4350.67768)/2182440.05753*100)</f>
        <v>0.020503042383964745</v>
      </c>
      <c r="G29" s="40">
        <f>IF(OR(2578273.3802="",4842.70166="",4798.14429=""),"-",(4842.70166-4798.14429)/2578273.3802*100)</f>
        <v>0.0017281864034349673</v>
      </c>
    </row>
    <row r="30" spans="1:7" s="11" customFormat="1" ht="38.25">
      <c r="A30" s="26" t="s">
        <v>42</v>
      </c>
      <c r="B30" s="40">
        <f>IF(8137.39356="","-",8137.39356)</f>
        <v>8137.39356</v>
      </c>
      <c r="C30" s="40">
        <f>IF(OR(5436.80313="",8137.39356=""),"-",8137.39356/5436.80313*100)</f>
        <v>149.67239691093982</v>
      </c>
      <c r="D30" s="40">
        <f>IF(5436.80313="","-",5436.80313/2578273.3802*100)</f>
        <v>0.21086992449102743</v>
      </c>
      <c r="E30" s="40">
        <f>IF(8137.39356="","-",8137.39356/3223533.4262*100)</f>
        <v>0.2524370770863266</v>
      </c>
      <c r="F30" s="40">
        <f>IF(OR(2182440.05753="",5557.2735="",5436.80313=""),"-",(5436.80313-5557.2735)/2182440.05753*100)</f>
        <v>-0.00551998528364365</v>
      </c>
      <c r="G30" s="40">
        <f>IF(OR(2578273.3802="",8137.39356="",5436.80313=""),"-",(8137.39356-5436.80313)/2578273.3802*100)</f>
        <v>0.10474414585898227</v>
      </c>
    </row>
    <row r="31" spans="1:7" s="11" customFormat="1" ht="12.75" customHeight="1">
      <c r="A31" s="26" t="s">
        <v>305</v>
      </c>
      <c r="B31" s="40">
        <f>IF(604.02996="","-",604.02996)</f>
        <v>604.02996</v>
      </c>
      <c r="C31" s="40">
        <f>IF(OR(632.80134="",604.02996=""),"-",604.02996/632.80134*100)</f>
        <v>95.45333137252838</v>
      </c>
      <c r="D31" s="40">
        <f>IF(632.80134="","-",632.80134/2578273.3802*100)</f>
        <v>0.02454360910133249</v>
      </c>
      <c r="E31" s="40">
        <f>IF(604.02996="","-",604.02996/3223533.4262*100)</f>
        <v>0.018738132357822297</v>
      </c>
      <c r="F31" s="40">
        <f>IF(OR(2182440.05753="",440.71981="",632.80134=""),"-",(632.80134-440.71981)/2182440.05753*100)</f>
        <v>0.00880122820955689</v>
      </c>
      <c r="G31" s="40">
        <f>IF(OR(2578273.3802="",604.02996="",632.80134=""),"-",(604.02996-632.80134)/2578273.3802*100)</f>
        <v>-0.0011159165750595536</v>
      </c>
    </row>
    <row r="32" spans="1:7" s="11" customFormat="1" ht="25.5">
      <c r="A32" s="26" t="s">
        <v>43</v>
      </c>
      <c r="B32" s="40">
        <f>IF(23400.89335="","-",23400.89335)</f>
        <v>23400.89335</v>
      </c>
      <c r="C32" s="40">
        <f>IF(OR(17145.30883="",23400.89335=""),"-",23400.89335/17145.30883*100)</f>
        <v>136.48569169576163</v>
      </c>
      <c r="D32" s="40">
        <f>IF(17145.30883="","-",17145.30883/2578273.3802*100)</f>
        <v>0.6649918880467989</v>
      </c>
      <c r="E32" s="40">
        <f>IF(23400.89335="","-",23400.89335/3223533.4262*100)</f>
        <v>0.7259392181202131</v>
      </c>
      <c r="F32" s="40">
        <f>IF(OR(2182440.05753="",14766.71313="",17145.30883=""),"-",(17145.30883-14766.71313)/2182440.05753*100)</f>
        <v>0.10898790515657979</v>
      </c>
      <c r="G32" s="40">
        <f>IF(OR(2578273.3802="",23400.89335="",17145.30883=""),"-",(23400.89335-17145.30883)/2578273.3802*100)</f>
        <v>0.2426268900745794</v>
      </c>
    </row>
    <row r="33" spans="1:7" s="11" customFormat="1" ht="25.5">
      <c r="A33" s="74" t="s">
        <v>44</v>
      </c>
      <c r="B33" s="37">
        <f>IF(519913.65763="","-",519913.65763)</f>
        <v>519913.65763</v>
      </c>
      <c r="C33" s="37">
        <f>IF(400716.6903="","-",519913.65763/400716.6903*100)</f>
        <v>129.74594525642595</v>
      </c>
      <c r="D33" s="37">
        <f>IF(400716.6903="","-",400716.6903/2578273.3802*100)</f>
        <v>15.542055911422237</v>
      </c>
      <c r="E33" s="37">
        <f>IF(519913.65763="","-",519913.65763/3223533.4262*100)</f>
        <v>16.128688271208347</v>
      </c>
      <c r="F33" s="37">
        <f>IF(2182440.05753="","-",(400716.6903-326614.74122)/2182440.05753*100)</f>
        <v>3.3953715624091716</v>
      </c>
      <c r="G33" s="37">
        <f>IF(2578273.3802="","-",(519913.65763-400716.6903)/2578273.3802*100)</f>
        <v>4.623131443134773</v>
      </c>
    </row>
    <row r="34" spans="1:7" s="11" customFormat="1" ht="15.75">
      <c r="A34" s="26" t="s">
        <v>259</v>
      </c>
      <c r="B34" s="40">
        <f>IF(7759.79981="","-",7759.79981)</f>
        <v>7759.79981</v>
      </c>
      <c r="C34" s="40">
        <f>IF(OR(10815.59361="",7759.79981=""),"-",7759.79981/10815.59361*100)</f>
        <v>71.74640699171019</v>
      </c>
      <c r="D34" s="40">
        <f>IF(10815.59361="","-",10815.59361/2578273.3802*100)</f>
        <v>0.4194897908444845</v>
      </c>
      <c r="E34" s="40">
        <f>IF(7759.79981="","-",7759.79981/3223533.4262*100)</f>
        <v>0.24072341694770294</v>
      </c>
      <c r="F34" s="40">
        <f>IF(OR(2182440.05753="",4416.18217="",10815.59361=""),"-",(10815.59361-4416.18217)/2182440.05753*100)</f>
        <v>0.29322278144228175</v>
      </c>
      <c r="G34" s="40">
        <f>IF(OR(2578273.3802="",7759.79981="",10815.59361=""),"-",(7759.79981-10815.59361)/2578273.3802*100)</f>
        <v>-0.11852093821652682</v>
      </c>
    </row>
    <row r="35" spans="1:7" s="11" customFormat="1" ht="25.5">
      <c r="A35" s="26" t="s">
        <v>45</v>
      </c>
      <c r="B35" s="40">
        <f>IF(336096.77121="","-",336096.77121)</f>
        <v>336096.77121</v>
      </c>
      <c r="C35" s="40">
        <f>IF(OR(239128.88456="",336096.77121=""),"-",336096.77121/239128.88456*100)</f>
        <v>140.55047002306813</v>
      </c>
      <c r="D35" s="40">
        <f>IF(239128.88456="","-",239128.88456/2578273.3802*100)</f>
        <v>9.274768393313298</v>
      </c>
      <c r="E35" s="40">
        <f>IF(336096.77121="","-",336096.77121/3223533.4262*100)</f>
        <v>10.42634670632844</v>
      </c>
      <c r="F35" s="40">
        <f>IF(OR(2182440.05753="",187029.97927="",239128.88456=""),"-",(239128.88456-187029.97927)/2182440.05753*100)</f>
        <v>2.387186081479988</v>
      </c>
      <c r="G35" s="40">
        <f>IF(OR(2578273.3802="",336096.77121="",239128.88456=""),"-",(336096.77121-239128.88456)/2578273.3802*100)</f>
        <v>3.7609621770395054</v>
      </c>
    </row>
    <row r="36" spans="1:7" s="11" customFormat="1" ht="25.5">
      <c r="A36" s="26" t="s">
        <v>46</v>
      </c>
      <c r="B36" s="40">
        <f>IF(147469.16827="","-",147469.16827)</f>
        <v>147469.16827</v>
      </c>
      <c r="C36" s="40">
        <f>IF(OR(111357.31508="",147469.16827=""),"-",147469.16827/111357.31508*100)</f>
        <v>132.4288109533325</v>
      </c>
      <c r="D36" s="40">
        <f>IF(111357.31508="","-",111357.31508/2578273.3802*100)</f>
        <v>4.319065461993866</v>
      </c>
      <c r="E36" s="40">
        <f>IF(147469.16827="","-",147469.16827/3223533.4262*100)</f>
        <v>4.574767771024517</v>
      </c>
      <c r="F36" s="40">
        <f>IF(OR(2182440.05753="",134916.27684="",111357.31508=""),"-",(111357.31508-134916.27684)/2182440.05753*100)</f>
        <v>-1.079478067620474</v>
      </c>
      <c r="G36" s="40">
        <f>IF(OR(2578273.3802="",147469.16827="",111357.31508=""),"-",(147469.16827-111357.31508)/2578273.3802*100)</f>
        <v>1.4006215736206666</v>
      </c>
    </row>
    <row r="37" spans="1:7" s="11" customFormat="1" ht="15.75">
      <c r="A37" s="26" t="s">
        <v>47</v>
      </c>
      <c r="B37" s="40">
        <f>IF(28587.91834="","-",28587.91834)</f>
        <v>28587.91834</v>
      </c>
      <c r="C37" s="40">
        <f>IF(OR(39414.89705="",28587.91834=""),"-",28587.91834/39414.89705*100)</f>
        <v>72.53074466675538</v>
      </c>
      <c r="D37" s="40">
        <f>IF(39414.89705="","-",39414.89705/2578273.3802*100)</f>
        <v>1.5287322652705873</v>
      </c>
      <c r="E37" s="40">
        <f>IF(28587.91834="","-",28587.91834/3223533.4262*100)</f>
        <v>0.8868503769076876</v>
      </c>
      <c r="F37" s="40">
        <f>IF(OR(2182440.05753="",252.30294="",39414.89705=""),"-",(39414.89705-252.30294)/2182440.05753*100)</f>
        <v>1.7944407671073765</v>
      </c>
      <c r="G37" s="40">
        <f>IF(OR(2578273.3802="",28587.91834="",39414.89705=""),"-",(28587.91834-39414.89705)/2578273.3802*100)</f>
        <v>-0.419931369308872</v>
      </c>
    </row>
    <row r="38" spans="1:7" s="11" customFormat="1" ht="25.5">
      <c r="A38" s="74" t="s">
        <v>48</v>
      </c>
      <c r="B38" s="37">
        <f>IF(6591.36035="","-",6591.36035)</f>
        <v>6591.36035</v>
      </c>
      <c r="C38" s="37">
        <f>IF(8540.73753="","-",6591.36035/8540.73753*100)</f>
        <v>77.17554048286038</v>
      </c>
      <c r="D38" s="37">
        <f>IF(8540.73753="","-",8540.73753/2578273.3802*100)</f>
        <v>0.33125802700322976</v>
      </c>
      <c r="E38" s="37">
        <f>IF(6591.36035="","-",6591.36035/3223533.4262*100)</f>
        <v>0.20447625256270718</v>
      </c>
      <c r="F38" s="37">
        <f>IF(2182440.05753="","-",(8540.73753-5285.93859)/2182440.05753*100)</f>
        <v>0.14913577712112078</v>
      </c>
      <c r="G38" s="37">
        <f>IF(2578273.3802="","-",(6591.36035-8540.73753)/2578273.3802*100)</f>
        <v>-0.0756078542706276</v>
      </c>
    </row>
    <row r="39" spans="1:7" s="11" customFormat="1" ht="15.75">
      <c r="A39" s="26" t="s">
        <v>49</v>
      </c>
      <c r="B39" s="40">
        <f>IF(838.24243="","-",838.24243)</f>
        <v>838.24243</v>
      </c>
      <c r="C39" s="40">
        <f>IF(OR(586.01706="",838.24243=""),"-",838.24243/586.01706*100)</f>
        <v>143.04061898812296</v>
      </c>
      <c r="D39" s="40">
        <f>IF(586.01706="","-",586.01706/2578273.3802*100)</f>
        <v>0.022729050553767963</v>
      </c>
      <c r="E39" s="40">
        <f>IF(838.24243="","-",838.24243/3223533.4262*100)</f>
        <v>0.026003838619664814</v>
      </c>
      <c r="F39" s="40">
        <f>IF(OR(2182440.05753="",429.43406="",586.01706=""),"-",(586.01706-429.43406)/2182440.05753*100)</f>
        <v>0.007174675861531543</v>
      </c>
      <c r="G39" s="40">
        <f>IF(OR(2578273.3802="",838.24243="",586.01706=""),"-",(838.24243-586.01706)/2578273.3802*100)</f>
        <v>0.009782724048465122</v>
      </c>
    </row>
    <row r="40" spans="1:7" s="11" customFormat="1" ht="25.5">
      <c r="A40" s="26" t="s">
        <v>50</v>
      </c>
      <c r="B40" s="40">
        <f>IF(4181.81333="","-",4181.81333)</f>
        <v>4181.81333</v>
      </c>
      <c r="C40" s="40">
        <f>IF(OR(6567.8994="",4181.81333=""),"-",4181.81333/6567.8994*100)</f>
        <v>63.67048389931186</v>
      </c>
      <c r="D40" s="40">
        <f>IF(6567.8994="","-",6567.8994/2578273.3802*100)</f>
        <v>0.25474022461848167</v>
      </c>
      <c r="E40" s="40">
        <f>IF(4181.81333="","-",4181.81333/3223533.4262*100)</f>
        <v>0.1297276242278539</v>
      </c>
      <c r="F40" s="40">
        <f>IF(OR(2182440.05753="",3784.81583="",6567.8994=""),"-",(6567.8994-3784.81583)/2182440.05753*100)</f>
        <v>0.12752164992562431</v>
      </c>
      <c r="G40" s="40">
        <f>IF(OR(2578273.3802="",4181.81333="",6567.8994=""),"-",(4181.81333-6567.8994)/2578273.3802*100)</f>
        <v>-0.09254589091770045</v>
      </c>
    </row>
    <row r="41" spans="1:7" s="11" customFormat="1" ht="63.75">
      <c r="A41" s="26" t="s">
        <v>255</v>
      </c>
      <c r="B41" s="40">
        <f>IF(1571.30459="","-",1571.30459)</f>
        <v>1571.30459</v>
      </c>
      <c r="C41" s="40">
        <f>IF(OR(1386.82107="",1571.30459=""),"-",1571.30459/1386.82107*100)</f>
        <v>113.30261877258614</v>
      </c>
      <c r="D41" s="40">
        <f>IF(1386.82107="","-",1386.82107/2578273.3802*100)</f>
        <v>0.0537887518309801</v>
      </c>
      <c r="E41" s="40">
        <f>IF(1571.30459="","-",1571.30459/3223533.4262*100)</f>
        <v>0.04874478971518846</v>
      </c>
      <c r="F41" s="40">
        <f>IF(OR(2182440.05753="",1071.6887="",1386.82107=""),"-",(1386.82107-1071.6887)/2182440.05753*100)</f>
        <v>0.014439451333964905</v>
      </c>
      <c r="G41" s="40">
        <f>IF(OR(2578273.3802="",1571.30459="",1386.82107=""),"-",(1571.30459-1386.82107)/2578273.3802*100)</f>
        <v>0.007155312598607731</v>
      </c>
    </row>
    <row r="42" spans="1:7" s="11" customFormat="1" ht="25.5">
      <c r="A42" s="74" t="s">
        <v>51</v>
      </c>
      <c r="B42" s="37">
        <f>IF(478472.05195="","-",478472.05195)</f>
        <v>478472.05195</v>
      </c>
      <c r="C42" s="37">
        <f>IF(418456.17156="","-",478472.05195/418456.17156*100)</f>
        <v>114.34221418368892</v>
      </c>
      <c r="D42" s="37">
        <f>IF(418456.17156="","-",418456.17156/2578273.3802*100)</f>
        <v>16.230093161320998</v>
      </c>
      <c r="E42" s="37">
        <f>IF(478472.05195="","-",478472.05195/3223533.4262*100)</f>
        <v>14.843092615733708</v>
      </c>
      <c r="F42" s="37">
        <f>IF(2182440.05753="","-",(418456.17156-353630.71965)/2182440.05753*100)</f>
        <v>2.9703199263748354</v>
      </c>
      <c r="G42" s="37">
        <f>IF(2578273.3802="","-",(478472.05195-418456.17156)/2578273.3802*100)</f>
        <v>2.3277547234089075</v>
      </c>
    </row>
    <row r="43" spans="1:7" s="11" customFormat="1" ht="15.75">
      <c r="A43" s="26" t="s">
        <v>52</v>
      </c>
      <c r="B43" s="40">
        <f>IF(12821.15006="","-",12821.15006)</f>
        <v>12821.15006</v>
      </c>
      <c r="C43" s="40">
        <f>IF(OR(10922.48607="",12821.15006=""),"-",12821.15006/10922.48607*100)</f>
        <v>117.38307540821611</v>
      </c>
      <c r="D43" s="40">
        <f>IF(10922.48607="","-",10922.48607/2578273.3802*100)</f>
        <v>0.4236356840155069</v>
      </c>
      <c r="E43" s="40">
        <f>IF(12821.15006="","-",12821.15006/3223533.4262*100)</f>
        <v>0.3977359116487886</v>
      </c>
      <c r="F43" s="40">
        <f>IF(OR(2182440.05753="",8452.65725="",10922.48607=""),"-",(10922.48607-8452.65725)/2182440.05753*100)</f>
        <v>0.11316823165330167</v>
      </c>
      <c r="G43" s="40">
        <f>IF(OR(2578273.3802="",12821.15006="",10922.48607=""),"-",(12821.15006-10922.48607)/2578273.3802*100)</f>
        <v>0.07364091040852763</v>
      </c>
    </row>
    <row r="44" spans="1:7" s="11" customFormat="1" ht="15.75">
      <c r="A44" s="26" t="s">
        <v>53</v>
      </c>
      <c r="B44" s="40">
        <f>IF(8373.90761="","-",8373.90761)</f>
        <v>8373.90761</v>
      </c>
      <c r="C44" s="40">
        <f>IF(OR(6321.61891="",8373.90761=""),"-",8373.90761/6321.61891*100)</f>
        <v>132.4646064436681</v>
      </c>
      <c r="D44" s="40">
        <f>IF(6321.61891="","-",6321.61891/2578273.3802*100)</f>
        <v>0.24518807658440098</v>
      </c>
      <c r="E44" s="40">
        <f>IF(8373.90761="","-",8373.90761/3223533.4262*100)</f>
        <v>0.2597741826388138</v>
      </c>
      <c r="F44" s="40">
        <f>IF(OR(2182440.05753="",8204.93888="",6321.61891=""),"-",(6321.61891-8204.93888)/2182440.05753*100)</f>
        <v>-0.08629423582572376</v>
      </c>
      <c r="G44" s="40">
        <f>IF(OR(2578273.3802="",8373.90761="",6321.61891=""),"-",(8373.90761-6321.61891)/2578273.3802*100)</f>
        <v>0.07959934410992528</v>
      </c>
    </row>
    <row r="45" spans="1:7" s="11" customFormat="1" ht="15.75">
      <c r="A45" s="26" t="s">
        <v>54</v>
      </c>
      <c r="B45" s="40">
        <f>IF(20789.73351="","-",20789.73351)</f>
        <v>20789.73351</v>
      </c>
      <c r="C45" s="40">
        <f>IF(OR(17530.30211="",20789.73351=""),"-",20789.73351/17530.30211*100)</f>
        <v>118.59312737195033</v>
      </c>
      <c r="D45" s="40">
        <f>IF(17530.30211="","-",17530.30211/2578273.3802*100)</f>
        <v>0.6799241013239702</v>
      </c>
      <c r="E45" s="40">
        <f>IF(20789.73351="","-",20789.73351/3223533.4262*100)</f>
        <v>0.6449361852750375</v>
      </c>
      <c r="F45" s="40">
        <f>IF(OR(2182440.05753="",15717.25306="",17530.30211=""),"-",(17530.30211-15717.25306)/2182440.05753*100)</f>
        <v>0.08307440306296152</v>
      </c>
      <c r="G45" s="40">
        <f>IF(OR(2578273.3802="",20789.73351="",17530.30211=""),"-",(20789.73351-17530.30211)/2578273.3802*100)</f>
        <v>0.12641915419175445</v>
      </c>
    </row>
    <row r="46" spans="1:7" s="11" customFormat="1" ht="15.75">
      <c r="A46" s="26" t="s">
        <v>55</v>
      </c>
      <c r="B46" s="40">
        <f>IF(133117.42223="","-",133117.42223)</f>
        <v>133117.42223</v>
      </c>
      <c r="C46" s="40">
        <f>IF(OR(124577.06547="",133117.42223=""),"-",133117.42223/124577.06547*100)</f>
        <v>106.8554807642797</v>
      </c>
      <c r="D46" s="40">
        <f>IF(124577.06547="","-",124577.06547/2578273.3802*100)</f>
        <v>4.831802027926782</v>
      </c>
      <c r="E46" s="40">
        <f>IF(133117.42223="","-",133117.42223/3223533.4262*100)</f>
        <v>4.129549926427253</v>
      </c>
      <c r="F46" s="40">
        <f>IF(OR(2182440.05753="",89696.09817="",124577.06547=""),"-",(124577.06547-89696.09817)/2182440.05753*100)</f>
        <v>1.5982554563022875</v>
      </c>
      <c r="G46" s="40">
        <f>IF(OR(2578273.3802="",133117.42223="",124577.06547=""),"-",(133117.42223-124577.06547)/2578273.3802*100)</f>
        <v>0.3312432585925977</v>
      </c>
    </row>
    <row r="47" spans="1:7" s="11" customFormat="1" ht="38.25">
      <c r="A47" s="26" t="s">
        <v>256</v>
      </c>
      <c r="B47" s="40">
        <f>IF(63825.91473="","-",63825.91473)</f>
        <v>63825.91473</v>
      </c>
      <c r="C47" s="40">
        <f>IF(OR(62210.35772="",63825.91473=""),"-",63825.91473/62210.35772*100)</f>
        <v>102.59692608949685</v>
      </c>
      <c r="D47" s="40">
        <f>IF(62210.35772="","-",62210.35772/2578273.3802*100)</f>
        <v>2.4128689454635825</v>
      </c>
      <c r="E47" s="40">
        <f>IF(63825.91473="","-",63825.91473/3223533.4262*100)</f>
        <v>1.9799985385986811</v>
      </c>
      <c r="F47" s="40">
        <f>IF(OR(2182440.05753="",62256.9388="",62210.35772=""),"-",(62210.35772-62256.9388)/2182440.05753*100)</f>
        <v>-0.0021343578184100146</v>
      </c>
      <c r="G47" s="40">
        <f>IF(OR(2578273.3802="",63825.91473="",62210.35772=""),"-",(63825.91473-62210.35772)/2578273.3802*100)</f>
        <v>0.06266042315011125</v>
      </c>
    </row>
    <row r="48" spans="1:7" s="11" customFormat="1" ht="15.75">
      <c r="A48" s="26" t="s">
        <v>56</v>
      </c>
      <c r="B48" s="40">
        <f>IF(49234.34666="","-",49234.34666)</f>
        <v>49234.34666</v>
      </c>
      <c r="C48" s="40">
        <f>IF(OR(37437.47928="",49234.34666=""),"-",49234.34666/37437.47928*100)</f>
        <v>131.51084850496912</v>
      </c>
      <c r="D48" s="40">
        <f>IF(37437.47928="","-",37437.47928/2578273.3802*100)</f>
        <v>1.4520368385875326</v>
      </c>
      <c r="E48" s="40">
        <f>IF(49234.34666="","-",49234.34666/3223533.4262*100)</f>
        <v>1.527340968759209</v>
      </c>
      <c r="F48" s="40">
        <f>IF(OR(2182440.05753="",28501.98657="",37437.47928=""),"-",(37437.47928-28501.98657)/2182440.05753*100)</f>
        <v>0.409426718464508</v>
      </c>
      <c r="G48" s="40">
        <f>IF(OR(2578273.3802="",49234.34666="",37437.47928=""),"-",(49234.34666-37437.47928)/2578273.3802*100)</f>
        <v>0.45754912844366047</v>
      </c>
    </row>
    <row r="49" spans="1:7" s="11" customFormat="1" ht="15.75">
      <c r="A49" s="26" t="s">
        <v>57</v>
      </c>
      <c r="B49" s="40">
        <f>IF(32489.31806="","-",32489.31806)</f>
        <v>32489.31806</v>
      </c>
      <c r="C49" s="40">
        <f>IF(OR(28623.19875="",32489.31806=""),"-",32489.31806/28623.19875*100)</f>
        <v>113.50694359413622</v>
      </c>
      <c r="D49" s="40">
        <f>IF(28623.19875="","-",28623.19875/2578273.3802*100)</f>
        <v>1.1101692694736531</v>
      </c>
      <c r="E49" s="40">
        <f>IF(32489.31806="","-",32489.31806/3223533.4262*100)</f>
        <v>1.0078790496148011</v>
      </c>
      <c r="F49" s="40">
        <f>IF(OR(2182440.05753="",26008.54192="",28623.19875=""),"-",(28623.19875-26008.54192)/2182440.05753*100)</f>
        <v>0.11980429065983907</v>
      </c>
      <c r="G49" s="40">
        <f>IF(OR(2578273.3802="",32489.31806="",28623.19875=""),"-",(32489.31806-28623.19875)/2578273.3802*100)</f>
        <v>0.14994993702724038</v>
      </c>
    </row>
    <row r="50" spans="1:7" s="11" customFormat="1" ht="15.75">
      <c r="A50" s="26" t="s">
        <v>58</v>
      </c>
      <c r="B50" s="40">
        <f>IF(62184.56389="","-",62184.56389)</f>
        <v>62184.56389</v>
      </c>
      <c r="C50" s="40">
        <f>IF(OR(52554.34622="",62184.56389=""),"-",62184.56389/52554.34622*100)</f>
        <v>118.3243030551394</v>
      </c>
      <c r="D50" s="40">
        <f>IF(52554.34622="","-",52554.34622/2578273.3802*100)</f>
        <v>2.0383542964680994</v>
      </c>
      <c r="E50" s="40">
        <f>IF(62184.56389="","-",62184.56389/3223533.4262*100)</f>
        <v>1.9290807839801143</v>
      </c>
      <c r="F50" s="40">
        <f>IF(OR(2182440.05753="",45623.58021="",52554.34622=""),"-",(52554.34622-45623.58021)/2182440.05753*100)</f>
        <v>0.31756959308398913</v>
      </c>
      <c r="G50" s="40">
        <f>IF(OR(2578273.3802="",62184.56389="",52554.34622=""),"-",(62184.56389-52554.34622)/2578273.3802*100)</f>
        <v>0.3735142186222692</v>
      </c>
    </row>
    <row r="51" spans="1:7" s="11" customFormat="1" ht="15.75">
      <c r="A51" s="26" t="s">
        <v>59</v>
      </c>
      <c r="B51" s="40">
        <f>IF(95635.6952="","-",95635.6952)</f>
        <v>95635.6952</v>
      </c>
      <c r="C51" s="40">
        <f>IF(OR(78279.31703="",95635.6952=""),"-",95635.6952/78279.31703*100)</f>
        <v>122.17236791085988</v>
      </c>
      <c r="D51" s="40">
        <f>IF(78279.31703="","-",78279.31703/2578273.3802*100)</f>
        <v>3.0361139214774724</v>
      </c>
      <c r="E51" s="40">
        <f>IF(95635.6952="","-",95635.6952/3223533.4262*100)</f>
        <v>2.9667970687910095</v>
      </c>
      <c r="F51" s="40">
        <f>IF(OR(2182440.05753="",69168.72479="",78279.31703=""),"-",(78279.31703-69168.72479)/2182440.05753*100)</f>
        <v>0.41744982679208265</v>
      </c>
      <c r="G51" s="40">
        <f>IF(OR(2578273.3802="",95635.6952="",78279.31703=""),"-",(95635.6952-78279.31703)/2578273.3802*100)</f>
        <v>0.6731783488628207</v>
      </c>
    </row>
    <row r="52" spans="1:7" s="11" customFormat="1" ht="25.5">
      <c r="A52" s="74" t="s">
        <v>314</v>
      </c>
      <c r="B52" s="37">
        <f>IF(651106.01898="","-",651106.01898)</f>
        <v>651106.01898</v>
      </c>
      <c r="C52" s="37">
        <f>IF(519176.05906="","-",651106.01898/519176.05906*100)</f>
        <v>125.41141056443692</v>
      </c>
      <c r="D52" s="37">
        <f>IF(519176.05906="","-",519176.05906/2578273.3802*100)</f>
        <v>20.136579117134847</v>
      </c>
      <c r="E52" s="37">
        <f>IF(651106.01898="","-",651106.01898/3223533.4262*100)</f>
        <v>20.198519230109046</v>
      </c>
      <c r="F52" s="37">
        <f>IF(2182440.05753="","-",(519176.05906-475242.47301)/2182440.05753*100)</f>
        <v>2.013048921935675</v>
      </c>
      <c r="G52" s="37">
        <f>IF(2578273.3802="","-",(651106.01898-519176.05906)/2578273.3802*100)</f>
        <v>5.116988793087802</v>
      </c>
    </row>
    <row r="53" spans="1:7" s="11" customFormat="1" ht="15.75">
      <c r="A53" s="26" t="s">
        <v>60</v>
      </c>
      <c r="B53" s="40">
        <f>IF(34911.8899="","-",34911.8899)</f>
        <v>34911.8899</v>
      </c>
      <c r="C53" s="40">
        <f>IF(OR(23129.13266="",34911.8899=""),"-",34911.8899/23129.13266*100)</f>
        <v>150.94335967200942</v>
      </c>
      <c r="D53" s="40">
        <f>IF(23129.13266="","-",23129.13266/2578273.3802*100)</f>
        <v>0.8970783640564075</v>
      </c>
      <c r="E53" s="40">
        <f>IF(34911.8899="","-",34911.8899/3223533.4262*100)</f>
        <v>1.0830317320815006</v>
      </c>
      <c r="F53" s="40">
        <f>IF(OR(2182440.05753="",22269.94148="",23129.13266=""),"-",(23129.13266-22269.94148)/2182440.05753*100)</f>
        <v>0.03936837472514122</v>
      </c>
      <c r="G53" s="40">
        <f>IF(OR(2578273.3802="",34911.8899="",23129.13266=""),"-",(34911.8899-23129.13266)/2578273.3802*100)</f>
        <v>0.45700185754103384</v>
      </c>
    </row>
    <row r="54" spans="1:7" s="11" customFormat="1" ht="15.75">
      <c r="A54" s="26" t="s">
        <v>61</v>
      </c>
      <c r="B54" s="40">
        <f>IF(35834.66768="","-",35834.66768)</f>
        <v>35834.66768</v>
      </c>
      <c r="C54" s="40">
        <f>IF(OR(28072.33514="",35834.66768=""),"-",35834.66768/28072.33514*100)</f>
        <v>127.65118220941845</v>
      </c>
      <c r="D54" s="40">
        <f>IF(28072.33514="","-",28072.33514/2578273.3802*100)</f>
        <v>1.0888036682061386</v>
      </c>
      <c r="E54" s="40">
        <f>IF(35834.66768="","-",35834.66768/3223533.4262*100)</f>
        <v>1.1116580144243458</v>
      </c>
      <c r="F54" s="40">
        <f>IF(OR(2182440.05753="",31644.01016="",28072.33514=""),"-",(28072.33514-31644.01016)/2182440.05753*100)</f>
        <v>-0.16365512572392407</v>
      </c>
      <c r="G54" s="40">
        <f>IF(OR(2578273.3802="",35834.66768="",28072.33514=""),"-",(35834.66768-28072.33514)/2578273.3802*100)</f>
        <v>0.3010670861985111</v>
      </c>
    </row>
    <row r="55" spans="1:7" s="11" customFormat="1" ht="15.75">
      <c r="A55" s="26" t="s">
        <v>62</v>
      </c>
      <c r="B55" s="40">
        <f>IF(45182.80643="","-",45182.80643)</f>
        <v>45182.80643</v>
      </c>
      <c r="C55" s="40">
        <f>IF(OR(33656.74964="",45182.80643=""),"-",45182.80643/33656.74964*100)</f>
        <v>134.24589989611366</v>
      </c>
      <c r="D55" s="40">
        <f>IF(33656.74964="","-",33656.74964/2578273.3802*100)</f>
        <v>1.3053987951188173</v>
      </c>
      <c r="E55" s="40">
        <f>IF(45182.80643="","-",45182.80643/3223533.4262*100)</f>
        <v>1.4016546582941092</v>
      </c>
      <c r="F55" s="40">
        <f>IF(OR(2182440.05753="",29084.13534="",33656.74964=""),"-",(33656.74964-29084.13534)/2182440.05753*100)</f>
        <v>0.20951843713751783</v>
      </c>
      <c r="G55" s="40">
        <f>IF(OR(2578273.3802="",45182.80643="",33656.74964=""),"-",(45182.80643-33656.74964)/2578273.3802*100)</f>
        <v>0.447045564621464</v>
      </c>
    </row>
    <row r="56" spans="1:7" s="11" customFormat="1" ht="25.5">
      <c r="A56" s="26" t="s">
        <v>307</v>
      </c>
      <c r="B56" s="40">
        <f>IF(56342.36463="","-",56342.36463)</f>
        <v>56342.36463</v>
      </c>
      <c r="C56" s="40">
        <f>IF(OR(46893.08558="",56342.36463=""),"-",56342.36463/46893.08558*100)</f>
        <v>120.15068732015821</v>
      </c>
      <c r="D56" s="40">
        <f>IF(46893.08558="","-",46893.08558/2578273.3802*100)</f>
        <v>1.8187786423316539</v>
      </c>
      <c r="E56" s="40">
        <f>IF(56342.36463="","-",56342.36463/3223533.4262*100)</f>
        <v>1.7478449012522914</v>
      </c>
      <c r="F56" s="40">
        <f>IF(OR(2182440.05753="",43890.01239="",46893.08558=""),"-",(46893.08558-43890.01239)/2182440.05753*100)</f>
        <v>0.13760163444758047</v>
      </c>
      <c r="G56" s="40">
        <f>IF(OR(2578273.3802="",56342.36463="",46893.08558=""),"-",(56342.36463-46893.08558)/2578273.3802*100)</f>
        <v>0.3664963972620702</v>
      </c>
    </row>
    <row r="57" spans="1:7" s="11" customFormat="1" ht="25.5">
      <c r="A57" s="26" t="s">
        <v>257</v>
      </c>
      <c r="B57" s="40">
        <f>IF(177524.74804="","-",177524.74804)</f>
        <v>177524.74804</v>
      </c>
      <c r="C57" s="40">
        <f>IF(OR(155133.387="",177524.74804=""),"-",177524.74804/155133.387*100)</f>
        <v>114.43361836739889</v>
      </c>
      <c r="D57" s="40">
        <f>IF(155133.387="","-",155133.387/2578273.3802*100)</f>
        <v>6.0169487142579925</v>
      </c>
      <c r="E57" s="40">
        <f>IF(177524.74804="","-",177524.74804/3223533.4262*100)</f>
        <v>5.507147734133213</v>
      </c>
      <c r="F57" s="40">
        <f>IF(OR(2182440.05753="",145713.08973="",155133.387=""),"-",(155133.387-145713.08973)/2182440.05753*100)</f>
        <v>0.4316405959236976</v>
      </c>
      <c r="G57" s="40">
        <f>IF(OR(2578273.3802="",177524.74804="",155133.387=""),"-",(177524.74804-155133.387)/2578273.3802*100)</f>
        <v>0.8684634147781136</v>
      </c>
    </row>
    <row r="58" spans="1:7" s="11" customFormat="1" ht="15.75">
      <c r="A58" s="26" t="s">
        <v>63</v>
      </c>
      <c r="B58" s="40">
        <f>IF(68404.77609="","-",68404.77609)</f>
        <v>68404.77609</v>
      </c>
      <c r="C58" s="40">
        <f>IF(OR(63185.51597="",68404.77609=""),"-",68404.77609/63185.51597*100)</f>
        <v>108.26021603191158</v>
      </c>
      <c r="D58" s="40">
        <f>IF(63185.51597="","-",63185.51597/2578273.3802*100)</f>
        <v>2.4506910886656486</v>
      </c>
      <c r="E58" s="40">
        <f>IF(68404.77609="","-",68404.77609/3223533.4262*100)</f>
        <v>2.122043330899709</v>
      </c>
      <c r="F58" s="40">
        <f>IF(OR(2182440.05753="",54938.4505="",63185.51597=""),"-",(63185.51597-54938.4505)/2182440.05753*100)</f>
        <v>0.37788279414801923</v>
      </c>
      <c r="G58" s="40">
        <f>IF(OR(2578273.3802="",68404.77609="",63185.51597=""),"-",(68404.77609-63185.51597)/2578273.3802*100)</f>
        <v>0.20243237819858864</v>
      </c>
    </row>
    <row r="59" spans="1:7" s="11" customFormat="1" ht="15.75">
      <c r="A59" s="26" t="s">
        <v>309</v>
      </c>
      <c r="B59" s="40">
        <f>IF(77230.08694="","-",77230.08694)</f>
        <v>77230.08694</v>
      </c>
      <c r="C59" s="40">
        <f>IF(OR(54774.14088="",77230.08694=""),"-",77230.08694/54774.14088*100)</f>
        <v>140.99734966030195</v>
      </c>
      <c r="D59" s="40">
        <f>IF(54774.14088="","-",54774.14088/2578273.3802*100)</f>
        <v>2.124450467535413</v>
      </c>
      <c r="E59" s="40">
        <f>IF(77230.08694="","-",77230.08694/3223533.4262*100)</f>
        <v>2.395820881281854</v>
      </c>
      <c r="F59" s="40">
        <f>IF(OR(2182440.05753="",53540.89769="",54774.14088=""),"-",(54774.14088-53540.89769)/2182440.05753*100)</f>
        <v>0.05650754006942749</v>
      </c>
      <c r="G59" s="40">
        <f>IF(OR(2578273.3802="",77230.08694="",54774.14088=""),"-",(77230.08694-54774.14088)/2578273.3802*100)</f>
        <v>0.870968386535413</v>
      </c>
    </row>
    <row r="60" spans="1:7" s="11" customFormat="1" ht="15.75">
      <c r="A60" s="26" t="s">
        <v>64</v>
      </c>
      <c r="B60" s="40">
        <f>IF(61847.70088="","-",61847.70088)</f>
        <v>61847.70088</v>
      </c>
      <c r="C60" s="40">
        <f>IF(OR(42692.08321="",61847.70088=""),"-",61847.70088/42692.08321*100)</f>
        <v>144.86925029114784</v>
      </c>
      <c r="D60" s="40">
        <f>IF(42692.08321="","-",42692.08321/2578273.3802*100)</f>
        <v>1.6558400493080498</v>
      </c>
      <c r="E60" s="40">
        <f>IF(61847.70088="","-",61847.70088/3223533.4262*100)</f>
        <v>1.9186306671219462</v>
      </c>
      <c r="F60" s="40">
        <f>IF(OR(2182440.05753="",30583.28728="",42692.08321=""),"-",(42692.08321-30583.28728)/2182440.05753*100)</f>
        <v>0.5548283394185982</v>
      </c>
      <c r="G60" s="40">
        <f>IF(OR(2578273.3802="",61847.70088="",42692.08321=""),"-",(61847.70088-42692.08321)/2578273.3802*100)</f>
        <v>0.7429630161450945</v>
      </c>
    </row>
    <row r="61" spans="1:7" s="11" customFormat="1" ht="15.75">
      <c r="A61" s="26" t="s">
        <v>65</v>
      </c>
      <c r="B61" s="40">
        <f>IF(93826.97839="","-",93826.97839)</f>
        <v>93826.97839</v>
      </c>
      <c r="C61" s="40">
        <f>IF(OR(71639.62898="",93826.97839=""),"-",93826.97839/71639.62898*100)</f>
        <v>130.97077654630814</v>
      </c>
      <c r="D61" s="40">
        <f>IF(71639.62898="","-",71639.62898/2578273.3802*100)</f>
        <v>2.7785893276547275</v>
      </c>
      <c r="E61" s="40">
        <f>IF(93826.97839="","-",93826.97839/3223533.4262*100)</f>
        <v>2.910687310620077</v>
      </c>
      <c r="F61" s="40">
        <f>IF(OR(2182440.05753="",63578.64844="",71639.62898=""),"-",(71639.62898-63578.64844)/2182440.05753*100)</f>
        <v>0.3693563317896162</v>
      </c>
      <c r="G61" s="40">
        <f>IF(OR(2578273.3802="",93826.97839="",71639.62898=""),"-",(93826.97839-71639.62898)/2578273.3802*100)</f>
        <v>0.8605506918075114</v>
      </c>
    </row>
    <row r="62" spans="1:7" s="11" customFormat="1" ht="25.5">
      <c r="A62" s="74" t="s">
        <v>66</v>
      </c>
      <c r="B62" s="37">
        <f>IF(774686.58197="","-",774686.58197)</f>
        <v>774686.58197</v>
      </c>
      <c r="C62" s="37">
        <f>IF(553336.25766="","-",774686.58197/553336.25766*100)</f>
        <v>140.0028592462144</v>
      </c>
      <c r="D62" s="37">
        <f>IF(553336.25766="","-",553336.25766/2578273.3802*100)</f>
        <v>21.46150450566561</v>
      </c>
      <c r="E62" s="37">
        <f>IF(774686.58197="","-",774686.58197/3223533.4262*100)</f>
        <v>24.032218052201937</v>
      </c>
      <c r="F62" s="37">
        <f>IF(2182440.05753="","-",(553336.25766-451695.52683)/2182440.05753*100)</f>
        <v>4.657206069844274</v>
      </c>
      <c r="G62" s="37">
        <f>IF(2578273.3802="","-",(774686.58197-553336.25766)/2578273.3802*100)</f>
        <v>8.585215439521376</v>
      </c>
    </row>
    <row r="63" spans="1:7" s="11" customFormat="1" ht="25.5">
      <c r="A63" s="26" t="s">
        <v>67</v>
      </c>
      <c r="B63" s="40">
        <f>IF(15605.56447="","-",15605.56447)</f>
        <v>15605.56447</v>
      </c>
      <c r="C63" s="40" t="s">
        <v>160</v>
      </c>
      <c r="D63" s="40">
        <f>IF(8807.49106="","-",8807.49106/2578273.3802*100)</f>
        <v>0.34160423513028676</v>
      </c>
      <c r="E63" s="40">
        <f>IF(15605.56447="","-",15605.56447/3223533.4262*100)</f>
        <v>0.48411362336627967</v>
      </c>
      <c r="F63" s="40">
        <f>IF(OR(2182440.05753="",5812.04017="",8807.49106=""),"-",(8807.49106-5812.04017)/2182440.05753*100)</f>
        <v>0.13725237857804598</v>
      </c>
      <c r="G63" s="40">
        <f>IF(OR(2578273.3802="",15605.56447="",8807.49106=""),"-",(15605.56447-8807.49106)/2578273.3802*100)</f>
        <v>0.26366767241232825</v>
      </c>
    </row>
    <row r="64" spans="1:7" s="11" customFormat="1" ht="25.5">
      <c r="A64" s="26" t="s">
        <v>68</v>
      </c>
      <c r="B64" s="40">
        <f>IF(130674.47807="","-",130674.47807)</f>
        <v>130674.47807</v>
      </c>
      <c r="C64" s="40">
        <f>IF(OR(86353.03453="",130674.47807=""),"-",130674.47807/86353.03453*100)</f>
        <v>151.3258668687575</v>
      </c>
      <c r="D64" s="40">
        <f>IF(86353.03453="","-",86353.03453/2578273.3802*100)</f>
        <v>3.349258274671458</v>
      </c>
      <c r="E64" s="40">
        <f>IF(130674.47807="","-",130674.47807/3223533.4262*100)</f>
        <v>4.053765256718403</v>
      </c>
      <c r="F64" s="40">
        <f>IF(OR(2182440.05753="",70491.59129="",86353.03453=""),"-",(86353.03453-70491.59129)/2182440.05753*100)</f>
        <v>0.7267756649385994</v>
      </c>
      <c r="G64" s="40">
        <f>IF(OR(2578273.3802="",130674.47807="",86353.03453=""),"-",(130674.47807-86353.03453)/2578273.3802*100)</f>
        <v>1.719035843148717</v>
      </c>
    </row>
    <row r="65" spans="1:7" s="11" customFormat="1" ht="25.5">
      <c r="A65" s="26" t="s">
        <v>69</v>
      </c>
      <c r="B65" s="40">
        <f>IF(7685.22424="","-",7685.22424)</f>
        <v>7685.22424</v>
      </c>
      <c r="C65" s="40">
        <f>IF(OR(5513.85108="",7685.22424=""),"-",7685.22424/5513.85108*100)</f>
        <v>139.38033741745522</v>
      </c>
      <c r="D65" s="40">
        <f>IF(5513.85108="","-",5513.85108/2578273.3802*100)</f>
        <v>0.2138582790461221</v>
      </c>
      <c r="E65" s="40">
        <f>IF(7685.22424="","-",7685.22424/3223533.4262*100)</f>
        <v>0.23840994411711675</v>
      </c>
      <c r="F65" s="40">
        <f>IF(OR(2182440.05753="",2929.72833="",5513.85108=""),"-",(5513.85108-2929.72833)/2182440.05753*100)</f>
        <v>0.11840521076783248</v>
      </c>
      <c r="G65" s="40">
        <f>IF(OR(2578273.3802="",7685.22424="",5513.85108=""),"-",(7685.22424-5513.85108)/2578273.3802*100)</f>
        <v>0.08421811188352582</v>
      </c>
    </row>
    <row r="66" spans="1:7" s="11" customFormat="1" ht="38.25">
      <c r="A66" s="26" t="s">
        <v>70</v>
      </c>
      <c r="B66" s="40">
        <f>IF(100884.80113="","-",100884.80113)</f>
        <v>100884.80113</v>
      </c>
      <c r="C66" s="40">
        <f>IF(OR(81008.6451="",100884.80113=""),"-",100884.80113/81008.6451*100)</f>
        <v>124.53584553286154</v>
      </c>
      <c r="D66" s="40">
        <f>IF(81008.6451="","-",81008.6451/2578273.3802*100)</f>
        <v>3.1419726752837995</v>
      </c>
      <c r="E66" s="40">
        <f>IF(100884.80113="","-",100884.80113/3223533.4262*100)</f>
        <v>3.1296340937567413</v>
      </c>
      <c r="F66" s="40">
        <f>IF(OR(2182440.05753="",63340.47389="",81008.6451=""),"-",(81008.6451-63340.47389)/2182440.05753*100)</f>
        <v>0.8095604343881103</v>
      </c>
      <c r="G66" s="40">
        <f>IF(OR(2578273.3802="",100884.80113="",81008.6451=""),"-",(100884.80113-81008.6451)/2578273.3802*100)</f>
        <v>0.7709095622923506</v>
      </c>
    </row>
    <row r="67" spans="1:7" s="11" customFormat="1" ht="25.5">
      <c r="A67" s="26" t="s">
        <v>71</v>
      </c>
      <c r="B67" s="40">
        <f>IF(29838.38649="","-",29838.38649)</f>
        <v>29838.38649</v>
      </c>
      <c r="C67" s="40">
        <f>IF(OR(21495.98719="",29838.38649=""),"-",29838.38649/21495.98719*100)</f>
        <v>138.80910063009765</v>
      </c>
      <c r="D67" s="40">
        <f>IF(21495.98719="","-",21495.98719/2578273.3802*100)</f>
        <v>0.8337357611136073</v>
      </c>
      <c r="E67" s="40">
        <f>IF(29838.38649="","-",29838.38649/3223533.4262*100)</f>
        <v>0.9256422237623392</v>
      </c>
      <c r="F67" s="40">
        <f>IF(OR(2182440.05753="",17501.60543="",21495.98719=""),"-",(21495.98719-17501.60543)/2182440.05753*100)</f>
        <v>0.18302366409644646</v>
      </c>
      <c r="G67" s="40">
        <f>IF(OR(2578273.3802="",29838.38649="",21495.98719=""),"-",(29838.38649-21495.98719)/2578273.3802*100)</f>
        <v>0.32356535051969043</v>
      </c>
    </row>
    <row r="68" spans="1:7" s="11" customFormat="1" ht="38.25">
      <c r="A68" s="26" t="s">
        <v>72</v>
      </c>
      <c r="B68" s="40">
        <f>IF(76640.72525="","-",76640.72525)</f>
        <v>76640.72525</v>
      </c>
      <c r="C68" s="40">
        <f>IF(OR(51765.83807="",76640.72525=""),"-",76640.72525/51765.83807*100)</f>
        <v>148.05270832544645</v>
      </c>
      <c r="D68" s="40">
        <f>IF(51765.83807="","-",51765.83807/2578273.3802*100)</f>
        <v>2.007771498070715</v>
      </c>
      <c r="E68" s="40">
        <f>IF(76640.72525="","-",76640.72525/3223533.4262*100)</f>
        <v>2.377537785930343</v>
      </c>
      <c r="F68" s="40">
        <f>IF(OR(2182440.05753="",35301.79263="",51765.83807=""),"-",(51765.83807-35301.79263)/2182440.05753*100)</f>
        <v>0.7543870624622495</v>
      </c>
      <c r="G68" s="40">
        <f>IF(OR(2578273.3802="",76640.72525="",51765.83807=""),"-",(76640.72525-51765.83807)/2578273.3802*100)</f>
        <v>0.9647885818093669</v>
      </c>
    </row>
    <row r="69" spans="1:7" s="11" customFormat="1" ht="51">
      <c r="A69" s="26" t="s">
        <v>73</v>
      </c>
      <c r="B69" s="40">
        <f>IF(240310.05203="","-",240310.05203)</f>
        <v>240310.05203</v>
      </c>
      <c r="C69" s="40">
        <f>IF(OR(163794.13687="",240310.05203=""),"-",240310.05203/163794.13687*100)</f>
        <v>146.7146850443915</v>
      </c>
      <c r="D69" s="40">
        <f>IF(163794.13687="","-",163794.13687/2578273.3802*100)</f>
        <v>6.352861497460531</v>
      </c>
      <c r="E69" s="40">
        <f>IF(240310.05203="","-",240310.05203/3223533.4262*100)</f>
        <v>7.454864592897516</v>
      </c>
      <c r="F69" s="40">
        <f>IF(OR(2182440.05753="",140385.73975="",163794.13687=""),"-",(163794.13687-140385.73975)/2182440.05753*100)</f>
        <v>1.0725791546592434</v>
      </c>
      <c r="G69" s="40">
        <f>IF(OR(2578273.3802="",240310.05203="",163794.13687=""),"-",(240310.05203-163794.13687)/2578273.3802*100)</f>
        <v>2.9677192398451</v>
      </c>
    </row>
    <row r="70" spans="1:7" s="11" customFormat="1" ht="25.5">
      <c r="A70" s="26" t="s">
        <v>74</v>
      </c>
      <c r="B70" s="40">
        <f>IF(171382.98097="","-",171382.98097)</f>
        <v>171382.98097</v>
      </c>
      <c r="C70" s="40">
        <f>IF(OR(133385.09214="",171382.98097=""),"-",171382.98097/133385.09214*100)</f>
        <v>128.48735808505324</v>
      </c>
      <c r="D70" s="40">
        <f>IF(133385.09214="","-",133385.09214/2578273.3802*100)</f>
        <v>5.173427037037211</v>
      </c>
      <c r="E70" s="40">
        <f>IF(171382.98097="","-",171382.98097/3223533.4262*100)</f>
        <v>5.316618700989601</v>
      </c>
      <c r="F70" s="40">
        <f>IF(OR(2182440.05753="",115474.99664="",133385.09214=""),"-",(133385.09214-115474.99664)/2182440.05753*100)</f>
        <v>0.8206454714852485</v>
      </c>
      <c r="G70" s="40">
        <f>IF(OR(2578273.3802="",171382.98097="",133385.09214=""),"-",(171382.98097-133385.09214)/2578273.3802*100)</f>
        <v>1.4737726853097504</v>
      </c>
    </row>
    <row r="71" spans="1:7" s="11" customFormat="1" ht="15.75">
      <c r="A71" s="26" t="s">
        <v>75</v>
      </c>
      <c r="B71" s="40">
        <f>IF(1664.36932="","-",1664.36932)</f>
        <v>1664.36932</v>
      </c>
      <c r="C71" s="40">
        <f>IF(OR(1212.18162="",1664.36932=""),"-",1664.36932/1212.18162*100)</f>
        <v>137.3036261678345</v>
      </c>
      <c r="D71" s="40">
        <f>IF(1212.18162="","-",1212.18162/2578273.3802*100)</f>
        <v>0.04701524785187712</v>
      </c>
      <c r="E71" s="40">
        <f>IF(1664.36932="","-",1664.36932/3223533.4262*100)</f>
        <v>0.05163183066359606</v>
      </c>
      <c r="F71" s="40">
        <f>IF(OR(2182440.05753="",457.5587="",1212.18162=""),"-",(1212.18162-457.5587)/2182440.05753*100)</f>
        <v>0.034577028468495606</v>
      </c>
      <c r="G71" s="40">
        <f>IF(OR(2578273.3802="",1664.36932="",1212.18162=""),"-",(1664.36932-1212.18162)/2578273.3802*100)</f>
        <v>0.01753839230054507</v>
      </c>
    </row>
    <row r="72" spans="1:7" s="11" customFormat="1" ht="15.75">
      <c r="A72" s="74" t="s">
        <v>76</v>
      </c>
      <c r="B72" s="37">
        <f>IF(323277.69179="","-",323277.69179)</f>
        <v>323277.69179</v>
      </c>
      <c r="C72" s="37">
        <f>IF(274580.91296="","-",323277.69179/274580.91296*100)</f>
        <v>117.73494679766543</v>
      </c>
      <c r="D72" s="37">
        <f>IF(274580.91296="","-",274580.91296/2578273.3802*100)</f>
        <v>10.649798235852725</v>
      </c>
      <c r="E72" s="37">
        <f>IF(323277.69179="","-",323277.69179/3223533.4262*100)</f>
        <v>10.028675029782137</v>
      </c>
      <c r="F72" s="37">
        <f>IF(2182440.05753="","-",(274580.91296-206734.63322)/2182440.05753*100)</f>
        <v>3.1087350832803975</v>
      </c>
      <c r="G72" s="37">
        <f>IF(2578273.3802="","-",(323277.69179-274580.91296)/2578273.3802*100)</f>
        <v>1.8887360511871922</v>
      </c>
    </row>
    <row r="73" spans="1:7" s="11" customFormat="1" ht="38.25">
      <c r="A73" s="26" t="s">
        <v>258</v>
      </c>
      <c r="B73" s="40">
        <f>IF(22162.76109="","-",22162.76109)</f>
        <v>22162.76109</v>
      </c>
      <c r="C73" s="40">
        <f>IF(OR(19201.20328="",22162.76109=""),"-",22162.76109/19201.20328*100)</f>
        <v>115.42381363716284</v>
      </c>
      <c r="D73" s="40">
        <f>IF(19201.20328="","-",19201.20328/2578273.3802*100)</f>
        <v>0.7447310835017247</v>
      </c>
      <c r="E73" s="40">
        <f>IF(22162.76109="","-",22162.76109/3223533.4262*100)</f>
        <v>0.687530053507965</v>
      </c>
      <c r="F73" s="40">
        <f>IF(OR(2182440.05753="",15929.25512="",19201.20328=""),"-",(19201.20328-15929.25512)/2182440.05753*100)</f>
        <v>0.14992155906921287</v>
      </c>
      <c r="G73" s="40">
        <f>IF(OR(2578273.3802="",22162.76109="",19201.20328=""),"-",(22162.76109-19201.20328)/2578273.3802*100)</f>
        <v>0.11486593441732958</v>
      </c>
    </row>
    <row r="74" spans="1:7" s="11" customFormat="1" ht="15.75">
      <c r="A74" s="26" t="s">
        <v>77</v>
      </c>
      <c r="B74" s="40">
        <f>IF(29467.35963="","-",29467.35963)</f>
        <v>29467.35963</v>
      </c>
      <c r="C74" s="40">
        <f>IF(OR(25586.80415="",29467.35963=""),"-",29467.35963/25586.80415*100)</f>
        <v>115.16623747635946</v>
      </c>
      <c r="D74" s="40">
        <f>IF(25586.80415="","-",25586.80415/2578273.3802*100)</f>
        <v>0.9924007417714252</v>
      </c>
      <c r="E74" s="40">
        <f>IF(29467.35963="","-",29467.35963/3223533.4262*100)</f>
        <v>0.9141322807605262</v>
      </c>
      <c r="F74" s="40">
        <f>IF(OR(2182440.05753="",21768.35394="",25586.80415=""),"-",(25586.80415-21768.35394)/2182440.05753*100)</f>
        <v>0.17496243238504205</v>
      </c>
      <c r="G74" s="40">
        <f>IF(OR(2578273.3802="",29467.35963="",25586.80415=""),"-",(29467.35963-25586.80415)/2578273.3802*100)</f>
        <v>0.15050985321420723</v>
      </c>
    </row>
    <row r="75" spans="1:7" s="11" customFormat="1" ht="15.75">
      <c r="A75" s="26" t="s">
        <v>78</v>
      </c>
      <c r="B75" s="40">
        <f>IF(4796.08546="","-",4796.08546)</f>
        <v>4796.08546</v>
      </c>
      <c r="C75" s="40">
        <f>IF(OR(9744.04968="",4796.08546=""),"-",4796.08546/9744.04968*100)</f>
        <v>49.22065894064694</v>
      </c>
      <c r="D75" s="40">
        <f>IF(9744.04968="","-",9744.04968/2578273.3802*100)</f>
        <v>0.377929266726717</v>
      </c>
      <c r="E75" s="40">
        <f>IF(4796.08546="","-",4796.08546/3223533.4262*100)</f>
        <v>0.14878348774108333</v>
      </c>
      <c r="F75" s="40">
        <f>IF(OR(2182440.05753="",2664.81854="",9744.04968=""),"-",(9744.04968-2664.81854)/2182440.05753*100)</f>
        <v>0.3243723059231233</v>
      </c>
      <c r="G75" s="40">
        <f>IF(OR(2578273.3802="",4796.08546="",9744.04968=""),"-",(4796.08546-9744.04968)/2578273.3802*100)</f>
        <v>-0.19190999131427172</v>
      </c>
    </row>
    <row r="76" spans="1:7" s="11" customFormat="1" ht="15.75">
      <c r="A76" s="26" t="s">
        <v>79</v>
      </c>
      <c r="B76" s="40">
        <f>IF(81303.41286="","-",81303.41286)</f>
        <v>81303.41286</v>
      </c>
      <c r="C76" s="40">
        <f>IF(OR(69504.13145="",81303.41286=""),"-",81303.41286/69504.13145*100)</f>
        <v>116.97637415768325</v>
      </c>
      <c r="D76" s="40">
        <f>IF(69504.13145="","-",69504.13145/2578273.3802*100)</f>
        <v>2.695762675275671</v>
      </c>
      <c r="E76" s="40">
        <f>IF(81303.41286="","-",81303.41286/3223533.4262*100)</f>
        <v>2.5221830243542085</v>
      </c>
      <c r="F76" s="40">
        <f>IF(OR(2182440.05753="",53513.11103="",69504.13145=""),"-",(69504.13145-53513.11103)/2182440.05753*100)</f>
        <v>0.7327129267457642</v>
      </c>
      <c r="G76" s="40">
        <f>IF(OR(2578273.3802="",81303.41286="",69504.13145=""),"-",(81303.41286-69504.13145)/2578273.3802*100)</f>
        <v>0.4576427581579697</v>
      </c>
    </row>
    <row r="77" spans="1:7" s="11" customFormat="1" ht="15.75">
      <c r="A77" s="26" t="s">
        <v>80</v>
      </c>
      <c r="B77" s="40">
        <f>IF(23691.15238="","-",23691.15238)</f>
        <v>23691.15238</v>
      </c>
      <c r="C77" s="40">
        <f>IF(OR(22486.3236299999="",23691.15238=""),"-",23691.15238/22486.3236299999*100)</f>
        <v>105.35805127518796</v>
      </c>
      <c r="D77" s="40">
        <f>IF(22486.3236299999="","-",22486.3236299999/2578273.3802*100)</f>
        <v>0.8721466002280801</v>
      </c>
      <c r="E77" s="40">
        <f>IF(23691.15238="","-",23691.15238/3223533.4262*100)</f>
        <v>0.7349435928737322</v>
      </c>
      <c r="F77" s="40">
        <f>IF(OR(2182440.05753="",12613.92262="",22486.3236299999=""),"-",(22486.3236299999-12613.92262)/2182440.05753*100)</f>
        <v>0.45235611287180544</v>
      </c>
      <c r="G77" s="40">
        <f>IF(OR(2578273.3802="",23691.15238="",22486.3236299999=""),"-",(23691.15238-22486.3236299999)/2578273.3802*100)</f>
        <v>0.04673006203502899</v>
      </c>
    </row>
    <row r="78" spans="1:7" ht="25.5">
      <c r="A78" s="26" t="s">
        <v>81</v>
      </c>
      <c r="B78" s="40">
        <f>IF(32101.31309="","-",32101.31309)</f>
        <v>32101.31309</v>
      </c>
      <c r="C78" s="40">
        <f>IF(OR(25357.09568="",32101.31309=""),"-",32101.31309/25357.09568*100)</f>
        <v>126.59696321341482</v>
      </c>
      <c r="D78" s="40">
        <f>IF(25357.09568="","-",25357.09568/2578273.3802*100)</f>
        <v>0.9834913502474674</v>
      </c>
      <c r="E78" s="40">
        <f>IF(32101.31309="","-",32101.31309/3223533.4262*100)</f>
        <v>0.9958424140754765</v>
      </c>
      <c r="F78" s="40">
        <f>IF(OR(2182440.05753="",20193.13079="",25357.09568=""),"-",(25357.09568-20193.13079)/2182440.05753*100)</f>
        <v>0.23661428281537192</v>
      </c>
      <c r="G78" s="40">
        <f>IF(OR(2578273.3802="",32101.31309="",25357.09568=""),"-",(32101.31309-25357.09568)/2578273.3802*100)</f>
        <v>0.26157883263243575</v>
      </c>
    </row>
    <row r="79" spans="1:7" ht="25.5">
      <c r="A79" s="26" t="s">
        <v>82</v>
      </c>
      <c r="B79" s="40">
        <f>IF(7346.74227="","-",7346.74227)</f>
        <v>7346.74227</v>
      </c>
      <c r="C79" s="40">
        <f>IF(OR(5619.74374="",7346.74227=""),"-",7346.74227/5619.74374*100)</f>
        <v>130.7309124739556</v>
      </c>
      <c r="D79" s="40">
        <f>IF(5619.74374="","-",5619.74374/2578273.3802*100)</f>
        <v>0.21796539432773682</v>
      </c>
      <c r="E79" s="40">
        <f>IF(7346.74227="","-",7346.74227/3223533.4262*100)</f>
        <v>0.22790960410981576</v>
      </c>
      <c r="F79" s="40">
        <f>IF(OR(2182440.05753="",3975.71657="",5619.74374=""),"-",(5619.74374-3975.71657)/2182440.05753*100)</f>
        <v>0.07532977431969634</v>
      </c>
      <c r="G79" s="40">
        <f>IF(OR(2578273.3802="",7346.74227="",5619.74374=""),"-",(7346.74227-5619.74374)/2578273.3802*100)</f>
        <v>0.06698275455436903</v>
      </c>
    </row>
    <row r="80" spans="1:7" s="1" customFormat="1" ht="15.75">
      <c r="A80" s="26" t="s">
        <v>83</v>
      </c>
      <c r="B80" s="40">
        <f>IF(122408.86501="","-",122408.86501)</f>
        <v>122408.86501</v>
      </c>
      <c r="C80" s="40">
        <f>IF(OR(97081.56135="",122408.86501=""),"-",122408.86501/97081.56135*100)</f>
        <v>126.08868595416342</v>
      </c>
      <c r="D80" s="40">
        <f>IF(97081.56135="","-",97081.56135/2578273.3802*100)</f>
        <v>3.7653711237738983</v>
      </c>
      <c r="E80" s="40">
        <f>IF(122408.86501="","-",122408.86501/3223533.4262*100)</f>
        <v>3.7973505723593286</v>
      </c>
      <c r="F80" s="40">
        <f>IF(OR(2182440.05753="",76076.32461="",97081.56135=""),"-",(97081.56135-76076.32461)/2182440.05753*100)</f>
        <v>0.9624656891503774</v>
      </c>
      <c r="G80" s="40">
        <f>IF(OR(2578273.3802="",122408.86501="",97081.56135=""),"-",(122408.86501-97081.56135)/2578273.3802*100)</f>
        <v>0.9823358474901261</v>
      </c>
    </row>
    <row r="81" spans="1:7" s="1" customFormat="1" ht="25.5">
      <c r="A81" s="52" t="s">
        <v>224</v>
      </c>
      <c r="B81" s="53">
        <f>IF(296.4733="","-",296.4733)</f>
        <v>296.4733</v>
      </c>
      <c r="C81" s="53">
        <f>IF(600.1438="","-",296.4733/600.1438*100)</f>
        <v>49.4003770429687</v>
      </c>
      <c r="D81" s="53">
        <f>IF(600.1438="","-",600.1438/2578273.3802*100)</f>
        <v>0.023276965298127002</v>
      </c>
      <c r="E81" s="53">
        <f>IF(296.4733="","-",296.4733/3223533.4262*100)</f>
        <v>0.009197152962347029</v>
      </c>
      <c r="F81" s="53">
        <f>IF(2182440.05753="","-",(600.1438-3357.89555)/2182440.05753*100)</f>
        <v>-0.12636093900884113</v>
      </c>
      <c r="G81" s="53">
        <f>IF(2578273.3802="","-",(296.4733-600.1438)/2578273.3802*100)</f>
        <v>-0.011778056676691281</v>
      </c>
    </row>
    <row r="82" spans="1:7" s="1" customFormat="1" ht="15.75">
      <c r="A82" s="51" t="s">
        <v>20</v>
      </c>
      <c r="B82" s="50"/>
      <c r="C82" s="50"/>
      <c r="D82" s="50"/>
      <c r="E82" s="50"/>
      <c r="F82" s="50"/>
      <c r="G82" s="50"/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85"/>
  <sheetViews>
    <sheetView zoomScalePageLayoutView="0" workbookViewId="0" topLeftCell="A1">
      <selection activeCell="G25" sqref="G25"/>
    </sheetView>
  </sheetViews>
  <sheetFormatPr defaultColWidth="9.00390625" defaultRowHeight="15.75"/>
  <cols>
    <col min="1" max="1" width="43.375" style="0" customWidth="1"/>
    <col min="2" max="2" width="13.625" style="0" customWidth="1"/>
    <col min="3" max="3" width="13.25390625" style="0" customWidth="1"/>
    <col min="4" max="4" width="15.50390625" style="0" customWidth="1"/>
    <col min="5" max="5" width="10.375" style="0" customWidth="1"/>
    <col min="6" max="6" width="12.125" style="0" bestFit="1" customWidth="1"/>
  </cols>
  <sheetData>
    <row r="1" spans="1:4" ht="15.75">
      <c r="A1" s="103" t="s">
        <v>212</v>
      </c>
      <c r="B1" s="103"/>
      <c r="C1" s="103"/>
      <c r="D1" s="103"/>
    </row>
    <row r="2" spans="1:4" ht="15.75">
      <c r="A2" s="103" t="s">
        <v>23</v>
      </c>
      <c r="B2" s="103"/>
      <c r="C2" s="103"/>
      <c r="D2" s="103"/>
    </row>
    <row r="3" ht="15.75">
      <c r="A3" s="5"/>
    </row>
    <row r="4" spans="1:7" ht="21.75" customHeight="1">
      <c r="A4" s="104"/>
      <c r="B4" s="108" t="s">
        <v>272</v>
      </c>
      <c r="C4" s="109"/>
      <c r="D4" s="106" t="s">
        <v>274</v>
      </c>
      <c r="E4" s="1"/>
      <c r="F4" s="1"/>
      <c r="G4" s="1"/>
    </row>
    <row r="5" spans="1:7" ht="20.25" customHeight="1">
      <c r="A5" s="105"/>
      <c r="B5" s="30">
        <v>2017</v>
      </c>
      <c r="C5" s="29">
        <v>2018</v>
      </c>
      <c r="D5" s="107"/>
      <c r="E5" s="1"/>
      <c r="F5" s="1"/>
      <c r="G5" s="1"/>
    </row>
    <row r="6" spans="1:7" ht="16.5" customHeight="1">
      <c r="A6" s="63" t="s">
        <v>260</v>
      </c>
      <c r="B6" s="60">
        <f>IF(-1358482.34346="","-",-1358482.34346)</f>
        <v>-1358482.34346</v>
      </c>
      <c r="C6" s="60">
        <f>IF(-1689472.41765="","-",-1689472.41765)</f>
        <v>-1689472.41765</v>
      </c>
      <c r="D6" s="78">
        <f>IF(-1358482.34346="","-",-1689472.41765/-1358482.34346*100)</f>
        <v>124.36469460081325</v>
      </c>
      <c r="E6" s="39"/>
      <c r="F6" s="39"/>
      <c r="G6" s="39"/>
    </row>
    <row r="7" spans="1:4" ht="15.75">
      <c r="A7" s="7" t="s">
        <v>21</v>
      </c>
      <c r="B7" s="77"/>
      <c r="C7" s="77"/>
      <c r="D7" s="77"/>
    </row>
    <row r="8" spans="1:4" ht="15.75">
      <c r="A8" s="61" t="s">
        <v>24</v>
      </c>
      <c r="B8" s="37">
        <f>IF(-32943.72823="","-",-32943.72823)</f>
        <v>-32943.72823</v>
      </c>
      <c r="C8" s="37">
        <f>IF(8167.81297="","-",8167.81297)</f>
        <v>8167.81297</v>
      </c>
      <c r="D8" s="37" t="s">
        <v>22</v>
      </c>
    </row>
    <row r="9" spans="1:4" ht="15.75">
      <c r="A9" s="62" t="s">
        <v>25</v>
      </c>
      <c r="B9" s="40">
        <f>IF(OR(-92.64179="",-92.64179=0),"-",-92.64179)</f>
        <v>-92.64179</v>
      </c>
      <c r="C9" s="40">
        <f>IF(OR(5560.23593="",5560.23593=0),"-",5560.23593)</f>
        <v>5560.23593</v>
      </c>
      <c r="D9" s="40" t="s">
        <v>22</v>
      </c>
    </row>
    <row r="10" spans="1:4" ht="15.75">
      <c r="A10" s="62" t="s">
        <v>26</v>
      </c>
      <c r="B10" s="40">
        <f>IF(OR(-12409.50044="",-12409.50044=0),"-",-12409.50044)</f>
        <v>-12409.50044</v>
      </c>
      <c r="C10" s="40">
        <f>IF(OR(-19998.91542="",-19998.91542=0),"-",-19998.91542)</f>
        <v>-19998.91542</v>
      </c>
      <c r="D10" s="40" t="s">
        <v>225</v>
      </c>
    </row>
    <row r="11" spans="1:4" ht="15.75">
      <c r="A11" s="62" t="s">
        <v>27</v>
      </c>
      <c r="B11" s="40">
        <f>IF(OR(-14959.99117="",-14959.99117=0),"-",-14959.99117)</f>
        <v>-14959.99117</v>
      </c>
      <c r="C11" s="40">
        <f>IF(OR(-19568.33099="",-19568.33099=0),"-",-19568.33099)</f>
        <v>-19568.33099</v>
      </c>
      <c r="D11" s="40">
        <f>IF(OR(-14959.99117="",-19568.33099="",-14959.99117=0,-19568.33099=0),"-",-19568.33099/-14959.99117*100)</f>
        <v>130.80442874352312</v>
      </c>
    </row>
    <row r="12" spans="1:4" ht="15.75">
      <c r="A12" s="62" t="s">
        <v>28</v>
      </c>
      <c r="B12" s="40">
        <f>IF(OR(-23136.3168="",-23136.3168=0),"-",-23136.3168)</f>
        <v>-23136.3168</v>
      </c>
      <c r="C12" s="40">
        <f>IF(OR(-27273.63577="",-27273.63577=0),"-",-27273.63577)</f>
        <v>-27273.63577</v>
      </c>
      <c r="D12" s="40">
        <f>IF(OR(-23136.3168="",-27273.63577="",-23136.3168=0,-27273.63577=0),"-",-27273.63577/-23136.3168*100)</f>
        <v>117.88235787815631</v>
      </c>
    </row>
    <row r="13" spans="1:4" ht="15.75">
      <c r="A13" s="62" t="s">
        <v>29</v>
      </c>
      <c r="B13" s="40">
        <f>IF(OR(39019.47878="",39019.47878=0),"-",39019.47878)</f>
        <v>39019.47878</v>
      </c>
      <c r="C13" s="40">
        <f>IF(OR(71309.76792="",71309.76792=0),"-",71309.76792)</f>
        <v>71309.76792</v>
      </c>
      <c r="D13" s="40" t="s">
        <v>160</v>
      </c>
    </row>
    <row r="14" spans="1:4" ht="15.75">
      <c r="A14" s="62" t="s">
        <v>30</v>
      </c>
      <c r="B14" s="40">
        <f>IF(OR(41955.02561="",41955.02561=0),"-",41955.02561)</f>
        <v>41955.02561</v>
      </c>
      <c r="C14" s="40">
        <f>IF(OR(60414.9402="",60414.9402=0),"-",60414.9402)</f>
        <v>60414.9402</v>
      </c>
      <c r="D14" s="40">
        <f>IF(OR(41955.02561="",60414.9402="",41955.02561=0,60414.9402=0),"-",60414.9402/41955.02561*100)</f>
        <v>143.99929286564438</v>
      </c>
    </row>
    <row r="15" spans="1:4" ht="15.75">
      <c r="A15" s="62" t="s">
        <v>31</v>
      </c>
      <c r="B15" s="40">
        <f>IF(OR(2183.57237="",2183.57237=0),"-",2183.57237)</f>
        <v>2183.57237</v>
      </c>
      <c r="C15" s="40">
        <f>IF(OR(5999.65498="",5999.65498=0),"-",5999.65498)</f>
        <v>5999.65498</v>
      </c>
      <c r="D15" s="40" t="s">
        <v>201</v>
      </c>
    </row>
    <row r="16" spans="1:4" ht="15.75">
      <c r="A16" s="62" t="s">
        <v>32</v>
      </c>
      <c r="B16" s="40">
        <f>IF(OR(-19259.61441="",-19259.61441=0),"-",-19259.61441)</f>
        <v>-19259.61441</v>
      </c>
      <c r="C16" s="40">
        <f>IF(OR(-21683.79554="",-21683.79554=0),"-",-21683.79554)</f>
        <v>-21683.79554</v>
      </c>
      <c r="D16" s="40">
        <f>IF(OR(-19259.61441="",-21683.79554="",-19259.61441=0,-21683.79554=0),"-",-21683.79554/-19259.61441*100)</f>
        <v>112.58686222057133</v>
      </c>
    </row>
    <row r="17" spans="1:4" ht="15.75">
      <c r="A17" s="62" t="s">
        <v>33</v>
      </c>
      <c r="B17" s="40">
        <f>IF(OR(-10830.63271="",-10830.63271=0),"-",-10830.63271)</f>
        <v>-10830.63271</v>
      </c>
      <c r="C17" s="40">
        <f>IF(OR(-9692.72006="",-9692.72006=0),"-",-9692.72006)</f>
        <v>-9692.72006</v>
      </c>
      <c r="D17" s="40">
        <f>IF(OR(-10830.63271="",-9692.72006="",-10830.63271=0,-9692.72006=0),"-",-9692.72006/-10830.63271*100)</f>
        <v>89.4935717933694</v>
      </c>
    </row>
    <row r="18" spans="1:4" ht="15.75">
      <c r="A18" s="62" t="s">
        <v>34</v>
      </c>
      <c r="B18" s="40">
        <f>IF(OR(-35413.10767="",-35413.10767=0),"-",-35413.10767)</f>
        <v>-35413.10767</v>
      </c>
      <c r="C18" s="40">
        <f>IF(OR(-36899.38828="",-36899.38828=0),"-",-36899.38828)</f>
        <v>-36899.38828</v>
      </c>
      <c r="D18" s="40">
        <f>IF(OR(-35413.10767="",-36899.38828="",-35413.10767=0,-36899.38828=0),"-",-36899.38828/-35413.10767*100)</f>
        <v>104.19697876800318</v>
      </c>
    </row>
    <row r="19" spans="1:4" ht="15.75">
      <c r="A19" s="61" t="s">
        <v>35</v>
      </c>
      <c r="B19" s="37">
        <f>IF(42531.89927="","-",42531.89927)</f>
        <v>42531.89927</v>
      </c>
      <c r="C19" s="37">
        <f>IF(63442.6785="","-",63442.6785)</f>
        <v>63442.6785</v>
      </c>
      <c r="D19" s="37">
        <f>IF(42531.89927="","-",63442.6785/42531.89927*100)</f>
        <v>149.16493170750425</v>
      </c>
    </row>
    <row r="20" spans="1:4" ht="15.75">
      <c r="A20" s="62" t="s">
        <v>252</v>
      </c>
      <c r="B20" s="40">
        <f>IF(OR(63801.31673="",63801.31673=0),"-",63801.31673)</f>
        <v>63801.31673</v>
      </c>
      <c r="C20" s="40">
        <f>IF(OR(76930.2282="",76930.2282=0),"-",76930.2282)</f>
        <v>76930.2282</v>
      </c>
      <c r="D20" s="40">
        <f>IF(OR(63801.31673="",76930.2282="",63801.31673=0,76930.2282=0),"-",76930.2282/63801.31673*100)</f>
        <v>120.57780645117415</v>
      </c>
    </row>
    <row r="21" spans="1:4" ht="15.75">
      <c r="A21" s="62" t="s">
        <v>36</v>
      </c>
      <c r="B21" s="40">
        <f>IF(OR(-21269.41746="",-21269.41746=0),"-",-21269.41746)</f>
        <v>-21269.41746</v>
      </c>
      <c r="C21" s="40">
        <f>IF(OR(-13487.5497="",-13487.5497=0),"-",-13487.5497)</f>
        <v>-13487.5497</v>
      </c>
      <c r="D21" s="40">
        <f>IF(OR(-21269.41746="",-13487.5497="",-21269.41746=0,-13487.5497=0),"-",-13487.5497/-21269.41746*100)</f>
        <v>63.41287778739192</v>
      </c>
    </row>
    <row r="22" spans="1:4" ht="15.75">
      <c r="A22" s="61" t="s">
        <v>37</v>
      </c>
      <c r="B22" s="37">
        <f>IF(78140.11762="","-",78140.11762)</f>
        <v>78140.11762</v>
      </c>
      <c r="C22" s="37">
        <f>IF(69788.60172="","-",69788.60172)</f>
        <v>69788.60172</v>
      </c>
      <c r="D22" s="37">
        <f>IF(78140.11762="","-",69788.60172/78140.11762*100)</f>
        <v>89.31212781043675</v>
      </c>
    </row>
    <row r="23" spans="1:4" ht="15.75">
      <c r="A23" s="62" t="s">
        <v>38</v>
      </c>
      <c r="B23" s="40">
        <f>IF(OR(2398.56066="",2398.56066=0),"-",2398.56066)</f>
        <v>2398.56066</v>
      </c>
      <c r="C23" s="40">
        <f>IF(OR(1979.33246="",1979.33246=0),"-",1979.33246)</f>
        <v>1979.33246</v>
      </c>
      <c r="D23" s="40">
        <f>IF(OR(2398.56066="",1979.33246="",2398.56066=0,1979.33246=0),"-",1979.33246/2398.56066*100)</f>
        <v>82.52167614555972</v>
      </c>
    </row>
    <row r="24" spans="1:4" ht="15.75">
      <c r="A24" s="62" t="s">
        <v>39</v>
      </c>
      <c r="B24" s="40">
        <f>IF(OR(103103.94456="",103103.94456=0),"-",103103.94456)</f>
        <v>103103.94456</v>
      </c>
      <c r="C24" s="40">
        <f>IF(OR(101935.77397="",101935.77397=0),"-",101935.77397)</f>
        <v>101935.77397</v>
      </c>
      <c r="D24" s="40">
        <f>IF(OR(103103.94456="",101935.77397="",103103.94456=0,101935.77397=0),"-",101935.77397/103103.94456*100)</f>
        <v>98.86699718911316</v>
      </c>
    </row>
    <row r="25" spans="1:4" ht="15.75">
      <c r="A25" s="62" t="s">
        <v>40</v>
      </c>
      <c r="B25" s="40">
        <f>IF(OR(-353.4828="",-353.4828=0),"-",-353.4828)</f>
        <v>-353.4828</v>
      </c>
      <c r="C25" s="40">
        <f>IF(OR(-465.35054="",-465.35054=0),"-",-465.35054)</f>
        <v>-465.35054</v>
      </c>
      <c r="D25" s="40">
        <f>IF(OR(-353.4828="",-465.35054="",-353.4828=0,-465.35054=0),"-",-465.35054/-353.4828*100)</f>
        <v>131.64729372970908</v>
      </c>
    </row>
    <row r="26" spans="1:4" ht="15.75">
      <c r="A26" s="62" t="s">
        <v>41</v>
      </c>
      <c r="B26" s="40">
        <f>IF(OR(-16890.82054="",-16890.82054=0),"-",-16890.82054)</f>
        <v>-16890.82054</v>
      </c>
      <c r="C26" s="40">
        <f>IF(OR(-17921.89304="",-17921.89304=0),"-",-17921.89304)</f>
        <v>-17921.89304</v>
      </c>
      <c r="D26" s="40">
        <f>IF(OR(-16890.82054="",-17921.89304="",-16890.82054=0,-17921.89304=0),"-",-17921.89304/-16890.82054*100)</f>
        <v>106.10433636162473</v>
      </c>
    </row>
    <row r="27" spans="1:4" ht="15.75">
      <c r="A27" s="62" t="s">
        <v>253</v>
      </c>
      <c r="B27" s="40">
        <f>IF(OR(1276.44855="",1276.44855=0),"-",1276.44855)</f>
        <v>1276.44855</v>
      </c>
      <c r="C27" s="40">
        <f>IF(OR(1607.99094="",1607.99094=0),"-",1607.99094)</f>
        <v>1607.99094</v>
      </c>
      <c r="D27" s="40">
        <f>IF(OR(1276.44855="",1607.99094="",1276.44855=0,1607.99094=0),"-",1607.99094/1276.44855*100)</f>
        <v>125.97381539584967</v>
      </c>
    </row>
    <row r="28" spans="1:4" ht="25.5">
      <c r="A28" s="62" t="s">
        <v>304</v>
      </c>
      <c r="B28" s="40">
        <f>IF(OR(-4512.07589="",-4512.07589=0),"-",-4512.07589)</f>
        <v>-4512.07589</v>
      </c>
      <c r="C28" s="40">
        <f>IF(OR(-4597.70584="",-4597.70584=0),"-",-4597.70584)</f>
        <v>-4597.70584</v>
      </c>
      <c r="D28" s="40">
        <f>IF(OR(-4512.07589="",-4597.70584="",-4512.07589=0,-4597.70584=0),"-",-4597.70584/-4512.07589*100)</f>
        <v>101.89779498589063</v>
      </c>
    </row>
    <row r="29" spans="1:4" ht="25.5">
      <c r="A29" s="62" t="s">
        <v>42</v>
      </c>
      <c r="B29" s="40">
        <f>IF(OR(728.39755="",728.39755=0),"-",728.39755)</f>
        <v>728.39755</v>
      </c>
      <c r="C29" s="40">
        <f>IF(OR(-1290.61156="",-1290.61156=0),"-",-1290.61156)</f>
        <v>-1290.61156</v>
      </c>
      <c r="D29" s="40" t="s">
        <v>22</v>
      </c>
    </row>
    <row r="30" spans="1:4" ht="15.75">
      <c r="A30" s="62" t="s">
        <v>254</v>
      </c>
      <c r="B30" s="40">
        <f>IF(OR(8425.91907="",8425.91907=0),"-",8425.91907)</f>
        <v>8425.91907</v>
      </c>
      <c r="C30" s="40">
        <f>IF(OR(9791.82111="",9791.82111=0),"-",9791.82111)</f>
        <v>9791.82111</v>
      </c>
      <c r="D30" s="40">
        <f>IF(OR(8425.91907="",9791.82111="",8425.91907=0,9791.82111=0),"-",9791.82111/8425.91907*100)</f>
        <v>116.21071871985119</v>
      </c>
    </row>
    <row r="31" spans="1:4" ht="15.75">
      <c r="A31" s="62" t="s">
        <v>43</v>
      </c>
      <c r="B31" s="40">
        <f>IF(OR(-16036.77354="",-16036.77354=0),"-",-16036.77354)</f>
        <v>-16036.77354</v>
      </c>
      <c r="C31" s="40">
        <f>IF(OR(-21250.75578="",-21250.75578=0),"-",-21250.75578)</f>
        <v>-21250.75578</v>
      </c>
      <c r="D31" s="40">
        <f>IF(OR(-16036.77354="",-21250.75578="",-16036.77354=0,-21250.75578=0),"-",-21250.75578/-16036.77354*100)</f>
        <v>132.51266364144217</v>
      </c>
    </row>
    <row r="32" spans="1:4" ht="15.75">
      <c r="A32" s="61" t="s">
        <v>44</v>
      </c>
      <c r="B32" s="37">
        <f>IF(-392559.42821="","-",-392559.42821)</f>
        <v>-392559.42821</v>
      </c>
      <c r="C32" s="37">
        <f>IF(-506469.62233="","-",-506469.62233)</f>
        <v>-506469.62233</v>
      </c>
      <c r="D32" s="37">
        <f>IF(-392559.42821="","-",-506469.62233/-392559.42821*100)</f>
        <v>129.0173120129632</v>
      </c>
    </row>
    <row r="33" spans="1:4" ht="15.75">
      <c r="A33" s="62" t="s">
        <v>259</v>
      </c>
      <c r="B33" s="40">
        <f>IF(OR(-10815.59361="",-10815.59361=0),"-",-10815.59361)</f>
        <v>-10815.59361</v>
      </c>
      <c r="C33" s="40">
        <f>IF(OR(-7741.54255="",-7741.54255=0),"-",-7741.54255)</f>
        <v>-7741.54255</v>
      </c>
      <c r="D33" s="40">
        <f>IF(OR(-10815.59361="",-7741.54255="",-10815.59361=0,-7741.54255=0),"-",-7741.54255/-10815.59361*100)</f>
        <v>71.57760201753734</v>
      </c>
    </row>
    <row r="34" spans="1:4" ht="15.75">
      <c r="A34" s="62" t="s">
        <v>45</v>
      </c>
      <c r="B34" s="40">
        <f>IF(OR(-230975.65491="",-230975.65491=0),"-",-230975.65491)</f>
        <v>-230975.65491</v>
      </c>
      <c r="C34" s="40">
        <f>IF(OR(-322685.26767="",-322685.26767=0),"-",-322685.26767)</f>
        <v>-322685.26767</v>
      </c>
      <c r="D34" s="40">
        <f>IF(OR(-230975.65491="",-322685.26767="",-230975.65491=0,-322685.26767=0),"-",-322685.26767/-230975.65491*100)</f>
        <v>139.70531560814698</v>
      </c>
    </row>
    <row r="35" spans="1:4" ht="15.75">
      <c r="A35" s="62" t="s">
        <v>46</v>
      </c>
      <c r="B35" s="40">
        <f>IF(OR(-111357.31508="",-111357.31508=0),"-",-111357.31508)</f>
        <v>-111357.31508</v>
      </c>
      <c r="C35" s="40">
        <f>IF(OR(-147459.7869="",-147459.7869=0),"-",-147459.7869)</f>
        <v>-147459.7869</v>
      </c>
      <c r="D35" s="40">
        <f>IF(OR(-111357.31508="",-147459.7869="",-111357.31508=0,-147459.7869=0),"-",-147459.7869/-111357.31508*100)</f>
        <v>132.42038638778575</v>
      </c>
    </row>
    <row r="36" spans="1:4" ht="15.75">
      <c r="A36" s="62" t="s">
        <v>47</v>
      </c>
      <c r="B36" s="40">
        <f>IF(OR(-39410.86461="",-39410.86461=0),"-",-39410.86461)</f>
        <v>-39410.86461</v>
      </c>
      <c r="C36" s="40">
        <f>IF(OR(-28583.02521="",-28583.02521=0),"-",-28583.02521)</f>
        <v>-28583.02521</v>
      </c>
      <c r="D36" s="40">
        <f>IF(OR(-39410.86461="",-28583.02521="",-39410.86461=0,-28583.02521=0),"-",-28583.02521/-39410.86461*100)</f>
        <v>72.52575017790254</v>
      </c>
    </row>
    <row r="37" spans="1:4" ht="15.75">
      <c r="A37" s="61" t="s">
        <v>48</v>
      </c>
      <c r="B37" s="37">
        <f>IF(16533.86943="","-",16533.86943)</f>
        <v>16533.86943</v>
      </c>
      <c r="C37" s="37">
        <f>IF(42384.01967="","-",42384.01967)</f>
        <v>42384.01967</v>
      </c>
      <c r="D37" s="37" t="s">
        <v>155</v>
      </c>
    </row>
    <row r="38" spans="1:4" ht="15.75">
      <c r="A38" s="62" t="s">
        <v>49</v>
      </c>
      <c r="B38" s="40">
        <f>IF(OR(-586.01706="",-586.01706=0),"-",-586.01706)</f>
        <v>-586.01706</v>
      </c>
      <c r="C38" s="40">
        <f>IF(OR(-838.23935="",-838.23935=0),"-",-838.23935)</f>
        <v>-838.23935</v>
      </c>
      <c r="D38" s="40">
        <f>IF(OR(-586.01706="",-838.23935="",-586.01706=0,-838.23935=0),"-",-838.23935/-586.01706*100)</f>
        <v>143.0400934061544</v>
      </c>
    </row>
    <row r="39" spans="1:4" ht="15.75">
      <c r="A39" s="62" t="s">
        <v>50</v>
      </c>
      <c r="B39" s="40">
        <f>IF(OR(18413.08615="",18413.08615=0),"-",18413.08615)</f>
        <v>18413.08615</v>
      </c>
      <c r="C39" s="40">
        <f>IF(OR(44636.10801="",44636.10801=0),"-",44636.10801)</f>
        <v>44636.10801</v>
      </c>
      <c r="D39" s="40" t="s">
        <v>294</v>
      </c>
    </row>
    <row r="40" spans="1:4" ht="38.25">
      <c r="A40" s="62" t="s">
        <v>255</v>
      </c>
      <c r="B40" s="40">
        <f>IF(OR(-1293.19966="",-1293.19966=0),"-",-1293.19966)</f>
        <v>-1293.19966</v>
      </c>
      <c r="C40" s="40">
        <f>IF(OR(-1413.84899="",-1413.84899=0),"-",-1413.84899)</f>
        <v>-1413.84899</v>
      </c>
      <c r="D40" s="40">
        <f>IF(OR(-1293.19966="",-1413.84899="",-1293.19966=0,-1413.84899=0),"-",-1413.84899/-1293.19966*100)</f>
        <v>109.32952070216288</v>
      </c>
    </row>
    <row r="41" spans="1:4" ht="15" customHeight="1">
      <c r="A41" s="61" t="s">
        <v>51</v>
      </c>
      <c r="B41" s="37">
        <f>IF(-344733.68709="","-",-344733.68709)</f>
        <v>-344733.68709</v>
      </c>
      <c r="C41" s="37">
        <f>IF(-402372.41518="","-",-402372.41518)</f>
        <v>-402372.41518</v>
      </c>
      <c r="D41" s="37">
        <f>IF(-344733.68709="","-",-402372.41518/-344733.68709*100)</f>
        <v>116.71978406768008</v>
      </c>
    </row>
    <row r="42" spans="1:4" ht="15.75">
      <c r="A42" s="62" t="s">
        <v>52</v>
      </c>
      <c r="B42" s="40">
        <f>IF(OR(3256.71169="",3256.71169=0),"-",3256.71169)</f>
        <v>3256.71169</v>
      </c>
      <c r="C42" s="40">
        <f>IF(OR(2874.19149="",2874.19149=0),"-",2874.19149)</f>
        <v>2874.19149</v>
      </c>
      <c r="D42" s="40">
        <f>IF(OR(3256.71169="",2874.19149="",3256.71169=0,2874.19149=0),"-",2874.19149/3256.71169*100)</f>
        <v>88.25440393834802</v>
      </c>
    </row>
    <row r="43" spans="1:4" ht="15.75">
      <c r="A43" s="62" t="s">
        <v>53</v>
      </c>
      <c r="B43" s="40">
        <f>IF(OR(-5657.15971="",-5657.15971=0),"-",-5657.15971)</f>
        <v>-5657.15971</v>
      </c>
      <c r="C43" s="40">
        <f>IF(OR(-7881.74977="",-7881.74977=0),"-",-7881.74977)</f>
        <v>-7881.74977</v>
      </c>
      <c r="D43" s="40">
        <f>IF(OR(-5657.15971="",-7881.74977="",-5657.15971=0,-7881.74977=0),"-",-7881.74977/-5657.15971*100)</f>
        <v>139.3234445205366</v>
      </c>
    </row>
    <row r="44" spans="1:4" ht="15.75">
      <c r="A44" s="62" t="s">
        <v>54</v>
      </c>
      <c r="B44" s="40">
        <f>IF(OR(-16969.77222="",-16969.77222=0),"-",-16969.77222)</f>
        <v>-16969.77222</v>
      </c>
      <c r="C44" s="40">
        <f>IF(OR(-18641.16154="",-18641.16154=0),"-",-18641.16154)</f>
        <v>-18641.16154</v>
      </c>
      <c r="D44" s="40">
        <f>IF(OR(-16969.77222="",-18641.16154="",-16969.77222=0,-18641.16154=0),"-",-18641.16154/-16969.77222*100)</f>
        <v>109.84921481756933</v>
      </c>
    </row>
    <row r="45" spans="1:4" ht="15.75">
      <c r="A45" s="62" t="s">
        <v>55</v>
      </c>
      <c r="B45" s="40">
        <f>IF(OR(-89723.89061="",-89723.89061=0),"-",-89723.89061)</f>
        <v>-89723.89061</v>
      </c>
      <c r="C45" s="40">
        <f>IF(OR(-92590.47171="",-92590.47171=0),"-",-92590.47171)</f>
        <v>-92590.47171</v>
      </c>
      <c r="D45" s="40">
        <f>IF(OR(-89723.89061="",-92590.47171="",-89723.89061=0,-92590.47171=0),"-",-92590.47171/-89723.89061*100)</f>
        <v>103.19489166208817</v>
      </c>
    </row>
    <row r="46" spans="1:4" ht="25.5">
      <c r="A46" s="62" t="s">
        <v>256</v>
      </c>
      <c r="B46" s="40">
        <f>IF(OR(-45717.3464="",-45717.3464=0),"-",-45717.3464)</f>
        <v>-45717.3464</v>
      </c>
      <c r="C46" s="40">
        <f>IF(OR(-50836.73978="",-50836.73978=0),"-",-50836.73978)</f>
        <v>-50836.73978</v>
      </c>
      <c r="D46" s="40">
        <f>IF(OR(-45717.3464="",-50836.73978="",-45717.3464=0,-50836.73978=0),"-",-50836.73978/-45717.3464*100)</f>
        <v>111.19792328979095</v>
      </c>
    </row>
    <row r="47" spans="1:4" ht="15.75">
      <c r="A47" s="62" t="s">
        <v>56</v>
      </c>
      <c r="B47" s="40">
        <f>IF(OR(-37412.27928="",-37412.27928=0),"-",-37412.27928)</f>
        <v>-37412.27928</v>
      </c>
      <c r="C47" s="40">
        <f>IF(OR(-49234.34666="",-49234.34666=0),"-",-49234.34666)</f>
        <v>-49234.34666</v>
      </c>
      <c r="D47" s="40">
        <f>IF(OR(-37412.27928="",-49234.34666="",-37412.27928=0,-49234.34666=0),"-",-49234.34666/-37412.27928*100)</f>
        <v>131.5994310090588</v>
      </c>
    </row>
    <row r="48" spans="1:4" ht="15.75">
      <c r="A48" s="62" t="s">
        <v>57</v>
      </c>
      <c r="B48" s="40">
        <f>IF(OR(-26395.91898="",-26395.91898=0),"-",-26395.91898)</f>
        <v>-26395.91898</v>
      </c>
      <c r="C48" s="40">
        <f>IF(OR(-31049.03854="",-31049.03854=0),"-",-31049.03854)</f>
        <v>-31049.03854</v>
      </c>
      <c r="D48" s="40">
        <f>IF(OR(-26395.91898="",-31049.03854="",-26395.91898=0,-31049.03854=0),"-",-31049.03854/-26395.91898*100)</f>
        <v>117.62817791464522</v>
      </c>
    </row>
    <row r="49" spans="1:4" ht="15.75">
      <c r="A49" s="62" t="s">
        <v>58</v>
      </c>
      <c r="B49" s="40">
        <f>IF(OR(-50627.28465="",-50627.28465=0),"-",-50627.28465)</f>
        <v>-50627.28465</v>
      </c>
      <c r="C49" s="40">
        <f>IF(OR(-61033.78475="",-61033.78475=0),"-",-61033.78475)</f>
        <v>-61033.78475</v>
      </c>
      <c r="D49" s="40">
        <f>IF(OR(-50627.28465="",-61033.78475="",-50627.28465=0,-61033.78475=0),"-",-61033.78475/-50627.28465*100)</f>
        <v>120.55512195043232</v>
      </c>
    </row>
    <row r="50" spans="1:4" ht="15.75">
      <c r="A50" s="62" t="s">
        <v>59</v>
      </c>
      <c r="B50" s="40">
        <f>IF(OR(-75486.74693="",-75486.74693=0),"-",-75486.74693)</f>
        <v>-75486.74693</v>
      </c>
      <c r="C50" s="40">
        <f>IF(OR(-93979.31392="",-93979.31392=0),"-",-93979.31392)</f>
        <v>-93979.31392</v>
      </c>
      <c r="D50" s="40">
        <f>IF(OR(-75486.74693="",-93979.31392="",-75486.74693=0,-93979.31392=0),"-",-93979.31392/-75486.74693*100)</f>
        <v>124.49776648495457</v>
      </c>
    </row>
    <row r="51" spans="1:4" ht="25.5">
      <c r="A51" s="61" t="s">
        <v>314</v>
      </c>
      <c r="B51" s="37">
        <f>IF(-422900.90501="","-",-422900.90501)</f>
        <v>-422900.90501</v>
      </c>
      <c r="C51" s="37">
        <f>IF(-545421.24317="","-",-545421.24317)</f>
        <v>-545421.24317</v>
      </c>
      <c r="D51" s="37">
        <f>IF(-422900.90501="","-",-545421.24317/-422900.90501*100)</f>
        <v>128.9714059980796</v>
      </c>
    </row>
    <row r="52" spans="1:4" ht="15.75">
      <c r="A52" s="62" t="s">
        <v>60</v>
      </c>
      <c r="B52" s="40">
        <f>IF(OR(-21638.93014="",-21638.93014=0),"-",-21638.93014)</f>
        <v>-21638.93014</v>
      </c>
      <c r="C52" s="40">
        <f>IF(OR(-33921.7455="",-33921.7455=0),"-",-33921.7455)</f>
        <v>-33921.7455</v>
      </c>
      <c r="D52" s="40">
        <f>IF(OR(-21638.93014="",-33921.7455="",-21638.93014=0,-33921.7455=0),"-",-33921.7455/-21638.93014*100)</f>
        <v>156.7625815164261</v>
      </c>
    </row>
    <row r="53" spans="1:4" ht="15.75">
      <c r="A53" s="62" t="s">
        <v>61</v>
      </c>
      <c r="B53" s="40">
        <f>IF(OR(-26862.70872="",-26862.70872=0),"-",-26862.70872)</f>
        <v>-26862.70872</v>
      </c>
      <c r="C53" s="40">
        <f>IF(OR(-34899.84465="",-34899.84465=0),"-",-34899.84465)</f>
        <v>-34899.84465</v>
      </c>
      <c r="D53" s="40">
        <f>IF(OR(-26862.70872="",-34899.84465="",-26862.70872=0,-34899.84465=0),"-",-34899.84465/-26862.70872*100)</f>
        <v>129.91930565816745</v>
      </c>
    </row>
    <row r="54" spans="1:4" ht="15.75">
      <c r="A54" s="62" t="s">
        <v>62</v>
      </c>
      <c r="B54" s="40">
        <f>IF(OR(-28360.07607="",-28360.07607=0),"-",-28360.07607)</f>
        <v>-28360.07607</v>
      </c>
      <c r="C54" s="40">
        <f>IF(OR(-35910.22961="",-35910.22961=0),"-",-35910.22961)</f>
        <v>-35910.22961</v>
      </c>
      <c r="D54" s="40">
        <f>IF(OR(-28360.07607="",-35910.22961="",-28360.07607=0,-35910.22961=0),"-",-35910.22961/-28360.07607*100)</f>
        <v>126.62247280777481</v>
      </c>
    </row>
    <row r="55" spans="1:4" ht="25.5">
      <c r="A55" s="62" t="s">
        <v>307</v>
      </c>
      <c r="B55" s="40">
        <f>IF(OR(-42688.4253299999="",-42688.4253299999=0),"-",-42688.4253299999)</f>
        <v>-42688.4253299999</v>
      </c>
      <c r="C55" s="40">
        <f>IF(OR(-50592.53916="",-50592.53916=0),"-",-50592.53916)</f>
        <v>-50592.53916</v>
      </c>
      <c r="D55" s="40">
        <f>IF(OR(-42688.4253299999="",-50592.53916="",-42688.4253299999=0,-50592.53916=0),"-",-50592.53916/-42688.4253299999*100)</f>
        <v>118.51582429873646</v>
      </c>
    </row>
    <row r="56" spans="1:4" ht="25.5">
      <c r="A56" s="62" t="s">
        <v>257</v>
      </c>
      <c r="B56" s="40">
        <f>IF(OR(-106086.40659="",-106086.40659=0),"-",-106086.40659)</f>
        <v>-106086.40659</v>
      </c>
      <c r="C56" s="40">
        <f>IF(OR(-133999.44027="",-133999.44027=0),"-",-133999.44027)</f>
        <v>-133999.44027</v>
      </c>
      <c r="D56" s="40">
        <f>IF(OR(-106086.40659="",-133999.44027="",-106086.40659=0,-133999.44027=0),"-",-133999.44027/-106086.40659*100)</f>
        <v>126.31160256740297</v>
      </c>
    </row>
    <row r="57" spans="1:4" ht="15.75">
      <c r="A57" s="62" t="s">
        <v>63</v>
      </c>
      <c r="B57" s="40">
        <f>IF(OR(-46757.30584="",-46757.30584=0),"-",-46757.30584)</f>
        <v>-46757.30584</v>
      </c>
      <c r="C57" s="40">
        <f>IF(OR(-39782.43801="",-39782.43801=0),"-",-39782.43801)</f>
        <v>-39782.43801</v>
      </c>
      <c r="D57" s="40">
        <f>IF(OR(-46757.30584="",-39782.43801="",-46757.30584=0,-39782.43801=0),"-",-39782.43801/-46757.30584*100)</f>
        <v>85.08282779622188</v>
      </c>
    </row>
    <row r="58" spans="1:4" ht="15.75">
      <c r="A58" s="62" t="s">
        <v>309</v>
      </c>
      <c r="B58" s="40">
        <f>IF(OR(-53296.71217="",-53296.71217=0),"-",-53296.71217)</f>
        <v>-53296.71217</v>
      </c>
      <c r="C58" s="40">
        <f>IF(OR(-75720.90116="",-75720.90116=0),"-",-75720.90116)</f>
        <v>-75720.90116</v>
      </c>
      <c r="D58" s="40">
        <f>IF(OR(-53296.71217="",-75720.90116="",-53296.71217=0,-75720.90116=0),"-",-75720.90116/-53296.71217*100)</f>
        <v>142.0742445021257</v>
      </c>
    </row>
    <row r="59" spans="1:4" ht="15.75">
      <c r="A59" s="62" t="s">
        <v>64</v>
      </c>
      <c r="B59" s="40">
        <f>IF(OR(-40657.5565="",-40657.5565=0),"-",-40657.5565)</f>
        <v>-40657.5565</v>
      </c>
      <c r="C59" s="40">
        <f>IF(OR(-60598.72604="",-60598.72604=0),"-",-60598.72604)</f>
        <v>-60598.72604</v>
      </c>
      <c r="D59" s="40">
        <f>IF(OR(-40657.5565="",-60598.72604="",-40657.5565=0,-60598.72604=0),"-",-60598.72604/-40657.5565*100)</f>
        <v>149.0466502579908</v>
      </c>
    </row>
    <row r="60" spans="1:4" ht="15.75">
      <c r="A60" s="62" t="s">
        <v>65</v>
      </c>
      <c r="B60" s="40">
        <f>IF(OR(-56552.78365="",-56552.78365=0),"-",-56552.78365)</f>
        <v>-56552.78365</v>
      </c>
      <c r="C60" s="40">
        <f>IF(OR(-79995.37877="",-79995.37877=0),"-",-79995.37877)</f>
        <v>-79995.37877</v>
      </c>
      <c r="D60" s="40">
        <f>IF(OR(-56552.78365="",-79995.37877="",-56552.78365=0,-79995.37877=0),"-",-79995.37877/-56552.78365*100)</f>
        <v>141.45259279381202</v>
      </c>
    </row>
    <row r="61" spans="1:4" ht="15.75">
      <c r="A61" s="61" t="s">
        <v>66</v>
      </c>
      <c r="B61" s="37">
        <f>IF(-322130.3171="","-",-322130.3171)</f>
        <v>-322130.3171</v>
      </c>
      <c r="C61" s="37">
        <f>IF(-460169.36661="","-",-460169.36661)</f>
        <v>-460169.36661</v>
      </c>
      <c r="D61" s="37">
        <f>IF(-322130.3171="","-",-460169.36661/-322130.3171*100)</f>
        <v>142.85192736675825</v>
      </c>
    </row>
    <row r="62" spans="1:4" ht="15.75">
      <c r="A62" s="62" t="s">
        <v>67</v>
      </c>
      <c r="B62" s="40">
        <f>IF(OR(-7125.83636="",-7125.83636=0),"-",-7125.83636)</f>
        <v>-7125.83636</v>
      </c>
      <c r="C62" s="40">
        <f>IF(OR(-13718.10843="",-13718.10843=0),"-",-13718.10843)</f>
        <v>-13718.10843</v>
      </c>
      <c r="D62" s="40" t="s">
        <v>162</v>
      </c>
    </row>
    <row r="63" spans="1:4" ht="15.75">
      <c r="A63" s="62" t="s">
        <v>68</v>
      </c>
      <c r="B63" s="40">
        <f>IF(OR(-81758.88311="",-81758.88311=0),"-",-81758.88311)</f>
        <v>-81758.88311</v>
      </c>
      <c r="C63" s="40">
        <f>IF(OR(-121846.43225="",-121846.43225=0),"-",-121846.43225)</f>
        <v>-121846.43225</v>
      </c>
      <c r="D63" s="40">
        <f>IF(OR(-81758.88311="",-121846.43225="",-81758.88311=0,-121846.43225=0),"-",-121846.43225/-81758.88311*100)</f>
        <v>149.03142950970286</v>
      </c>
    </row>
    <row r="64" spans="1:4" ht="15.75">
      <c r="A64" s="62" t="s">
        <v>69</v>
      </c>
      <c r="B64" s="40">
        <f>IF(OR(-4639.76257="",-4639.76257=0),"-",-4639.76257)</f>
        <v>-4639.76257</v>
      </c>
      <c r="C64" s="40">
        <f>IF(OR(-6310.50761="",-6310.50761=0),"-",-6310.50761)</f>
        <v>-6310.50761</v>
      </c>
      <c r="D64" s="40">
        <f>IF(OR(-4639.76257="",-6310.50761="",-4639.76257=0,-6310.50761=0),"-",-6310.50761/-4639.76257*100)</f>
        <v>136.00927881100606</v>
      </c>
    </row>
    <row r="65" spans="1:4" ht="25.5">
      <c r="A65" s="62" t="s">
        <v>70</v>
      </c>
      <c r="B65" s="40">
        <f>IF(OR(-63129.93289="",-63129.93289=0),"-",-63129.93289)</f>
        <v>-63129.93289</v>
      </c>
      <c r="C65" s="40">
        <f>IF(OR(-89066.13179="",-89066.13179=0),"-",-89066.13179)</f>
        <v>-89066.13179</v>
      </c>
      <c r="D65" s="40">
        <f>IF(OR(-63129.93289="",-89066.13179="",-63129.93289=0,-89066.13179=0),"-",-89066.13179/-63129.93289*100)</f>
        <v>141.08383727445462</v>
      </c>
    </row>
    <row r="66" spans="1:4" ht="25.5">
      <c r="A66" s="62" t="s">
        <v>71</v>
      </c>
      <c r="B66" s="40">
        <f>IF(OR(-20995.52471="",-20995.52471=0),"-",-20995.52471)</f>
        <v>-20995.52471</v>
      </c>
      <c r="C66" s="40">
        <f>IF(OR(-29034.00566="",-29034.00566=0),"-",-29034.00566)</f>
        <v>-29034.00566</v>
      </c>
      <c r="D66" s="40">
        <f>IF(OR(-20995.52471="",-29034.00566="",-20995.52471=0,-29034.00566=0),"-",-29034.00566/-20995.52471*100)</f>
        <v>138.28663994366062</v>
      </c>
    </row>
    <row r="67" spans="1:4" ht="25.5">
      <c r="A67" s="62" t="s">
        <v>72</v>
      </c>
      <c r="B67" s="40">
        <f>IF(OR(-49123.38889="",-49123.38889=0),"-",-49123.38889)</f>
        <v>-49123.38889</v>
      </c>
      <c r="C67" s="40">
        <f>IF(OR(-73850.7027="",-73850.7027=0),"-",-73850.7027)</f>
        <v>-73850.7027</v>
      </c>
      <c r="D67" s="40">
        <f>IF(OR(-49123.38889="",-73850.7027="",-49123.38889=0,-73850.7027=0),"-",-73850.7027/-49123.38889*100)</f>
        <v>150.33714971369517</v>
      </c>
    </row>
    <row r="68" spans="1:4" ht="25.5">
      <c r="A68" s="62" t="s">
        <v>73</v>
      </c>
      <c r="B68" s="40">
        <f>IF(OR(10009.31013="",10009.31013=0),"-",10009.31013)</f>
        <v>10009.31013</v>
      </c>
      <c r="C68" s="40">
        <f>IF(OR(35603.53921="",35603.53921=0),"-",35603.53921)</f>
        <v>35603.53921</v>
      </c>
      <c r="D68" s="40" t="s">
        <v>223</v>
      </c>
    </row>
    <row r="69" spans="1:4" ht="15.75">
      <c r="A69" s="62" t="s">
        <v>74</v>
      </c>
      <c r="B69" s="40">
        <f>IF(OR(-116801.33466="",-116801.33466=0),"-",-116801.33466)</f>
        <v>-116801.33466</v>
      </c>
      <c r="C69" s="40">
        <f>IF(OR(-160515.93739="",-160515.93739=0),"-",-160515.93739)</f>
        <v>-160515.93739</v>
      </c>
      <c r="D69" s="40">
        <f>IF(OR(-116801.33466="",-160515.93739="",-116801.33466=0,-160515.93739=0),"-",-160515.93739/-116801.33466*100)</f>
        <v>137.42645823119227</v>
      </c>
    </row>
    <row r="70" spans="1:4" ht="15.75">
      <c r="A70" s="62" t="s">
        <v>75</v>
      </c>
      <c r="B70" s="40">
        <f>IF(OR(11435.03596="",11435.03596=0),"-",11435.03596)</f>
        <v>11435.03596</v>
      </c>
      <c r="C70" s="40">
        <f>IF(OR(-1431.07999="",-1431.07999=0),"-",-1431.07999)</f>
        <v>-1431.07999</v>
      </c>
      <c r="D70" s="40" t="s">
        <v>22</v>
      </c>
    </row>
    <row r="71" spans="1:4" ht="15.75">
      <c r="A71" s="61" t="s">
        <v>76</v>
      </c>
      <c r="B71" s="37">
        <f>IF(19862.04297="","-",19862.04297)</f>
        <v>19862.04297</v>
      </c>
      <c r="C71" s="37">
        <f>IF(40747.86948="","-",40747.86948)</f>
        <v>40747.86948</v>
      </c>
      <c r="D71" s="37" t="s">
        <v>19</v>
      </c>
    </row>
    <row r="72" spans="1:4" ht="25.5">
      <c r="A72" s="62" t="s">
        <v>258</v>
      </c>
      <c r="B72" s="40">
        <f>IF(OR(-13593.47833="",-13593.47833=0),"-",-13593.47833)</f>
        <v>-13593.47833</v>
      </c>
      <c r="C72" s="40">
        <f>IF(OR(-17651.53714="",-17651.53714=0),"-",-17651.53714)</f>
        <v>-17651.53714</v>
      </c>
      <c r="D72" s="40">
        <f>IF(OR(-13593.47833="",-17651.53714="",-13593.47833=0,-17651.53714=0),"-",-17651.53714/-13593.47833*100)</f>
        <v>129.8529832577443</v>
      </c>
    </row>
    <row r="73" spans="1:4" ht="15.75">
      <c r="A73" s="62" t="s">
        <v>77</v>
      </c>
      <c r="B73" s="40">
        <f>IF(OR(45862.24205="",45862.24205=0),"-",45862.24205)</f>
        <v>45862.24205</v>
      </c>
      <c r="C73" s="40">
        <f>IF(OR(62809.13875="",62809.13875=0),"-",62809.13875)</f>
        <v>62809.13875</v>
      </c>
      <c r="D73" s="40">
        <f>IF(OR(45862.24205="",62809.13875="",45862.24205=0,62809.13875=0),"-",62809.13875/45862.24205*100)</f>
        <v>136.951740565854</v>
      </c>
    </row>
    <row r="74" spans="1:4" ht="15.75">
      <c r="A74" s="62" t="s">
        <v>78</v>
      </c>
      <c r="B74" s="40">
        <f>IF(OR(-2615.06943="",-2615.06943=0),"-",-2615.06943)</f>
        <v>-2615.06943</v>
      </c>
      <c r="C74" s="40">
        <f>IF(OR(5722.81583="",5722.81583=0),"-",5722.81583)</f>
        <v>5722.81583</v>
      </c>
      <c r="D74" s="40" t="s">
        <v>22</v>
      </c>
    </row>
    <row r="75" spans="1:4" ht="15.75">
      <c r="A75" s="62" t="s">
        <v>79</v>
      </c>
      <c r="B75" s="40">
        <f>IF(OR(82962.40652="",82962.40652=0),"-",82962.40652)</f>
        <v>82962.40652</v>
      </c>
      <c r="C75" s="40">
        <f>IF(OR(104467.76261="",104467.76261=0),"-",104467.76261)</f>
        <v>104467.76261</v>
      </c>
      <c r="D75" s="40">
        <f>IF(OR(82962.40652="",104467.76261="",82962.40652=0,104467.76261=0),"-",104467.76261/82962.40652*100)</f>
        <v>125.92180843357725</v>
      </c>
    </row>
    <row r="76" spans="1:4" ht="15.75">
      <c r="A76" s="62" t="s">
        <v>80</v>
      </c>
      <c r="B76" s="40">
        <f>IF(OR(-3647.1112="",-3647.1112=0),"-",-3647.1112)</f>
        <v>-3647.1112</v>
      </c>
      <c r="C76" s="40">
        <f>IF(OR(-1219.92816="",-1219.92816=0),"-",-1219.92816)</f>
        <v>-1219.92816</v>
      </c>
      <c r="D76" s="40">
        <f>IF(OR(-3647.1112="",-1219.92816="",-3647.1112=0,-1219.92816=0),"-",-1219.92816/-3647.1112*100)</f>
        <v>33.44916272363727</v>
      </c>
    </row>
    <row r="77" spans="1:4" ht="15.75">
      <c r="A77" s="62" t="s">
        <v>81</v>
      </c>
      <c r="B77" s="40">
        <f>IF(OR(-11373.35851="",-11373.35851=0),"-",-11373.35851)</f>
        <v>-11373.35851</v>
      </c>
      <c r="C77" s="40">
        <f>IF(OR(-17218.36237="",-17218.36237=0),"-",-17218.36237)</f>
        <v>-17218.36237</v>
      </c>
      <c r="D77" s="40">
        <f>IF(OR(-11373.35851="",-17218.36237="",-11373.35851=0,-17218.36237=0),"-",-17218.36237/-11373.35851*100)</f>
        <v>151.39206554388304</v>
      </c>
    </row>
    <row r="78" spans="1:4" ht="25.5">
      <c r="A78" s="62" t="s">
        <v>82</v>
      </c>
      <c r="B78" s="40">
        <f>IF(OR(-4272.01933="",-4272.01933=0),"-",-4272.01933)</f>
        <v>-4272.01933</v>
      </c>
      <c r="C78" s="40">
        <f>IF(OR(-5323.46385="",-5323.46385=0),"-",-5323.46385)</f>
        <v>-5323.46385</v>
      </c>
      <c r="D78" s="40">
        <f>IF(OR(-4272.01933="",-5323.46385="",-4272.01933=0,-5323.46385=0),"-",-5323.46385/-4272.01933*100)</f>
        <v>124.61235398951248</v>
      </c>
    </row>
    <row r="79" spans="1:4" s="1" customFormat="1" ht="15.75">
      <c r="A79" s="62" t="s">
        <v>83</v>
      </c>
      <c r="B79" s="40">
        <f>IF(OR(-73461.5688="",-73461.5688=0),"-",-73461.5688)</f>
        <v>-73461.5688</v>
      </c>
      <c r="C79" s="40">
        <f>IF(OR(-90838.55619="",-90838.55619=0),"-",-90838.55619)</f>
        <v>-90838.55619</v>
      </c>
      <c r="D79" s="40">
        <f>IF(OR(-73461.5688="",-90838.55619="",-73461.5688=0,-90838.55619=0),"-",-90838.55619/-73461.5688*100)</f>
        <v>123.65452803942843</v>
      </c>
    </row>
    <row r="80" spans="1:4" s="1" customFormat="1" ht="15.75">
      <c r="A80" s="52" t="s">
        <v>224</v>
      </c>
      <c r="B80" s="53">
        <f>IF(-282.20711="","-",-282.20711)</f>
        <v>-282.20711</v>
      </c>
      <c r="C80" s="53">
        <f>IF(429.2473="","-",429.2473)</f>
        <v>429.2473</v>
      </c>
      <c r="D80" s="53" t="s">
        <v>22</v>
      </c>
    </row>
    <row r="81" spans="1:4" s="1" customFormat="1" ht="15.75">
      <c r="A81" s="51" t="s">
        <v>20</v>
      </c>
      <c r="B81" s="46"/>
      <c r="C81" s="46"/>
      <c r="D81" s="46"/>
    </row>
    <row r="82" spans="2:4" ht="15.75">
      <c r="B82" s="13"/>
      <c r="C82" s="27"/>
      <c r="D82" s="14"/>
    </row>
    <row r="83" spans="2:4" ht="15.75">
      <c r="B83" s="13"/>
      <c r="C83" s="13"/>
      <c r="D83" s="14"/>
    </row>
    <row r="84" spans="2:4" ht="15.75">
      <c r="B84" s="13"/>
      <c r="C84" s="13"/>
      <c r="D84" s="14"/>
    </row>
    <row r="85" ht="15.75">
      <c r="C85" s="13"/>
    </row>
  </sheetData>
  <sheetProtection/>
  <mergeCells count="5">
    <mergeCell ref="A1:D1"/>
    <mergeCell ref="A2:D2"/>
    <mergeCell ref="A4:A5"/>
    <mergeCell ref="D4:D5"/>
    <mergeCell ref="B4:C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TatianaGrosu</dc:creator>
  <cp:keywords/>
  <dc:description/>
  <cp:lastModifiedBy>Doina Vudvud</cp:lastModifiedBy>
  <cp:lastPrinted>2018-09-06T12:02:10Z</cp:lastPrinted>
  <dcterms:created xsi:type="dcterms:W3CDTF">2016-09-01T07:59:47Z</dcterms:created>
  <dcterms:modified xsi:type="dcterms:W3CDTF">2018-09-06T12:28:22Z</dcterms:modified>
  <cp:category/>
  <cp:version/>
  <cp:contentType/>
  <cp:contentStatus/>
</cp:coreProperties>
</file>