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75" activeTab="0"/>
  </bookViews>
  <sheets>
    <sheet name="Export_Tari" sheetId="1" r:id="rId1"/>
    <sheet name="Import_Tari" sheetId="2" r:id="rId2"/>
    <sheet name="Balanta Comerciala_Tari" sheetId="3" r:id="rId3"/>
    <sheet name="Export_Moduri_Transport" sheetId="4" r:id="rId4"/>
    <sheet name="Import_Moduri_Transport" sheetId="5" r:id="rId5"/>
    <sheet name="Export_Grupe_Marfuri_CSCI" sheetId="6" r:id="rId6"/>
    <sheet name="Import_Grupe_Marfuri_CSCI" sheetId="7" r:id="rId7"/>
    <sheet name="Balanta_Comerciala_Gr_Marf_CSCI" sheetId="8" r:id="rId8"/>
  </sheets>
  <definedNames>
    <definedName name="_xlnm.Print_Titles" localSheetId="2">'Balanta Comerciala_Tari'!$3:$4</definedName>
    <definedName name="_xlnm.Print_Titles" localSheetId="7">'Balanta_Comerciala_Gr_Marf_CSCI'!$4:$5</definedName>
    <definedName name="_xlnm.Print_Titles" localSheetId="5">'Export_Grupe_Marfuri_CSCI'!$4:$6</definedName>
    <definedName name="_xlnm.Print_Titles" localSheetId="0">'Export_Tari'!$3:$5</definedName>
    <definedName name="_xlnm.Print_Titles" localSheetId="6">'Import_Grupe_Marfuri_CSCI'!$4:$6</definedName>
    <definedName name="_xlnm.Print_Titles" localSheetId="1">'Import_Tari'!$3:$5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<sst xmlns="http://schemas.openxmlformats.org/spreadsheetml/2006/main" count="752" uniqueCount="338">
  <si>
    <t>Structura, %</t>
  </si>
  <si>
    <t>Gradul de influenţă a ţărilor, grupelor de ţări  la creşterea (+),  scăderea (-) exporturilor, %</t>
  </si>
  <si>
    <t>Ţările Uniunii Europene (UE-28)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</si>
  <si>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</si>
  <si>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</si>
  <si>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</si>
  <si>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</si>
  <si>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</si>
  <si>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</si>
  <si>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</si>
  <si>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</si>
  <si>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</si>
  <si>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</si>
  <si>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</si>
  <si>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</si>
  <si>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</si>
  <si>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</si>
  <si>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</si>
  <si>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</si>
  <si>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</si>
  <si>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</si>
  <si>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</si>
  <si>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</si>
  <si>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</si>
  <si>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</si>
  <si>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</si>
  <si>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</si>
  <si>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</si>
  <si>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</si>
  <si>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</si>
  <si>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</si>
  <si>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</si>
  <si>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</si>
  <si>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</si>
  <si>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</si>
  <si>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</si>
  <si>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</si>
  <si>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</si>
  <si>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</si>
  <si>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</si>
  <si>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</si>
  <si>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</si>
  <si>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</si>
  <si>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</si>
  <si>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</si>
  <si>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</si>
  <si>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</si>
  <si>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</si>
  <si>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</si>
  <si>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</si>
  <si>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</si>
  <si>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</si>
  <si>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</si>
  <si>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</si>
  <si>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</si>
  <si>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</si>
  <si>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</si>
  <si>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</si>
  <si>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</si>
  <si>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</si>
  <si>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</si>
  <si>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</si>
  <si>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</si>
  <si>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</si>
  <si>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</si>
  <si>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</si>
  <si>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</si>
  <si>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</si>
  <si>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Fire, ţesături, articole textile necuprinse în altă parte şi produse conexe</t>
  </si>
  <si>
    <t>Articole din minerale nemetalice</t>
  </si>
  <si>
    <t>Fier şi oţel</t>
  </si>
  <si>
    <t>Metale neferoase</t>
  </si>
  <si>
    <t>Articole prelucrate din metal</t>
  </si>
  <si>
    <t>Maşini  generatoare de putere şi echipamentele lor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</si>
  <si>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</si>
  <si>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</si>
  <si>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</si>
  <si>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</si>
  <si>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Vehicule rutiere (inclusiv vehicule cu pernă de aer)</t>
  </si>
  <si>
    <t>Alte echipamente de transport</t>
  </si>
  <si>
    <t>Articole manufacturate diverse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</si>
  <si>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</si>
  <si>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</si>
  <si>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</si>
  <si>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</si>
  <si>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</si>
  <si>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</si>
  <si>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</si>
  <si>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</si>
  <si>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</si>
  <si>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</si>
  <si>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</si>
  <si>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</si>
  <si>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</si>
  <si>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</si>
  <si>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</si>
  <si>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</si>
  <si>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</si>
  <si>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</si>
  <si>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</si>
  <si>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</si>
  <si>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</si>
  <si>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</si>
  <si>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</si>
  <si>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</si>
  <si>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</si>
  <si>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</si>
  <si>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</si>
  <si>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</si>
  <si>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</si>
  <si>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</si>
  <si>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</si>
  <si>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</si>
  <si>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</si>
  <si>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</si>
  <si>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</si>
  <si>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Macedonia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</si>
  <si>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</si>
  <si>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</si>
  <si>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</si>
  <si>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</si>
  <si>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</si>
  <si>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</si>
  <si>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</si>
  <si>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</si>
  <si>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</si>
  <si>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</si>
  <si>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</si>
  <si>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</si>
  <si>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</si>
  <si>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</si>
  <si>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</si>
  <si>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</si>
  <si>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</si>
  <si>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</si>
  <si>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</si>
  <si>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</si>
  <si>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</si>
  <si>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</si>
  <si>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</si>
  <si>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</si>
  <si>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</si>
  <si>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</si>
  <si>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</si>
  <si>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</si>
  <si>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</si>
  <si>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</si>
  <si>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</si>
  <si>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</si>
  <si>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de 2,8 ori</t>
  </si>
  <si>
    <t>Mongolia</t>
  </si>
  <si>
    <t>de 2,5 ori</t>
  </si>
  <si>
    <t>Peru</t>
  </si>
  <si>
    <t>Kenya</t>
  </si>
  <si>
    <t>de 2,2 ori</t>
  </si>
  <si>
    <t>mii dolari        SUA</t>
  </si>
  <si>
    <t>EXPORT - total</t>
  </si>
  <si>
    <t>BALANŢA COMERCIALĂ – total, mii dolari SUA</t>
  </si>
  <si>
    <t>Franța</t>
  </si>
  <si>
    <t>Croația</t>
  </si>
  <si>
    <t>Oman</t>
  </si>
  <si>
    <t>Ghana</t>
  </si>
  <si>
    <t>Elveția</t>
  </si>
  <si>
    <t>de 3,1 ori</t>
  </si>
  <si>
    <t>Regatul Unit al Marii Britanii și Irlandei de Nord</t>
  </si>
  <si>
    <t>Federația Rusă</t>
  </si>
  <si>
    <t>Albania</t>
  </si>
  <si>
    <t>de 1,8 ori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</si>
  <si>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</si>
  <si>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</si>
  <si>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</si>
  <si>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</si>
  <si>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</si>
  <si>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 xml:space="preserve">. </t>
  </si>
  <si>
    <t>Ponderea, %</t>
  </si>
  <si>
    <t>Swaziland</t>
  </si>
  <si>
    <t>de 2,3 ori</t>
  </si>
  <si>
    <t>de 2,7 ori</t>
  </si>
  <si>
    <t>2018¹</t>
  </si>
  <si>
    <t>ianuarie-februarie</t>
  </si>
  <si>
    <t>Ianuarie-februarie</t>
  </si>
  <si>
    <t>mii dolari         SUA</t>
  </si>
  <si>
    <t>Belize</t>
  </si>
  <si>
    <t>Nepal</t>
  </si>
  <si>
    <t>de 3,2 ori</t>
  </si>
  <si>
    <t>de 3,6 ori</t>
  </si>
  <si>
    <t>-</t>
  </si>
  <si>
    <t>Transport maritim</t>
  </si>
  <si>
    <t>Transport feroviar</t>
  </si>
  <si>
    <t>Transport rutier</t>
  </si>
  <si>
    <t>Transport aerian</t>
  </si>
  <si>
    <t>Celelalte țări ale lumii</t>
  </si>
  <si>
    <t>Expedieri poștale</t>
  </si>
  <si>
    <t>Instalații fixe de transport</t>
  </si>
  <si>
    <t>Autopropulsie</t>
  </si>
  <si>
    <t>de 7,8 ori</t>
  </si>
  <si>
    <r>
      <rPr>
        <b/>
        <sz val="12"/>
        <rFont val="Times New Roman"/>
        <family val="1"/>
      </rPr>
      <t xml:space="preserve">Anexa 1. </t>
    </r>
    <r>
      <rPr>
        <b/>
        <i/>
        <sz val="12"/>
        <rFont val="Times New Roman"/>
        <family val="1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</si>
  <si>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</rPr>
      <t xml:space="preserve">Anexa 2. </t>
    </r>
    <r>
      <rPr>
        <b/>
        <i/>
        <sz val="12"/>
        <color indexed="8"/>
        <rFont val="Times New Roman"/>
        <family val="1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</si>
  <si>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</rPr>
      <t xml:space="preserve">Anexa 3. </t>
    </r>
    <r>
      <rPr>
        <b/>
        <i/>
        <sz val="12"/>
        <color indexed="8"/>
        <rFont val="Times New Roman"/>
        <family val="1"/>
      </rPr>
      <t>Balanţa comercială structurată pe principalele ţări şi grupe de ţări</t>
    </r>
  </si>
  <si>
    <r>
      <rPr>
        <b/>
        <sz val="12"/>
        <rFont val="Times New Roman"/>
        <family val="1"/>
      </rPr>
      <t xml:space="preserve">Anexa 4. </t>
    </r>
    <r>
      <rPr>
        <b/>
        <i/>
        <sz val="12"/>
        <rFont val="Times New Roman"/>
        <family val="1"/>
      </rPr>
      <t xml:space="preserve">Exporturile structurate pe grupe de ţări și moduri de transport a mărfurilor </t>
    </r>
  </si>
  <si>
    <r>
      <rPr>
        <b/>
        <sz val="12"/>
        <rFont val="Times New Roman"/>
        <family val="1"/>
      </rPr>
      <t>Anexa 5.</t>
    </r>
    <r>
      <rPr>
        <b/>
        <i/>
        <sz val="12"/>
        <rFont val="Times New Roman"/>
        <family val="1"/>
      </rPr>
      <t xml:space="preserve"> Importurile structurate pe grupe de ţări și moduri de transport a mărfurilor</t>
    </r>
  </si>
  <si>
    <r>
      <rPr>
        <b/>
        <sz val="12"/>
        <color indexed="8"/>
        <rFont val="Times New Roman"/>
        <family val="1"/>
      </rPr>
      <t>Anexa 6.</t>
    </r>
    <r>
      <rPr>
        <b/>
        <i/>
        <sz val="12"/>
        <color indexed="8"/>
        <rFont val="Times New Roman"/>
        <family val="1"/>
      </rPr>
      <t xml:space="preserve"> Exporturile structurate pe grupe de mărfuri, </t>
    </r>
  </si>
  <si>
    <r>
      <rPr>
        <b/>
        <sz val="12"/>
        <color indexed="8"/>
        <rFont val="Times New Roman"/>
        <family val="1"/>
      </rPr>
      <t>Anexa 7.</t>
    </r>
    <r>
      <rPr>
        <b/>
        <i/>
        <sz val="12"/>
        <color indexed="8"/>
        <rFont val="Times New Roman"/>
        <family val="1"/>
      </rPr>
      <t xml:space="preserve"> Importurile structurate pe grupe de mărfuri, </t>
    </r>
  </si>
  <si>
    <r>
      <rPr>
        <b/>
        <sz val="12"/>
        <color indexed="8"/>
        <rFont val="Times New Roman"/>
        <family val="1"/>
      </rPr>
      <t xml:space="preserve">Anexa 8. </t>
    </r>
    <r>
      <rPr>
        <b/>
        <i/>
        <sz val="12"/>
        <color indexed="8"/>
        <rFont val="Times New Roman"/>
        <family val="1"/>
      </rPr>
      <t xml:space="preserve">Balanţa comercială structurată pe grupe de mărfuri, </t>
    </r>
  </si>
  <si>
    <t xml:space="preserve"> 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</si>
  <si>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</si>
  <si>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</si>
  <si>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Ianuarie-februarie 2019</t>
  </si>
  <si>
    <t>în % faţă de ianuarie-februarie 2018¹</t>
  </si>
  <si>
    <t>2019¹</t>
  </si>
  <si>
    <t>Ianuarie-februarie 2019    în % faţă de                          ianuarie-februarie 2018¹</t>
  </si>
  <si>
    <t>mii dolari             SUA</t>
  </si>
  <si>
    <t>Ţările Uniunii Europene - total</t>
  </si>
  <si>
    <t>Regatul Unit al Marii Britanii şi Irlandei de Nord</t>
  </si>
  <si>
    <t>Franţa</t>
  </si>
  <si>
    <t>de 40,8 ori</t>
  </si>
  <si>
    <t>de 81,6 ori</t>
  </si>
  <si>
    <t>Croaţia</t>
  </si>
  <si>
    <t>Ţările CSI - total</t>
  </si>
  <si>
    <t>Federaţia Rusă</t>
  </si>
  <si>
    <t>de 1,5 ori</t>
  </si>
  <si>
    <t>Kârgâzstan</t>
  </si>
  <si>
    <t>Celelalte ţări ale lumii - total</t>
  </si>
  <si>
    <t>Elveţia</t>
  </si>
  <si>
    <t>de 5,3 ori</t>
  </si>
  <si>
    <t>Siria</t>
  </si>
  <si>
    <t>de 168,0 ori</t>
  </si>
  <si>
    <t>Afganistan</t>
  </si>
  <si>
    <t>de 372,5 ori</t>
  </si>
  <si>
    <t>de 16502,1 ori</t>
  </si>
  <si>
    <t>Bosnia şi Hertegovina</t>
  </si>
  <si>
    <t>de 16,0 ori</t>
  </si>
  <si>
    <t>Kuwait</t>
  </si>
  <si>
    <t>Statul Palestina</t>
  </si>
  <si>
    <t>de 151,8 ori</t>
  </si>
  <si>
    <t>Montenegro</t>
  </si>
  <si>
    <t>Libia</t>
  </si>
  <si>
    <t>IMPORT - total</t>
  </si>
  <si>
    <t>de 2084,9 ori</t>
  </si>
  <si>
    <t>de 4,1 ori</t>
  </si>
  <si>
    <t>Insulele Faroe</t>
  </si>
  <si>
    <t>de 3,0 ori</t>
  </si>
  <si>
    <t>San Marino</t>
  </si>
  <si>
    <t>de 70,4 ori</t>
  </si>
  <si>
    <t>de 647,9 ori</t>
  </si>
  <si>
    <t>Tanzania</t>
  </si>
  <si>
    <t>de 10,0 ori</t>
  </si>
  <si>
    <t>Şri Lanka</t>
  </si>
  <si>
    <t>de 114,0 ori</t>
  </si>
  <si>
    <t>Etiopia</t>
  </si>
  <si>
    <t>de 257,7 ori</t>
  </si>
  <si>
    <t xml:space="preserve">Ţările CSI </t>
  </si>
  <si>
    <t xml:space="preserve">Celelalte ţări ale lumii </t>
  </si>
  <si>
    <t>Bosnia și Hertegovina</t>
  </si>
  <si>
    <t>Șri Lanka</t>
  </si>
  <si>
    <t>Cuba</t>
  </si>
  <si>
    <t>Bahrain</t>
  </si>
  <si>
    <t>Senegal</t>
  </si>
  <si>
    <t xml:space="preserve">   din care:</t>
  </si>
  <si>
    <t xml:space="preserve">IMPORT - total      </t>
  </si>
  <si>
    <t>Țările Uniunii Europene (UE-28)</t>
  </si>
  <si>
    <t xml:space="preserve">Țările CSI </t>
  </si>
  <si>
    <t xml:space="preserve">Celelalte țări ale lumii </t>
  </si>
  <si>
    <t>de 458,5 ori</t>
  </si>
  <si>
    <t xml:space="preserve">EXPORT - total      </t>
  </si>
  <si>
    <t>Produse alimentare și animale vii</t>
  </si>
  <si>
    <t>Carne și preparate din carne</t>
  </si>
  <si>
    <t>Produse lactate și ouă de păsări</t>
  </si>
  <si>
    <t>Pește, crustacee, moluște</t>
  </si>
  <si>
    <t>de 5,6 ori</t>
  </si>
  <si>
    <t>Cereale și preparate pe bază de cereale</t>
  </si>
  <si>
    <t>Legume și fructe</t>
  </si>
  <si>
    <t>Cafea, ceai, cacao, condimente și înlocuitori ai acestora</t>
  </si>
  <si>
    <t>Produse și preparate alimentare diverse</t>
  </si>
  <si>
    <t>Băuturi și tutun</t>
  </si>
  <si>
    <t>Tutun brut și prelucrat</t>
  </si>
  <si>
    <t>Piei crude, piei tăbăcite și blănuri brute</t>
  </si>
  <si>
    <t>Semințe și fructe oleaginoase</t>
  </si>
  <si>
    <t>Cauciuc brut (inclusiv cauciuc sintetic și regenerat)</t>
  </si>
  <si>
    <t>Lemn și plută</t>
  </si>
  <si>
    <t>Pastă de hârtie și deșeuri de hârtie</t>
  </si>
  <si>
    <t>Fibre textile (cu excepția lânii în fuior și a lânii pieptănate) și deșeurile lor (neprelucrate în fire sau țesături)</t>
  </si>
  <si>
    <t>Îngrășăminte naturale și minerale naturale (exclusiv cărbune, petrol și pietre prețioase)</t>
  </si>
  <si>
    <t>Minereuri metalifere și deșeuri de metale</t>
  </si>
  <si>
    <t>Combustibili minerali, lubrifianți și materiale derivate</t>
  </si>
  <si>
    <t>Petrol, produse petroliere și produse înrudite</t>
  </si>
  <si>
    <t>Uleiuri, grăsimi și ceruri de origine animală sau vegetală</t>
  </si>
  <si>
    <t>Grăsimi și uleiuri vegetale fixate, brute, rafinate sau fracționate</t>
  </si>
  <si>
    <t>Produse chimice și produse derivate nespecificate în altă parte</t>
  </si>
  <si>
    <t>Produse tanante și colorante</t>
  </si>
  <si>
    <t>Produse medicinale și farmaceutice</t>
  </si>
  <si>
    <t>Uleiuri esențiale, rezinoide și substanțe parfumate, preparate pentru toaletă, produse pentru înfrumusețare</t>
  </si>
  <si>
    <t>Alte materiale și produse chimice</t>
  </si>
  <si>
    <t>Piele, altă piele și blană prelucrate</t>
  </si>
  <si>
    <t>Hârtie, carton și articole din pastă de celuloză, din hârtie sau din carton</t>
  </si>
  <si>
    <t>Fire, țesături, articole textile necuprinse în altă parte și produse conexe</t>
  </si>
  <si>
    <t>Fier și oțel</t>
  </si>
  <si>
    <t>Mașini și echipamente pentru transport</t>
  </si>
  <si>
    <t>Mașini  generatoare de putere și echipamentele lor</t>
  </si>
  <si>
    <t>Mașini și aparate specializate pentru industriile specifice</t>
  </si>
  <si>
    <t>Mașini și aparate pentru prelucrarea metalelor</t>
  </si>
  <si>
    <t>Mașini și aparate industriale cu aplicații generale; părți și piese detașate ale acestor mașini</t>
  </si>
  <si>
    <t>Mașini și aparate de birou sau pentru prelucrarea automată a datelor</t>
  </si>
  <si>
    <t>Aparate și echipamente de telecomunicații și pentru înregistrarea și reproducerea sunetului și imaginii</t>
  </si>
  <si>
    <t>Mașini și aparate electrice și părți ale acestora (inclusiv echivalente neelectrice ale mașinilor și aparatelor de uz casnic)</t>
  </si>
  <si>
    <t>de 55,8 ori</t>
  </si>
  <si>
    <t>Construcții prefabricate; alte instalații și accesorii pentru instalații sanitare, de încălzit și de iluminat</t>
  </si>
  <si>
    <t>Mobilă și părțile ei</t>
  </si>
  <si>
    <t>Articole de voiaj; sacoșe și similare</t>
  </si>
  <si>
    <t>Îmbrăcăminte și accesorii</t>
  </si>
  <si>
    <t>Încălțăminte</t>
  </si>
  <si>
    <t>Instrumente și aparate, profesionale, științifice și de control</t>
  </si>
  <si>
    <t>Aparate fotografice, echipamente și furnituri de optică; ceasuri și orologii</t>
  </si>
  <si>
    <t>Bunuri neclasificate în altă secțiune din CSCI</t>
  </si>
  <si>
    <t>Cărbune, cocs și brichete</t>
  </si>
  <si>
    <t>Gaz și produse industriale obținute din gaz</t>
  </si>
  <si>
    <t>Uleiuri și grăsimi de origine animală</t>
  </si>
  <si>
    <t>Alte uleiuri și grăsimi animale sau vegetale prelucrate; ceară de origine animală sau vegetală, amestecuri sau preparate necomestibile din uleiuri animale sau vegetale</t>
  </si>
  <si>
    <t>Ingrășăminte minerale sau chimice</t>
  </si>
  <si>
    <t>Mărfuri manufacturate, clasificate mai ales după materia prima</t>
  </si>
  <si>
    <t>de 6,2 ori</t>
  </si>
  <si>
    <t>BALANŢA COMERCIALĂ - total, mii dolari SUA</t>
  </si>
  <si>
    <t>Bauturi (alcoolice şi nealcoolice)</t>
  </si>
  <si>
    <t>Pastă de hârtie şi deşeuri de hârtie</t>
  </si>
  <si>
    <t>Fibre textile (cu excepţia lânii în fuior şi a lânii pieptănate) şi deşeurile lor (neprelucrate în fire sau ţesături)</t>
  </si>
  <si>
    <t>de 976,7 ori</t>
  </si>
  <si>
    <t>Alte uleiuri şi grăsimi animale sau vegetale prelucrate; ceară de origine animală sau vegetală, amestecuri sau preparate necomestibile din uleiuri animale sau vegetale</t>
  </si>
  <si>
    <t>de 10,8 ori</t>
  </si>
  <si>
    <t>Marfuri manufacturate, clasificate mai ales după materia primă</t>
  </si>
  <si>
    <t>Hârtie, carton şi articole din pastă de celuloză, din hârtie sau din carton</t>
  </si>
  <si>
    <t>Maţini şi echipamente pentru transport</t>
  </si>
  <si>
    <t>Masini si aparate specializate pentru industriile specifice</t>
  </si>
  <si>
    <t>Maşini şi aparate electrice şi părti ale acestora (inclusiv echivalente neelectrice ale maşinilor şi aparatelor de uz casnic)</t>
  </si>
  <si>
    <t>de 7,9 ori</t>
  </si>
  <si>
    <t>Construcţii prefabricate; alte instalaţii şi accesorii pentru instalaţii sanitare, de încălzit şi de iluminat</t>
  </si>
  <si>
    <t>Instrumente şi aparate, profesionale, stiinţifice şi de control</t>
  </si>
  <si>
    <t>Bunuri neclasificate în altă secţiune din CSCI</t>
  </si>
  <si>
    <t>Băuturi (alcoolice şi nealcoolice)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</si>
</sst>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63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Calibri"/>
      <family val="2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165" fontId="12" fillId="0" borderId="0" xfId="0" applyNumberFormat="1" applyFont="1" applyFill="1" applyAlignment="1" applyProtection="1">
      <alignment horizontal="right"/>
      <protection/>
    </xf>
    <xf numFmtId="165" fontId="10" fillId="0" borderId="0" xfId="0" applyNumberFormat="1" applyFont="1" applyFill="1" applyAlignment="1" applyProtection="1">
      <alignment horizontal="right"/>
      <protection/>
    </xf>
    <xf numFmtId="0" fontId="13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4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2" fontId="13" fillId="0" borderId="0" xfId="0" applyNumberFormat="1" applyFont="1" applyFill="1" applyAlignment="1" applyProtection="1">
      <alignment horizontal="right"/>
      <protection/>
    </xf>
    <xf numFmtId="4" fontId="12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4" fontId="22" fillId="0" borderId="13" xfId="0" applyNumberFormat="1" applyFont="1" applyFill="1" applyBorder="1" applyAlignment="1" applyProtection="1">
      <alignment horizontal="right" vertical="top" wrapText="1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4" fontId="12" fillId="0" borderId="0" xfId="0" applyNumberFormat="1" applyFont="1" applyFill="1" applyAlignment="1" applyProtection="1">
      <alignment horizontal="right" vertical="top" wrapText="1"/>
      <protection/>
    </xf>
    <xf numFmtId="38" fontId="10" fillId="0" borderId="0" xfId="0" applyNumberFormat="1" applyFont="1" applyFill="1" applyAlignment="1" applyProtection="1">
      <alignment horizontal="left" vertical="top" wrapText="1"/>
      <protection/>
    </xf>
    <xf numFmtId="4" fontId="10" fillId="0" borderId="0" xfId="0" applyNumberFormat="1" applyFont="1" applyFill="1" applyAlignment="1" applyProtection="1">
      <alignment horizontal="right" vertical="top" wrapText="1"/>
      <protection/>
    </xf>
    <xf numFmtId="38" fontId="10" fillId="0" borderId="14" xfId="0" applyNumberFormat="1" applyFont="1" applyFill="1" applyBorder="1" applyAlignment="1" applyProtection="1">
      <alignment horizontal="left" vertical="top" wrapText="1"/>
      <protection/>
    </xf>
    <xf numFmtId="4" fontId="10" fillId="0" borderId="14" xfId="0" applyNumberFormat="1" applyFont="1" applyFill="1" applyBorder="1" applyAlignment="1" applyProtection="1">
      <alignment horizontal="right" vertical="top" wrapText="1"/>
      <protection/>
    </xf>
    <xf numFmtId="0" fontId="23" fillId="0" borderId="0" xfId="0" applyFont="1" applyAlignment="1">
      <alignment/>
    </xf>
    <xf numFmtId="38" fontId="12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" fontId="12" fillId="0" borderId="0" xfId="0" applyNumberFormat="1" applyFont="1" applyFill="1" applyAlignment="1" applyProtection="1">
      <alignment horizontal="left" vertical="top" wrapText="1"/>
      <protection/>
    </xf>
    <xf numFmtId="38" fontId="23" fillId="0" borderId="0" xfId="0" applyNumberFormat="1" applyFont="1" applyFill="1" applyBorder="1" applyAlignment="1" applyProtection="1">
      <alignment horizontal="left" vertical="top" wrapText="1"/>
      <protection/>
    </xf>
    <xf numFmtId="4" fontId="22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4" fontId="22" fillId="0" borderId="0" xfId="0" applyNumberFormat="1" applyFont="1" applyFill="1" applyAlignment="1" applyProtection="1">
      <alignment horizontal="right" vertical="top" wrapText="1"/>
      <protection/>
    </xf>
    <xf numFmtId="4" fontId="24" fillId="0" borderId="0" xfId="0" applyNumberFormat="1" applyFont="1" applyAlignment="1">
      <alignment horizontal="right" vertical="top" wrapText="1"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4" fontId="10" fillId="0" borderId="0" xfId="0" applyNumberFormat="1" applyFont="1" applyAlignment="1">
      <alignment horizontal="right" vertical="top" wrapText="1"/>
    </xf>
    <xf numFmtId="4" fontId="12" fillId="0" borderId="0" xfId="0" applyNumberFormat="1" applyFont="1" applyFill="1" applyBorder="1" applyAlignment="1" applyProtection="1">
      <alignment horizontal="right" vertical="top" wrapText="1"/>
      <protection/>
    </xf>
    <xf numFmtId="4" fontId="10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4" fontId="10" fillId="0" borderId="14" xfId="0" applyNumberFormat="1" applyFont="1" applyBorder="1" applyAlignment="1">
      <alignment horizontal="right" vertical="top" wrapText="1"/>
    </xf>
    <xf numFmtId="2" fontId="22" fillId="0" borderId="13" xfId="0" applyNumberFormat="1" applyFont="1" applyFill="1" applyBorder="1" applyAlignment="1" applyProtection="1">
      <alignment horizontal="right" vertical="top" wrapText="1"/>
      <protection/>
    </xf>
    <xf numFmtId="2" fontId="24" fillId="0" borderId="0" xfId="0" applyNumberFormat="1" applyFont="1" applyAlignment="1">
      <alignment horizontal="right" vertical="top" wrapText="1"/>
    </xf>
    <xf numFmtId="2" fontId="10" fillId="0" borderId="0" xfId="0" applyNumberFormat="1" applyFont="1" applyAlignment="1">
      <alignment horizontal="right" vertical="top" wrapText="1"/>
    </xf>
    <xf numFmtId="2" fontId="10" fillId="0" borderId="0" xfId="0" applyNumberFormat="1" applyFont="1" applyBorder="1" applyAlignment="1">
      <alignment horizontal="right" vertical="top" wrapText="1"/>
    </xf>
    <xf numFmtId="2" fontId="12" fillId="0" borderId="0" xfId="0" applyNumberFormat="1" applyFont="1" applyFill="1" applyAlignment="1" applyProtection="1">
      <alignment horizontal="right" vertical="top" wrapText="1"/>
      <protection/>
    </xf>
    <xf numFmtId="2" fontId="10" fillId="0" borderId="0" xfId="0" applyNumberFormat="1" applyFont="1" applyFill="1" applyAlignment="1" applyProtection="1">
      <alignment horizontal="right" vertical="top" wrapText="1"/>
      <protection/>
    </xf>
    <xf numFmtId="2" fontId="10" fillId="0" borderId="14" xfId="0" applyNumberFormat="1" applyFont="1" applyBorder="1" applyAlignment="1">
      <alignment horizontal="right" vertical="top" wrapText="1"/>
    </xf>
    <xf numFmtId="4" fontId="10" fillId="0" borderId="0" xfId="0" applyNumberFormat="1" applyFont="1" applyFill="1" applyBorder="1" applyAlignment="1" applyProtection="1">
      <alignment horizontal="left" vertical="top" wrapText="1"/>
      <protection/>
    </xf>
    <xf numFmtId="38" fontId="12" fillId="0" borderId="0" xfId="0" applyNumberFormat="1" applyFont="1" applyFill="1" applyAlignment="1" applyProtection="1">
      <alignment horizontal="left" vertical="top" wrapText="1"/>
      <protection/>
    </xf>
    <xf numFmtId="4" fontId="22" fillId="0" borderId="13" xfId="0" applyNumberFormat="1" applyFont="1" applyFill="1" applyBorder="1" applyAlignment="1" applyProtection="1">
      <alignment horizontal="left" vertical="top" wrapText="1"/>
      <protection/>
    </xf>
    <xf numFmtId="4" fontId="62" fillId="0" borderId="0" xfId="0" applyNumberFormat="1" applyFont="1" applyFill="1" applyBorder="1" applyAlignment="1" applyProtection="1">
      <alignment horizontal="right" vertical="top" wrapText="1"/>
      <protection/>
    </xf>
    <xf numFmtId="38" fontId="12" fillId="0" borderId="14" xfId="0" applyNumberFormat="1" applyFont="1" applyFill="1" applyBorder="1" applyAlignment="1" applyProtection="1">
      <alignment horizontal="left" vertical="top" wrapText="1"/>
      <protection/>
    </xf>
    <xf numFmtId="4" fontId="12" fillId="0" borderId="14" xfId="0" applyNumberFormat="1" applyFont="1" applyFill="1" applyBorder="1" applyAlignment="1" applyProtection="1">
      <alignment horizontal="right" vertical="top" wrapText="1"/>
      <protection/>
    </xf>
    <xf numFmtId="4" fontId="25" fillId="0" borderId="0" xfId="0" applyNumberFormat="1" applyFont="1" applyAlignment="1">
      <alignment horizontal="left" vertical="top" wrapText="1"/>
    </xf>
    <xf numFmtId="4" fontId="22" fillId="0" borderId="13" xfId="0" applyNumberFormat="1" applyFont="1" applyFill="1" applyBorder="1" applyAlignment="1" applyProtection="1">
      <alignment horizontal="right" vertical="top"/>
      <protection/>
    </xf>
    <xf numFmtId="4" fontId="3" fillId="0" borderId="0" xfId="0" applyNumberFormat="1" applyFont="1" applyAlignment="1">
      <alignment horizontal="left" vertical="top" wrapText="1"/>
    </xf>
    <xf numFmtId="4" fontId="12" fillId="0" borderId="0" xfId="0" applyNumberFormat="1" applyFont="1" applyFill="1" applyAlignment="1" applyProtection="1">
      <alignment horizontal="right" vertical="top"/>
      <protection/>
    </xf>
    <xf numFmtId="4" fontId="10" fillId="0" borderId="0" xfId="0" applyNumberFormat="1" applyFont="1" applyFill="1" applyAlignment="1" applyProtection="1">
      <alignment horizontal="right" vertical="top"/>
      <protection/>
    </xf>
    <xf numFmtId="4" fontId="12" fillId="0" borderId="14" xfId="0" applyNumberFormat="1" applyFont="1" applyFill="1" applyBorder="1" applyAlignment="1" applyProtection="1">
      <alignment horizontal="right" vertical="top"/>
      <protection/>
    </xf>
    <xf numFmtId="4" fontId="62" fillId="0" borderId="0" xfId="0" applyNumberFormat="1" applyFont="1" applyFill="1" applyBorder="1" applyAlignment="1" applyProtection="1">
      <alignment horizontal="right" vertical="top" wrapText="1" indent="1"/>
      <protection/>
    </xf>
    <xf numFmtId="0" fontId="0" fillId="0" borderId="0" xfId="0" applyAlignment="1">
      <alignment horizontal="right" vertical="top" wrapText="1" indent="1"/>
    </xf>
    <xf numFmtId="0" fontId="0" fillId="0" borderId="0" xfId="0" applyAlignment="1">
      <alignment horizontal="right" vertical="top" wrapText="1"/>
    </xf>
    <xf numFmtId="2" fontId="22" fillId="0" borderId="13" xfId="0" applyNumberFormat="1" applyFont="1" applyFill="1" applyBorder="1" applyAlignment="1" applyProtection="1">
      <alignment horizontal="right" vertical="top" wrapText="1" indent="1"/>
      <protection/>
    </xf>
    <xf numFmtId="4" fontId="12" fillId="0" borderId="0" xfId="0" applyNumberFormat="1" applyFont="1" applyFill="1" applyAlignment="1" applyProtection="1">
      <alignment horizontal="right" vertical="top" wrapText="1" indent="1"/>
      <protection/>
    </xf>
    <xf numFmtId="4" fontId="10" fillId="0" borderId="0" xfId="0" applyNumberFormat="1" applyFont="1" applyFill="1" applyAlignment="1" applyProtection="1">
      <alignment horizontal="right" vertical="top" wrapText="1" indent="1"/>
      <protection/>
    </xf>
    <xf numFmtId="4" fontId="10" fillId="0" borderId="14" xfId="0" applyNumberFormat="1" applyFont="1" applyFill="1" applyBorder="1" applyAlignment="1" applyProtection="1">
      <alignment horizontal="right" vertical="top" wrapText="1" indent="1"/>
      <protection/>
    </xf>
    <xf numFmtId="4" fontId="22" fillId="0" borderId="13" xfId="0" applyNumberFormat="1" applyFont="1" applyFill="1" applyBorder="1" applyAlignment="1" applyProtection="1">
      <alignment horizontal="right" vertical="top" indent="1"/>
      <protection/>
    </xf>
    <xf numFmtId="4" fontId="12" fillId="0" borderId="0" xfId="0" applyNumberFormat="1" applyFont="1" applyFill="1" applyAlignment="1" applyProtection="1">
      <alignment horizontal="right" vertical="top" indent="1"/>
      <protection/>
    </xf>
    <xf numFmtId="4" fontId="10" fillId="0" borderId="0" xfId="0" applyNumberFormat="1" applyFont="1" applyFill="1" applyAlignment="1" applyProtection="1">
      <alignment horizontal="right" vertical="top" indent="1"/>
      <protection/>
    </xf>
    <xf numFmtId="4" fontId="12" fillId="0" borderId="14" xfId="0" applyNumberFormat="1" applyFont="1" applyFill="1" applyBorder="1" applyAlignment="1" applyProtection="1">
      <alignment horizontal="right" vertical="top" indent="1"/>
      <protection/>
    </xf>
    <xf numFmtId="0" fontId="17" fillId="0" borderId="0" xfId="0" applyFont="1" applyAlignment="1">
      <alignment horizontal="center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87"/>
  <sheetViews>
    <sheetView tabSelected="1" zoomScalePageLayoutView="0" workbookViewId="0" topLeftCell="A1">
      <selection activeCell="K16" sqref="K16"/>
    </sheetView>
  </sheetViews>
  <sheetFormatPr defaultColWidth="9.00390625" defaultRowHeight="15.75"/>
  <cols>
    <col min="1" max="1" width="33.375" style="9" customWidth="1"/>
    <col min="2" max="2" width="11.125" style="9" customWidth="1"/>
    <col min="3" max="3" width="10.00390625" style="9" customWidth="1"/>
    <col min="4" max="4" width="7.875" style="9" customWidth="1"/>
    <col min="5" max="5" width="7.625" style="9" customWidth="1"/>
    <col min="6" max="7" width="9.75390625" style="9" customWidth="1"/>
  </cols>
  <sheetData>
    <row r="1" spans="1:7" ht="15.75">
      <c r="A1" s="83" t="s">
        <v>196</v>
      </c>
      <c r="B1" s="83"/>
      <c r="C1" s="83"/>
      <c r="D1" s="83"/>
      <c r="E1" s="83"/>
      <c r="F1" s="83"/>
      <c r="G1" s="83"/>
    </row>
    <row r="2" ht="9" customHeight="1"/>
    <row r="3" spans="1:7" ht="54" customHeight="1">
      <c r="A3" s="84"/>
      <c r="B3" s="87" t="s">
        <v>207</v>
      </c>
      <c r="C3" s="88"/>
      <c r="D3" s="87" t="s">
        <v>174</v>
      </c>
      <c r="E3" s="88"/>
      <c r="F3" s="89" t="s">
        <v>1</v>
      </c>
      <c r="G3" s="90"/>
    </row>
    <row r="4" spans="1:7" ht="24" customHeight="1">
      <c r="A4" s="85"/>
      <c r="B4" s="91" t="s">
        <v>155</v>
      </c>
      <c r="C4" s="93" t="s">
        <v>208</v>
      </c>
      <c r="D4" s="95" t="s">
        <v>179</v>
      </c>
      <c r="E4" s="95"/>
      <c r="F4" s="95" t="s">
        <v>179</v>
      </c>
      <c r="G4" s="87"/>
    </row>
    <row r="5" spans="1:7" ht="29.25" customHeight="1">
      <c r="A5" s="86"/>
      <c r="B5" s="92"/>
      <c r="C5" s="94"/>
      <c r="D5" s="26">
        <v>2018</v>
      </c>
      <c r="E5" s="26">
        <v>2019</v>
      </c>
      <c r="F5" s="26" t="s">
        <v>178</v>
      </c>
      <c r="G5" s="22" t="s">
        <v>209</v>
      </c>
    </row>
    <row r="6" spans="1:7" ht="15.75" customHeight="1">
      <c r="A6" s="29" t="s">
        <v>156</v>
      </c>
      <c r="B6" s="30">
        <f>IF(475729.97395="","-",475729.97395)</f>
        <v>475729.97395</v>
      </c>
      <c r="C6" s="30">
        <f>IF(435998.38328="","-",475729.97395/435998.38328*100)</f>
        <v>109.11278394454142</v>
      </c>
      <c r="D6" s="30">
        <v>100</v>
      </c>
      <c r="E6" s="30">
        <v>100</v>
      </c>
      <c r="F6" s="30">
        <f>IF(316061.51949="","-",(435998.38328-316061.51949)/316061.51949*100)</f>
        <v>37.9473160742666</v>
      </c>
      <c r="G6" s="30">
        <f>IF(435998.38328="","-",(475729.97395-435998.38328)/435998.38328*100)</f>
        <v>9.112783944541421</v>
      </c>
    </row>
    <row r="7" spans="1:7" ht="15.75" customHeight="1">
      <c r="A7" s="44" t="s">
        <v>258</v>
      </c>
      <c r="B7" s="43"/>
      <c r="C7" s="43"/>
      <c r="D7" s="43"/>
      <c r="E7" s="43"/>
      <c r="F7" s="43"/>
      <c r="G7" s="43"/>
    </row>
    <row r="8" spans="1:7" ht="13.5" customHeight="1">
      <c r="A8" s="31" t="s">
        <v>212</v>
      </c>
      <c r="B8" s="32">
        <f>IF(306600.99908="","-",306600.99908)</f>
        <v>306600.99908</v>
      </c>
      <c r="C8" s="32">
        <f>IF(293149.46144="","-",306600.99908/293149.46144*100)</f>
        <v>104.58862778526823</v>
      </c>
      <c r="D8" s="32">
        <f>IF(293149.46144="","-",293149.46144/435998.38328*100)</f>
        <v>67.236364326548</v>
      </c>
      <c r="E8" s="32">
        <f>IF(306600.99908="","-",306600.99908/475729.97395*100)</f>
        <v>64.4485350658658</v>
      </c>
      <c r="F8" s="32">
        <f>IF(316061.51949="","-",(293149.46144-209249.29474)/316061.51949*100)</f>
        <v>26.545517731921976</v>
      </c>
      <c r="G8" s="32">
        <f>IF(435998.38328="","-",(306600.99908-293149.46144)/435998.38328*100)</f>
        <v>3.0852264952921535</v>
      </c>
    </row>
    <row r="9" spans="1:7" ht="15.75" customHeight="1">
      <c r="A9" s="33" t="s">
        <v>3</v>
      </c>
      <c r="B9" s="34">
        <f>IF(122620.4616="","-",122620.4616)</f>
        <v>122620.4616</v>
      </c>
      <c r="C9" s="34">
        <f>IF(OR(104917.32131="",122620.4616=""),"-",122620.4616/104917.32131*100)</f>
        <v>116.87342001202299</v>
      </c>
      <c r="D9" s="34">
        <f>IF(104917.32131="","-",104917.32131/435998.38328*100)</f>
        <v>24.063695034993206</v>
      </c>
      <c r="E9" s="34">
        <f>IF(122620.4616="","-",122620.4616/475729.97395*100)</f>
        <v>25.77522298666167</v>
      </c>
      <c r="F9" s="34">
        <f>IF(OR(316061.51949="",75922.97854="",104917.32131=""),"-",(104917.32131-75922.97854)/316061.51949*100)</f>
        <v>9.173638985468893</v>
      </c>
      <c r="G9" s="34">
        <f>IF(OR(435998.38328="",122620.4616="",104917.32131=""),"-",(122620.4616-104917.32131)/435998.38328*100)</f>
        <v>4.060368333666724</v>
      </c>
    </row>
    <row r="10" spans="1:7" s="16" customFormat="1" ht="15.75">
      <c r="A10" s="33" t="s">
        <v>4</v>
      </c>
      <c r="B10" s="34">
        <f>IF(57999.53499="","-",57999.53499)</f>
        <v>57999.53499</v>
      </c>
      <c r="C10" s="34">
        <f>IF(OR(47689.46772="",57999.53499=""),"-",57999.53499/47689.46772*100)</f>
        <v>121.61917035965608</v>
      </c>
      <c r="D10" s="34">
        <f>IF(47689.46772="","-",47689.46772/435998.38328*100)</f>
        <v>10.937991870803252</v>
      </c>
      <c r="E10" s="34">
        <f>IF(57999.53499="","-",57999.53499/475729.97395*100)</f>
        <v>12.191692381379324</v>
      </c>
      <c r="F10" s="34">
        <f>IF(OR(316061.51949="",32210.94098="",47689.46772=""),"-",(47689.46772-32210.94098)/316061.51949*100)</f>
        <v>4.897314537048454</v>
      </c>
      <c r="G10" s="34">
        <f>IF(OR(435998.38328="",57999.53499="",47689.46772=""),"-",(57999.53499-47689.46772)/435998.38328*100)</f>
        <v>2.3647030964742894</v>
      </c>
    </row>
    <row r="11" spans="1:7" s="16" customFormat="1" ht="15.75">
      <c r="A11" s="33" t="s">
        <v>5</v>
      </c>
      <c r="B11" s="34">
        <f>IF(41260.29855="","-",41260.29855)</f>
        <v>41260.29855</v>
      </c>
      <c r="C11" s="34">
        <f>IF(OR(39183.93116="",41260.29855=""),"-",41260.29855/39183.93116*100)</f>
        <v>105.29902776095015</v>
      </c>
      <c r="D11" s="34">
        <f>IF(39183.93116="","-",39183.93116/435998.38328*100)</f>
        <v>8.98717349941087</v>
      </c>
      <c r="E11" s="34">
        <f>IF(41260.29855="","-",41260.29855/475729.97395*100)</f>
        <v>8.673050009318212</v>
      </c>
      <c r="F11" s="34">
        <f>IF(OR(316061.51949="",23222.9787="",39183.93116=""),"-",(39183.93116-23222.9787)/316061.51949*100)</f>
        <v>5.049951188539102</v>
      </c>
      <c r="G11" s="34">
        <f>IF(OR(435998.38328="",41260.29855="",39183.93116=""),"-",(41260.29855-39183.93116)/435998.38328*100)</f>
        <v>0.4762328186585379</v>
      </c>
    </row>
    <row r="12" spans="1:7" s="16" customFormat="1" ht="15.75">
      <c r="A12" s="33" t="s">
        <v>6</v>
      </c>
      <c r="B12" s="34">
        <f>IF(16849.0360199999="","-",16849.0360199999)</f>
        <v>16849.0360199999</v>
      </c>
      <c r="C12" s="34">
        <f>IF(OR(14247.93817="",16849.0360199999=""),"-",16849.0360199999/14247.93817*100)</f>
        <v>118.25595969721914</v>
      </c>
      <c r="D12" s="34">
        <f>IF(14247.93817="","-",14247.93817/435998.38328*100)</f>
        <v>3.2678878446321926</v>
      </c>
      <c r="E12" s="34">
        <f>IF(16849.0360199999="","-",16849.0360199999/475729.97395*100)</f>
        <v>3.5417226037077</v>
      </c>
      <c r="F12" s="34">
        <f>IF(OR(316061.51949="",9750.55717="",14247.93817=""),"-",(14247.93817-9750.55717)/316061.51949*100)</f>
        <v>1.4229448137998635</v>
      </c>
      <c r="G12" s="34">
        <f>IF(OR(435998.38328="",16849.0360199999="",14247.93817=""),"-",(16849.0360199999-14247.93817)/435998.38328*100)</f>
        <v>0.5965842878663763</v>
      </c>
    </row>
    <row r="13" spans="1:7" s="16" customFormat="1" ht="15.75">
      <c r="A13" s="33" t="s">
        <v>8</v>
      </c>
      <c r="B13" s="34">
        <f>IF(7978.21117="","-",7978.21117)</f>
        <v>7978.21117</v>
      </c>
      <c r="C13" s="34">
        <f>IF(OR(6236.84933="",7978.21117=""),"-",7978.21117/6236.84933*100)</f>
        <v>127.92053724344179</v>
      </c>
      <c r="D13" s="34">
        <f>IF(6236.84933="","-",6236.84933/435998.38328*100)</f>
        <v>1.4304753341240417</v>
      </c>
      <c r="E13" s="34">
        <f>IF(7978.21117="","-",7978.21117/475729.97395*100)</f>
        <v>1.6770461410612152</v>
      </c>
      <c r="F13" s="34">
        <f>IF(OR(316061.51949="",4328.45071="",6236.84933=""),"-",(6236.84933-4328.45071)/316061.51949*100)</f>
        <v>0.6038060637939763</v>
      </c>
      <c r="G13" s="34">
        <f>IF(OR(435998.38328="",7978.21117="",6236.84933=""),"-",(7978.21117-6236.84933)/435998.38328*100)</f>
        <v>0.3993963984223514</v>
      </c>
    </row>
    <row r="14" spans="1:7" s="16" customFormat="1" ht="15.75">
      <c r="A14" s="33" t="s">
        <v>213</v>
      </c>
      <c r="B14" s="34">
        <f>IF(7607.37641="","-",7607.37641)</f>
        <v>7607.37641</v>
      </c>
      <c r="C14" s="34">
        <f>IF(OR(19407.13131="",7607.37641=""),"-",7607.37641/19407.13131*100)</f>
        <v>39.19887122152934</v>
      </c>
      <c r="D14" s="34">
        <f>IF(19407.13131="","-",19407.13131/435998.38328*100)</f>
        <v>4.451193411315165</v>
      </c>
      <c r="E14" s="34">
        <f>IF(7607.37641="","-",7607.37641/475729.97395*100)</f>
        <v>1.5990954588872608</v>
      </c>
      <c r="F14" s="34">
        <f>IF(OR(316061.51949="",19743.98593="",19407.13131=""),"-",(19407.13131-19743.98593)/316061.51949*100)</f>
        <v>-0.10657881432182895</v>
      </c>
      <c r="G14" s="34">
        <f>IF(OR(435998.38328="",7607.37641="",19407.13131=""),"-",(7607.37641-19407.13131)/435998.38328*100)</f>
        <v>-2.7063758381925345</v>
      </c>
    </row>
    <row r="15" spans="1:7" s="16" customFormat="1" ht="15.75">
      <c r="A15" s="33" t="s">
        <v>214</v>
      </c>
      <c r="B15" s="34">
        <f>IF(7456.19019="","-",7456.19019)</f>
        <v>7456.19019</v>
      </c>
      <c r="C15" s="34">
        <f>IF(OR(9012.11748="",7456.19019=""),"-",7456.19019/9012.11748*100)</f>
        <v>82.73516414479762</v>
      </c>
      <c r="D15" s="34">
        <f>IF(9012.11748="","-",9012.11748/435998.38328*100)</f>
        <v>2.0670070866323327</v>
      </c>
      <c r="E15" s="34">
        <f>IF(7456.19019="","-",7456.19019/475729.97395*100)</f>
        <v>1.5673156198443905</v>
      </c>
      <c r="F15" s="34">
        <f>IF(OR(316061.51949="",7572.6442="",9012.11748=""),"-",(9012.11748-7572.6442)/316061.51949*100)</f>
        <v>0.4554408528829291</v>
      </c>
      <c r="G15" s="34">
        <f>IF(OR(435998.38328="",7456.19019="",9012.11748=""),"-",(7456.19019-9012.11748)/435998.38328*100)</f>
        <v>-0.35686538062247297</v>
      </c>
    </row>
    <row r="16" spans="1:7" s="18" customFormat="1" ht="15.75">
      <c r="A16" s="33" t="s">
        <v>11</v>
      </c>
      <c r="B16" s="34">
        <f>IF(6809.35646="","-",6809.35646)</f>
        <v>6809.35646</v>
      </c>
      <c r="C16" s="34">
        <f>IF(OR(7504.47862="",6809.35646=""),"-",6809.35646/7504.47862*100)</f>
        <v>90.73723578680807</v>
      </c>
      <c r="D16" s="34">
        <f>IF(7504.47862="","-",7504.47862/435998.38328*100)</f>
        <v>1.7212170750597926</v>
      </c>
      <c r="E16" s="34">
        <f>IF(6809.35646="","-",6809.35646/475729.97395*100)</f>
        <v>1.4313490494327512</v>
      </c>
      <c r="F16" s="34">
        <f>IF(OR(316061.51949="",4363.2437="",7504.47862=""),"-",(7504.47862-4363.2437)/316061.51949*100)</f>
        <v>0.993868195365487</v>
      </c>
      <c r="G16" s="34">
        <f>IF(OR(435998.38328="",6809.35646="",7504.47862=""),"-",(6809.35646-7504.47862)/435998.38328*100)</f>
        <v>-0.15943227925998743</v>
      </c>
    </row>
    <row r="17" spans="1:7" s="16" customFormat="1" ht="15.75">
      <c r="A17" s="33" t="s">
        <v>91</v>
      </c>
      <c r="B17" s="34">
        <f>IF(6725.0276="","-",6725.0276)</f>
        <v>6725.0276</v>
      </c>
      <c r="C17" s="34">
        <f>IF(OR(10242.00963="",6725.0276=""),"-",6725.0276/10242.00963*100)</f>
        <v>65.66121145113588</v>
      </c>
      <c r="D17" s="34">
        <f>IF(10242.00963="","-",10242.00963/435998.38328*100)</f>
        <v>2.349093488134</v>
      </c>
      <c r="E17" s="34">
        <f>IF(6725.0276="","-",6725.0276/475729.97395*100)</f>
        <v>1.413622846624924</v>
      </c>
      <c r="F17" s="34">
        <f>IF(OR(316061.51949="",5696.82174="",10242.00963=""),"-",(10242.00963-5696.82174)/316061.51949*100)</f>
        <v>1.4380706317346574</v>
      </c>
      <c r="G17" s="34">
        <f>IF(OR(435998.38328="",6725.0276="",10242.00963=""),"-",(6725.0276-10242.00963)/435998.38328*100)</f>
        <v>-0.8066502457054708</v>
      </c>
    </row>
    <row r="18" spans="1:7" s="16" customFormat="1" ht="15.75">
      <c r="A18" s="33" t="s">
        <v>7</v>
      </c>
      <c r="B18" s="34">
        <f>IF(6247.67522="","-",6247.67522)</f>
        <v>6247.67522</v>
      </c>
      <c r="C18" s="34">
        <f>IF(OR(9343.96284="",6247.67522=""),"-",6247.67522/9343.96284*100)</f>
        <v>66.86322845008232</v>
      </c>
      <c r="D18" s="34">
        <f>IF(9343.96284="","-",9343.96284/435998.38328*100)</f>
        <v>2.143118689960662</v>
      </c>
      <c r="E18" s="34">
        <f>IF(6247.67522="","-",6247.67522/475729.97395*100)</f>
        <v>1.313281811554855</v>
      </c>
      <c r="F18" s="34">
        <f>IF(OR(316061.51949="",9191.56261="",9343.96284=""),"-",(9343.96284-9191.56261)/316061.51949*100)</f>
        <v>0.04821853360887267</v>
      </c>
      <c r="G18" s="34">
        <f>IF(OR(435998.38328="",6247.67522="",9343.96284=""),"-",(6247.67522-9343.96284)/435998.38328*100)</f>
        <v>-0.710160344335853</v>
      </c>
    </row>
    <row r="19" spans="1:7" s="16" customFormat="1" ht="15.75">
      <c r="A19" s="33" t="s">
        <v>10</v>
      </c>
      <c r="B19" s="34">
        <f>IF(6194.48905="","-",6194.48905)</f>
        <v>6194.48905</v>
      </c>
      <c r="C19" s="34">
        <f>IF(OR(8192.34803="",6194.48905=""),"-",6194.48905/8192.34803*100)</f>
        <v>75.61310905391309</v>
      </c>
      <c r="D19" s="34">
        <f>IF(8192.34803="","-",8192.34803/435998.38328*100)</f>
        <v>1.878985873380828</v>
      </c>
      <c r="E19" s="34">
        <f>IF(6194.48905="","-",6194.48905/475729.97395*100)</f>
        <v>1.3021019042729165</v>
      </c>
      <c r="F19" s="34">
        <f>IF(OR(316061.51949="",3794.25994="",8192.34803=""),"-",(8192.34803-3794.25994)/316061.51949*100)</f>
        <v>1.3915291229051858</v>
      </c>
      <c r="G19" s="34">
        <f>IF(OR(435998.38328="",6194.48905="",8192.34803=""),"-",(6194.48905-8192.34803)/435998.38328*100)</f>
        <v>-0.4582262358337612</v>
      </c>
    </row>
    <row r="20" spans="1:7" s="16" customFormat="1" ht="15.75">
      <c r="A20" s="33" t="s">
        <v>9</v>
      </c>
      <c r="B20" s="34">
        <f>IF(5721.29706="","-",5721.29706)</f>
        <v>5721.29706</v>
      </c>
      <c r="C20" s="34">
        <f>IF(OR(6967.05772="",5721.29706=""),"-",5721.29706/6967.05772*100)</f>
        <v>82.11927172034396</v>
      </c>
      <c r="D20" s="34">
        <f>IF(6967.05772="","-",6967.05772/435998.38328*100)</f>
        <v>1.597954943682836</v>
      </c>
      <c r="E20" s="34">
        <f>IF(5721.29706="","-",5721.29706/475729.97395*100)</f>
        <v>1.2026353968188932</v>
      </c>
      <c r="F20" s="34">
        <f>IF(OR(316061.51949="",4795.28799="",6967.05772=""),"-",(6967.05772-4795.28799)/316061.51949*100)</f>
        <v>0.6871351291053682</v>
      </c>
      <c r="G20" s="34">
        <f>IF(OR(435998.38328="",5721.29706="",6967.05772=""),"-",(5721.29706-6967.05772)/435998.38328*100)</f>
        <v>-0.2857259815112588</v>
      </c>
    </row>
    <row r="21" spans="1:9" s="16" customFormat="1" ht="15.75">
      <c r="A21" s="33" t="s">
        <v>98</v>
      </c>
      <c r="B21" s="34">
        <f>IF(4203.81576="","-",4203.81576)</f>
        <v>4203.81576</v>
      </c>
      <c r="C21" s="34" t="s">
        <v>215</v>
      </c>
      <c r="D21" s="34">
        <f>IF(102.90893="","-",102.90893/435998.38328*100)</f>
        <v>0.023603053118183573</v>
      </c>
      <c r="E21" s="34">
        <f>IF(4203.81576="","-",4203.81576/475729.97395*100)</f>
        <v>0.88365585315039</v>
      </c>
      <c r="F21" s="34">
        <f>IF(OR(316061.51949="",1094.57735="",102.90893=""),"-",(102.90893-1094.57735)/316061.51949*100)</f>
        <v>-0.31375803723280393</v>
      </c>
      <c r="G21" s="34">
        <f>IF(OR(435998.38328="",4203.81576="",102.90893=""),"-",(4203.81576-102.90893)/435998.38328*100)</f>
        <v>0.9405784487430957</v>
      </c>
      <c r="I21" s="16" t="s">
        <v>204</v>
      </c>
    </row>
    <row r="22" spans="1:7" s="16" customFormat="1" ht="15.75">
      <c r="A22" s="33" t="s">
        <v>92</v>
      </c>
      <c r="B22" s="34">
        <f>IF(2580.53296="","-",2580.53296)</f>
        <v>2580.53296</v>
      </c>
      <c r="C22" s="34">
        <f>IF(OR(2643.67995="",2580.53296=""),"-",2580.53296/2643.67995*100)</f>
        <v>97.61139808167776</v>
      </c>
      <c r="D22" s="34">
        <f>IF(2643.67995="","-",2643.67995/435998.38328*100)</f>
        <v>0.6063508607788157</v>
      </c>
      <c r="E22" s="34">
        <f>IF(2580.53296="","-",2580.53296/475729.97395*100)</f>
        <v>0.5424364873572625</v>
      </c>
      <c r="F22" s="34">
        <f>IF(OR(316061.51949="",2046.55692="",2643.67995=""),"-",(2643.67995-2046.55692)/316061.51949*100)</f>
        <v>0.18892620365918758</v>
      </c>
      <c r="G22" s="34">
        <f>IF(OR(435998.38328="",2580.53296="",2643.67995=""),"-",(2580.53296-2643.67995)/435998.38328*100)</f>
        <v>-0.01448330829232615</v>
      </c>
    </row>
    <row r="23" spans="1:7" s="9" customFormat="1" ht="15.75">
      <c r="A23" s="33" t="s">
        <v>95</v>
      </c>
      <c r="B23" s="34">
        <f>IF(1667.12894="","-",1667.12894)</f>
        <v>1667.12894</v>
      </c>
      <c r="C23" s="34">
        <f>IF(OR(1866.39971="",1667.12894=""),"-",1667.12894/1866.39971*100)</f>
        <v>89.32325327032976</v>
      </c>
      <c r="D23" s="34">
        <f>IF(1866.39971="","-",1866.39971/435998.38328*100)</f>
        <v>0.42807491531485564</v>
      </c>
      <c r="E23" s="34">
        <f>IF(1667.12894="","-",1667.12894/475729.97395*100)</f>
        <v>0.3504359681518024</v>
      </c>
      <c r="F23" s="34">
        <f>IF(OR(316061.51949="",1012.53693="",1866.39971=""),"-",(1866.39971-1012.53693)/316061.51949*100)</f>
        <v>0.2701571457916805</v>
      </c>
      <c r="G23" s="34">
        <f>IF(OR(435998.38328="",1667.12894="",1866.39971=""),"-",(1667.12894-1866.39971)/435998.38328*100)</f>
        <v>-0.04570447452141751</v>
      </c>
    </row>
    <row r="24" spans="1:7" s="9" customFormat="1" ht="15.75">
      <c r="A24" s="33" t="s">
        <v>94</v>
      </c>
      <c r="B24" s="34">
        <f>IF(1524.37549="","-",1524.37549)</f>
        <v>1524.37549</v>
      </c>
      <c r="C24" s="34">
        <f>IF(OR(1460.87075="",1524.37549=""),"-",1524.37549/1460.87075*100)</f>
        <v>104.34704712925493</v>
      </c>
      <c r="D24" s="34">
        <f>IF(1460.87075="","-",1460.87075/435998.38328*100)</f>
        <v>0.3350633410633137</v>
      </c>
      <c r="E24" s="34">
        <f>IF(1524.37549="","-",1524.37549/475729.97395*100)</f>
        <v>0.3204287250061343</v>
      </c>
      <c r="F24" s="34">
        <f>IF(OR(316061.51949="",1856.8575="",1460.87075=""),"-",(1460.87075-1856.8575)/316061.51949*100)</f>
        <v>-0.1252878713735757</v>
      </c>
      <c r="G24" s="34">
        <f>IF(OR(435998.38328="",1524.37549="",1460.87075=""),"-",(1524.37549-1460.87075)/435998.38328*100)</f>
        <v>0.014565361348878406</v>
      </c>
    </row>
    <row r="25" spans="1:7" s="16" customFormat="1" ht="15.75">
      <c r="A25" s="33" t="s">
        <v>96</v>
      </c>
      <c r="B25" s="34">
        <f>IF(1197.91967="","-",1197.91967)</f>
        <v>1197.91967</v>
      </c>
      <c r="C25" s="34">
        <f>IF(OR(1012.06542="",1197.91967=""),"-",1197.91967/1012.06542*100)</f>
        <v>118.363857348273</v>
      </c>
      <c r="D25" s="34">
        <f>IF(1012.06542="","-",1012.06542/435998.38328*100)</f>
        <v>0.2321259570703608</v>
      </c>
      <c r="E25" s="34">
        <f>IF(1197.91967="","-",1197.91967/475729.97395*100)</f>
        <v>0.2518066414974103</v>
      </c>
      <c r="F25" s="34">
        <f>IF(OR(316061.51949="",582.64008="",1012.06542=""),"-",(1012.06542-582.64008)/316061.51949*100)</f>
        <v>0.1358676439615063</v>
      </c>
      <c r="G25" s="34">
        <f>IF(OR(435998.38328="",1197.91967="",1012.06542=""),"-",(1197.91967-1012.06542)/435998.38328*100)</f>
        <v>0.04262727962471448</v>
      </c>
    </row>
    <row r="26" spans="1:7" s="16" customFormat="1" ht="15.75">
      <c r="A26" s="33" t="s">
        <v>93</v>
      </c>
      <c r="B26" s="34">
        <f>IF(1018.59827="","-",1018.59827)</f>
        <v>1018.59827</v>
      </c>
      <c r="C26" s="34">
        <f>IF(OR(1182.22269="",1018.59827=""),"-",1018.59827/1182.22269*100)</f>
        <v>86.15959401016063</v>
      </c>
      <c r="D26" s="34">
        <f>IF(1182.22269="","-",1182.22269/435998.38328*100)</f>
        <v>0.27115299857448594</v>
      </c>
      <c r="E26" s="34">
        <f>IF(1018.59827="","-",1018.59827/475729.97395*100)</f>
        <v>0.21411269538947664</v>
      </c>
      <c r="F26" s="34">
        <f>IF(OR(316061.51949="",792.66167="",1182.22269=""),"-",(1182.22269-792.66167)/316061.51949*100)</f>
        <v>0.12325480831345734</v>
      </c>
      <c r="G26" s="34">
        <f>IF(OR(435998.38328="",1018.59827="",1182.22269=""),"-",(1018.59827-1182.22269)/435998.38328*100)</f>
        <v>-0.037528675856332204</v>
      </c>
    </row>
    <row r="27" spans="1:7" s="9" customFormat="1" ht="15.75">
      <c r="A27" s="33" t="s">
        <v>97</v>
      </c>
      <c r="B27" s="34">
        <f>IF(452.83576="","-",452.83576)</f>
        <v>452.83576</v>
      </c>
      <c r="C27" s="34">
        <f>IF(OR(784.29374="",452.83576=""),"-",452.83576/784.29374*100)</f>
        <v>57.738030651628044</v>
      </c>
      <c r="D27" s="34">
        <f>IF(784.29374="","-",784.29374/435998.38328*100)</f>
        <v>0.17988455234622355</v>
      </c>
      <c r="E27" s="34">
        <f>IF(452.83576="","-",452.83576/475729.97395*100)</f>
        <v>0.09518756117889553</v>
      </c>
      <c r="F27" s="34">
        <f>IF(OR(316061.51949="",336.14216="",784.29374=""),"-",(784.29374-336.14216)/316061.51949*100)</f>
        <v>0.1417925158124728</v>
      </c>
      <c r="G27" s="34">
        <f>IF(OR(435998.38328="",452.83576="",784.29374=""),"-",(452.83576-784.29374)/435998.38328*100)</f>
        <v>-0.07602275437501708</v>
      </c>
    </row>
    <row r="28" spans="1:7" s="9" customFormat="1" ht="15.75">
      <c r="A28" s="33" t="s">
        <v>99</v>
      </c>
      <c r="B28" s="34">
        <f>IF(141.60971="","-",141.60971)</f>
        <v>141.60971</v>
      </c>
      <c r="C28" s="34">
        <f>IF(OR(549.89909="",141.60971=""),"-",141.60971/549.89909*100)</f>
        <v>25.75194477954128</v>
      </c>
      <c r="D28" s="34">
        <f>IF(549.89909="","-",549.89909/435998.38328*100)</f>
        <v>0.12612411217287758</v>
      </c>
      <c r="E28" s="34">
        <f>IF(141.60971="","-",141.60971/475729.97395*100)</f>
        <v>0.029766825248409387</v>
      </c>
      <c r="F28" s="34">
        <f>IF(OR(316061.51949="",358.60949="",549.89909=""),"-",(549.89909-358.60949)/316061.51949*100)</f>
        <v>0.060522900829138214</v>
      </c>
      <c r="G28" s="34">
        <f>IF(OR(435998.38328="",141.60971="",549.89909=""),"-",(141.60971-549.89909)/435998.38328*100)</f>
        <v>-0.09364470045243145</v>
      </c>
    </row>
    <row r="29" spans="1:7" s="9" customFormat="1" ht="15.75">
      <c r="A29" s="33" t="s">
        <v>100</v>
      </c>
      <c r="B29" s="34">
        <f>IF(133.133="","-",133.133)</f>
        <v>133.133</v>
      </c>
      <c r="C29" s="34" t="s">
        <v>216</v>
      </c>
      <c r="D29" s="34">
        <f>IF(1.63235="","-",1.63235/435998.38328*100)</f>
        <v>0.00037439359011377294</v>
      </c>
      <c r="E29" s="34">
        <f>IF(133.133="","-",133.133/475729.97395*100)</f>
        <v>0.027984993019168583</v>
      </c>
      <c r="F29" s="34">
        <f>IF(OR(316061.51949="",21.23394="",1.63235=""),"-",(1.63235-21.23394)/316061.51949*100)</f>
        <v>-0.006201827426391331</v>
      </c>
      <c r="G29" s="34">
        <f>IF(OR(435998.38328="",133.133="",1.63235=""),"-",(133.133-1.63235)/435998.38328*100)</f>
        <v>0.03016081137978664</v>
      </c>
    </row>
    <row r="30" spans="1:7" s="9" customFormat="1" ht="15.75">
      <c r="A30" s="33" t="s">
        <v>217</v>
      </c>
      <c r="B30" s="34">
        <f>IF(85.99316="","-",85.99316)</f>
        <v>85.99316</v>
      </c>
      <c r="C30" s="34">
        <f>IF(OR(124.59162="",85.99316=""),"-",85.99316/124.59162*100)</f>
        <v>69.02001916340762</v>
      </c>
      <c r="D30" s="34">
        <f>IF(124.59162="","-",124.59162/435998.38328*100)</f>
        <v>0.028576165595546887</v>
      </c>
      <c r="E30" s="34">
        <f>IF(85.99316="","-",85.99316/475729.97395*100)</f>
        <v>0.018076044123517435</v>
      </c>
      <c r="F30" s="34">
        <f>IF(OR(316061.51949="",27.09488="",124.59162=""),"-",(124.59162-27.09488)/316061.51949*100)</f>
        <v>0.030847393304101595</v>
      </c>
      <c r="G30" s="34">
        <f>IF(OR(435998.38328="",85.99316="",124.59162=""),"-",(85.99316-124.59162)/435998.38328*100)</f>
        <v>-0.00885289062533333</v>
      </c>
    </row>
    <row r="31" spans="1:7" s="9" customFormat="1" ht="15.75">
      <c r="A31" s="33" t="s">
        <v>101</v>
      </c>
      <c r="B31" s="34">
        <f>IF(64.84103="","-",64.84103)</f>
        <v>64.84103</v>
      </c>
      <c r="C31" s="34">
        <f>IF(OR(155.59583="",64.84103=""),"-",64.84103/155.59583*100)</f>
        <v>41.67272991827608</v>
      </c>
      <c r="D31" s="34">
        <f>IF(155.59583="","-",155.59583/435998.38328*100)</f>
        <v>0.03568724930341673</v>
      </c>
      <c r="E31" s="34">
        <f>IF(64.84103="","-",64.84103/475729.97395*100)</f>
        <v>0.013629797059374463</v>
      </c>
      <c r="F31" s="34">
        <f>IF(OR(316061.51949="",353.5012="",155.59583=""),"-",(155.59583-353.5012)/316061.51949*100)</f>
        <v>-0.06261609142401835</v>
      </c>
      <c r="G31" s="34">
        <f>IF(OR(435998.38328="",64.84103="",155.59583=""),"-",(64.84103-155.59583)/435998.38328*100)</f>
        <v>-0.020815398285942012</v>
      </c>
    </row>
    <row r="32" spans="1:7" s="9" customFormat="1" ht="15.75">
      <c r="A32" s="33" t="s">
        <v>105</v>
      </c>
      <c r="B32" s="34">
        <f>IF(30.57552="","-",30.57552)</f>
        <v>30.57552</v>
      </c>
      <c r="C32" s="34" t="str">
        <f>IF(OR(""="",30.57552=""),"-",30.57552/""*100)</f>
        <v>-</v>
      </c>
      <c r="D32" s="34" t="str">
        <f>IF(""="","-",""/435998.38328*100)</f>
        <v>-</v>
      </c>
      <c r="E32" s="34">
        <f>IF(30.57552="","-",30.57552/475729.97395*100)</f>
        <v>0.006427074532666201</v>
      </c>
      <c r="F32" s="34" t="str">
        <f>IF(OR(316061.51949="",1.1229="",""=""),"-",(""-1.1229)/316061.51949*100)</f>
        <v>-</v>
      </c>
      <c r="G32" s="34" t="str">
        <f>IF(OR(435998.38328="",30.57552="",""=""),"-",(30.57552-"")/435998.38328*100)</f>
        <v>-</v>
      </c>
    </row>
    <row r="33" spans="1:7" s="9" customFormat="1" ht="15.75">
      <c r="A33" s="33" t="s">
        <v>102</v>
      </c>
      <c r="B33" s="34">
        <f>IF(19.59225="","-",19.59225)</f>
        <v>19.59225</v>
      </c>
      <c r="C33" s="34" t="s">
        <v>167</v>
      </c>
      <c r="D33" s="34">
        <f>IF(10.68725="","-",10.68725/435998.38328*100)</f>
        <v>0.002451213217718884</v>
      </c>
      <c r="E33" s="34">
        <f>IF(19.59225="","-",19.59225/475729.97395*100)</f>
        <v>0.004118355174748602</v>
      </c>
      <c r="F33" s="34">
        <f>IF(OR(316061.51949="",0.97796="",10.68725=""),"-",(10.68725-0.97796)/316061.51949*100)</f>
        <v>0.0030719620710762284</v>
      </c>
      <c r="G33" s="34">
        <f>IF(OR(435998.38328="",19.59225="",10.68725=""),"-",(19.59225-10.68725)/435998.38328*100)</f>
        <v>0.0020424387661733987</v>
      </c>
    </row>
    <row r="34" spans="1:7" s="9" customFormat="1" ht="15.75">
      <c r="A34" s="33" t="s">
        <v>103</v>
      </c>
      <c r="B34" s="34">
        <f>IF(6.61457="","-",6.61457)</f>
        <v>6.61457</v>
      </c>
      <c r="C34" s="34" t="str">
        <f>IF(OR(""="",6.61457=""),"-",6.61457/""*100)</f>
        <v>-</v>
      </c>
      <c r="D34" s="34" t="str">
        <f>IF(""="","-",""/435998.38328*100)</f>
        <v>-</v>
      </c>
      <c r="E34" s="34">
        <f>IF(6.61457="","-",6.61457/475729.97395*100)</f>
        <v>0.0013904042970172825</v>
      </c>
      <c r="F34" s="34" t="str">
        <f>IF(OR(316061.51949="",52.41783="",""=""),"-",(""-52.41783)/316061.51949*100)</f>
        <v>-</v>
      </c>
      <c r="G34" s="34" t="str">
        <f>IF(OR(435998.38328="",6.61457="",""=""),"-",(6.61457-"")/435998.38328*100)</f>
        <v>-</v>
      </c>
    </row>
    <row r="35" spans="1:7" s="9" customFormat="1" ht="14.25" customHeight="1">
      <c r="A35" s="33" t="s">
        <v>104</v>
      </c>
      <c r="B35" s="34">
        <f>IF(4.47867="","-",4.47867)</f>
        <v>4.47867</v>
      </c>
      <c r="C35" s="34">
        <f>IF(OR(310.00079="",4.47867=""),"-",4.47867/310.00079*100)</f>
        <v>1.4447285763368538</v>
      </c>
      <c r="D35" s="34">
        <f>IF(310.00079="","-",310.00079/435998.38328*100)</f>
        <v>0.07110136227292296</v>
      </c>
      <c r="E35" s="34">
        <f>IF(4.47867="","-",4.47867/475729.97395*100)</f>
        <v>0.0009414311153895709</v>
      </c>
      <c r="F35" s="34">
        <f>IF(OR(316061.51949="",118.65172="",310.00079=""),"-",(310.00079-118.65172)/316061.51949*100)</f>
        <v>0.0605417167862645</v>
      </c>
      <c r="G35" s="34">
        <f>IF(OR(435998.38328="",4.47867="",310.00079=""),"-",(4.47867-310.00079)/435998.38328*100)</f>
        <v>-0.07007414057400126</v>
      </c>
    </row>
    <row r="36" spans="1:7" s="17" customFormat="1" ht="14.25" customHeight="1">
      <c r="A36" s="31" t="s">
        <v>218</v>
      </c>
      <c r="B36" s="32">
        <f>IF(64745.62948="","-",64745.62948)</f>
        <v>64745.62948</v>
      </c>
      <c r="C36" s="32">
        <f>IF(70748.16117="","-",64745.62948/70748.16117*100)</f>
        <v>91.51563575542751</v>
      </c>
      <c r="D36" s="32">
        <f>IF(70748.16117="","-",70748.16117/435998.38328*100)</f>
        <v>16.226702639987828</v>
      </c>
      <c r="E36" s="32">
        <f>IF(64745.62948="","-",64745.62948/475729.97395*100)</f>
        <v>13.60974355734097</v>
      </c>
      <c r="F36" s="32">
        <f>IF(316061.51949="","-",(70748.16117-61107.74155)/316061.51949*100)</f>
        <v>3.0501718891802727</v>
      </c>
      <c r="G36" s="32">
        <f>IF(435998.38328="","-",(64745.62948-70748.16117)/435998.38328*100)</f>
        <v>-1.3767325568602284</v>
      </c>
    </row>
    <row r="37" spans="1:7" s="17" customFormat="1" ht="14.25" customHeight="1">
      <c r="A37" s="33" t="s">
        <v>219</v>
      </c>
      <c r="B37" s="34">
        <f>IF(37653.44979="","-",37653.44979)</f>
        <v>37653.44979</v>
      </c>
      <c r="C37" s="34">
        <f>IF(OR(40616.93944="",37653.44979=""),"-",37653.44979/40616.93944*100)</f>
        <v>92.70380858120116</v>
      </c>
      <c r="D37" s="34">
        <f>IF(40616.93944="","-",40616.93944/435998.38328*100)</f>
        <v>9.315846342007106</v>
      </c>
      <c r="E37" s="34">
        <f>IF(37653.44979="","-",37653.44979/475729.97395*100)</f>
        <v>7.914878576466876</v>
      </c>
      <c r="F37" s="34">
        <f>IF(OR(316061.51949="",36252.33483="",40616.93944=""),"-",(40616.93944-36252.33483)/316061.51949*100)</f>
        <v>1.3809351473861076</v>
      </c>
      <c r="G37" s="34">
        <f>IF(OR(435998.38328="",37653.44979="",40616.93944=""),"-",(37653.44979-40616.93944)/435998.38328*100)</f>
        <v>-0.6797019813940084</v>
      </c>
    </row>
    <row r="38" spans="1:7" s="17" customFormat="1" ht="14.25" customHeight="1">
      <c r="A38" s="33" t="s">
        <v>12</v>
      </c>
      <c r="B38" s="34">
        <f>IF(14286.81155="","-",14286.81155)</f>
        <v>14286.81155</v>
      </c>
      <c r="C38" s="34">
        <f>IF(OR(15720.23514="",14286.81155=""),"-",14286.81155/15720.23514*100)</f>
        <v>90.88166571788314</v>
      </c>
      <c r="D38" s="34">
        <f>IF(15720.23514="","-",15720.23514/435998.38328*100)</f>
        <v>3.6055718880738143</v>
      </c>
      <c r="E38" s="34">
        <f>IF(14286.81155="","-",14286.81155/475729.97395*100)</f>
        <v>3.0031346209649525</v>
      </c>
      <c r="F38" s="34">
        <f>IF(OR(316061.51949="",15271.35763="",15720.23514=""),"-",(15720.23514-15271.35763)/316061.51949*100)</f>
        <v>0.14202219578147746</v>
      </c>
      <c r="G38" s="34">
        <f>IF(OR(435998.38328="",14286.81155="",15720.23514=""),"-",(14286.81155-15720.23514)/435998.38328*100)</f>
        <v>-0.32876809753660247</v>
      </c>
    </row>
    <row r="39" spans="1:7" s="15" customFormat="1" ht="14.25" customHeight="1">
      <c r="A39" s="33" t="s">
        <v>13</v>
      </c>
      <c r="B39" s="34">
        <f>IF(10834.85204="","-",10834.85204)</f>
        <v>10834.85204</v>
      </c>
      <c r="C39" s="34">
        <f>IF(OR(11038.57897="",10834.85204=""),"-",10834.85204/11038.57897*100)</f>
        <v>98.15440981530614</v>
      </c>
      <c r="D39" s="34">
        <f>IF(11038.57897="","-",11038.57897/435998.38328*100)</f>
        <v>2.5317935555075164</v>
      </c>
      <c r="E39" s="34">
        <f>IF(10834.85204="","-",10834.85204/475729.97395*100)</f>
        <v>2.277521416201276</v>
      </c>
      <c r="F39" s="34">
        <f>IF(OR(316061.51949="",7088.00633="",11038.57897=""),"-",(11038.57897-7088.00633)/316061.51949*100)</f>
        <v>1.2499378748715388</v>
      </c>
      <c r="G39" s="34">
        <f>IF(OR(435998.38328="",10834.85204="",11038.57897=""),"-",(10834.85204-11038.57897)/435998.38328*100)</f>
        <v>-0.04672653335715844</v>
      </c>
    </row>
    <row r="40" spans="1:7" s="17" customFormat="1" ht="14.25" customHeight="1">
      <c r="A40" s="33" t="s">
        <v>14</v>
      </c>
      <c r="B40" s="34">
        <f>IF(751.72265="","-",751.72265)</f>
        <v>751.72265</v>
      </c>
      <c r="C40" s="34">
        <f>IF(OR(1732.12305="",751.72265=""),"-",751.72265/1732.12305*100)</f>
        <v>43.398917299784216</v>
      </c>
      <c r="D40" s="34">
        <f>IF(1732.12305="","-",1732.12305/435998.38328*100)</f>
        <v>0.3972774020328472</v>
      </c>
      <c r="E40" s="34">
        <f>IF(751.72265="","-",751.72265/475729.97395*100)</f>
        <v>0.15801456522876303</v>
      </c>
      <c r="F40" s="34">
        <f>IF(OR(316061.51949="",1040.26171="",1732.12305=""),"-",(1732.12305-1040.26171)/316061.51949*100)</f>
        <v>0.2189008459860581</v>
      </c>
      <c r="G40" s="34">
        <f>IF(OR(435998.38328="",751.72265="",1732.12305=""),"-",(751.72265-1732.12305)/435998.38328*100)</f>
        <v>-0.22486331087388062</v>
      </c>
    </row>
    <row r="41" spans="1:7" s="15" customFormat="1" ht="14.25" customHeight="1">
      <c r="A41" s="33" t="s">
        <v>16</v>
      </c>
      <c r="B41" s="34">
        <f>IF(452.23268="","-",452.23268)</f>
        <v>452.23268</v>
      </c>
      <c r="C41" s="34" t="s">
        <v>220</v>
      </c>
      <c r="D41" s="34">
        <f>IF(300.9674="","-",300.9674/435998.38328*100)</f>
        <v>0.0690294761498502</v>
      </c>
      <c r="E41" s="34">
        <f>IF(452.23268="","-",452.23268/475729.97395*100)</f>
        <v>0.09506079178595764</v>
      </c>
      <c r="F41" s="34">
        <f>IF(OR(316061.51949="",483.08509="",300.9674=""),"-",(300.9674-483.08509)/316061.51949*100)</f>
        <v>-0.05762096261951372</v>
      </c>
      <c r="G41" s="34">
        <f>IF(OR(435998.38328="",452.23268="",300.9674=""),"-",(452.23268-300.9674)/435998.38328*100)</f>
        <v>0.03469400020753215</v>
      </c>
    </row>
    <row r="42" spans="1:7" s="15" customFormat="1" ht="14.25" customHeight="1">
      <c r="A42" s="33" t="s">
        <v>15</v>
      </c>
      <c r="B42" s="34">
        <f>IF(414.47334="","-",414.47334)</f>
        <v>414.47334</v>
      </c>
      <c r="C42" s="34">
        <f>IF(OR(808.28391="",414.47334=""),"-",414.47334/808.28391*100)</f>
        <v>51.27818763582712</v>
      </c>
      <c r="D42" s="34">
        <f>IF(808.28391="","-",808.28391/435998.38328*100)</f>
        <v>0.18538690531815954</v>
      </c>
      <c r="E42" s="34">
        <f>IF(414.47334="","-",414.47334/475729.97395*100)</f>
        <v>0.08712365474023334</v>
      </c>
      <c r="F42" s="34">
        <f>IF(OR(316061.51949="",653.51646="",808.28391=""),"-",(808.28391-653.51646)/316061.51949*100)</f>
        <v>0.04896750805024738</v>
      </c>
      <c r="G42" s="34">
        <f>IF(OR(435998.38328="",414.47334="",808.28391=""),"-",(414.47334-808.28391)/435998.38328*100)</f>
        <v>-0.09032386015686053</v>
      </c>
    </row>
    <row r="43" spans="1:7" s="15" customFormat="1" ht="14.25" customHeight="1">
      <c r="A43" s="33" t="s">
        <v>18</v>
      </c>
      <c r="B43" s="34">
        <f>IF(135.26441="","-",135.26441)</f>
        <v>135.26441</v>
      </c>
      <c r="C43" s="34">
        <f>IF(OR(304.44762="",135.26441=""),"-",135.26441/304.44762*100)</f>
        <v>44.4294522650563</v>
      </c>
      <c r="D43" s="34">
        <f>IF(304.44762="","-",304.44762/435998.38328*100)</f>
        <v>0.06982769470603344</v>
      </c>
      <c r="E43" s="34">
        <f>IF(135.26441="","-",135.26441/475729.97395*100)</f>
        <v>0.02843302238807776</v>
      </c>
      <c r="F43" s="34">
        <f>IF(OR(316061.51949="",115.69592="",304.44762=""),"-",(304.44762-115.69592)/316061.51949*100)</f>
        <v>0.059719924242777674</v>
      </c>
      <c r="G43" s="34">
        <f>IF(OR(435998.38328="",135.26441="",304.44762=""),"-",(135.26441-304.44762)/435998.38328*100)</f>
        <v>-0.03880363241882707</v>
      </c>
    </row>
    <row r="44" spans="1:7" s="15" customFormat="1" ht="14.25" customHeight="1">
      <c r="A44" s="33" t="s">
        <v>221</v>
      </c>
      <c r="B44" s="34">
        <f>IF(110.97636="","-",110.97636)</f>
        <v>110.97636</v>
      </c>
      <c r="C44" s="34">
        <f>IF(OR(76.41608="",110.97636=""),"-",110.97636/76.41608*100)</f>
        <v>145.22644972105348</v>
      </c>
      <c r="D44" s="34">
        <f>IF(76.41608="","-",76.41608/435998.38328*100)</f>
        <v>0.0175266888434596</v>
      </c>
      <c r="E44" s="34">
        <f>IF(110.97636="","-",110.97636/475729.97395*100)</f>
        <v>0.02332759466017245</v>
      </c>
      <c r="F44" s="34">
        <f>IF(OR(316061.51949="",76.74051="",76.41608=""),"-",(76.41608-76.74051)/316061.51949*100)</f>
        <v>-0.0001026477378592339</v>
      </c>
      <c r="G44" s="34">
        <f>IF(OR(435998.38328="",110.97636="",76.41608=""),"-",(110.97636-76.41608)/435998.38328*100)</f>
        <v>0.007926699117552748</v>
      </c>
    </row>
    <row r="45" spans="1:7" s="15" customFormat="1" ht="14.25" customHeight="1">
      <c r="A45" s="33" t="s">
        <v>19</v>
      </c>
      <c r="B45" s="34">
        <f>IF(59.17266="","-",59.17266)</f>
        <v>59.17266</v>
      </c>
      <c r="C45" s="34">
        <f>IF(OR(94.22308="",59.17266=""),"-",59.17266/94.22308*100)</f>
        <v>62.800600447363855</v>
      </c>
      <c r="D45" s="34">
        <f>IF(94.22308="","-",94.22308/435998.38328*100)</f>
        <v>0.02161087829986047</v>
      </c>
      <c r="E45" s="34">
        <f>IF(59.17266="","-",59.17266/475729.97395*100)</f>
        <v>0.012438287104066128</v>
      </c>
      <c r="F45" s="34">
        <f>IF(OR(316061.51949="",59.14096="",94.22308=""),"-",(94.22308-59.14096)/316061.51949*100)</f>
        <v>0.011099775783084525</v>
      </c>
      <c r="G45" s="34">
        <f>IF(OR(435998.38328="",59.17266="",94.22308=""),"-",(59.17266-94.22308)/435998.38328*100)</f>
        <v>-0.008039116965599037</v>
      </c>
    </row>
    <row r="46" spans="1:7" s="9" customFormat="1" ht="15.75">
      <c r="A46" s="33" t="s">
        <v>17</v>
      </c>
      <c r="B46" s="34">
        <f>IF(46.674="","-",46.674)</f>
        <v>46.674</v>
      </c>
      <c r="C46" s="34">
        <f>IF(OR(55.94648="",46.674=""),"-",46.674/55.94648*100)</f>
        <v>83.42616014448093</v>
      </c>
      <c r="D46" s="34">
        <f>IF(55.94648="","-",55.94648/435998.38328*100)</f>
        <v>0.012831809049179648</v>
      </c>
      <c r="E46" s="34">
        <f>IF(46.674="","-",46.674/475729.97395*100)</f>
        <v>0.009811027800595451</v>
      </c>
      <c r="F46" s="34">
        <f>IF(OR(316061.51949="",67.60211="",55.94648=""),"-",(55.94648-67.60211)/316061.51949*100)</f>
        <v>-0.0036877725636476205</v>
      </c>
      <c r="G46" s="34">
        <f>IF(OR(435998.38328="",46.674="",55.94648=""),"-",(46.674-55.94648)/435998.38328*100)</f>
        <v>-0.002126723482377038</v>
      </c>
    </row>
    <row r="47" spans="1:7" s="9" customFormat="1" ht="15.75">
      <c r="A47" s="31" t="s">
        <v>222</v>
      </c>
      <c r="B47" s="32">
        <f>IF(104383.34539="","-",104383.34539)</f>
        <v>104383.34539</v>
      </c>
      <c r="C47" s="32">
        <f>IF(72100.76067="","-",104383.34539/72100.76067*100)</f>
        <v>144.77426371096843</v>
      </c>
      <c r="D47" s="32">
        <f>IF(72100.76067="","-",72100.76067/435998.38328*100)</f>
        <v>16.53693303346416</v>
      </c>
      <c r="E47" s="32">
        <f>IF(104383.34539="","-",104383.34539/475729.97395*100)</f>
        <v>21.94172137679323</v>
      </c>
      <c r="F47" s="32">
        <f>IF(316061.51949="","-",(72100.76067-45704.4832)/316061.51949*100)</f>
        <v>8.35162645316434</v>
      </c>
      <c r="G47" s="32">
        <f>IF(435998.38328="","-",(104383.34539-72100.76067)/435998.38328*100)</f>
        <v>7.404290006109491</v>
      </c>
    </row>
    <row r="48" spans="1:7" s="16" customFormat="1" ht="15.75">
      <c r="A48" s="33" t="s">
        <v>107</v>
      </c>
      <c r="B48" s="34">
        <f>IF(47631.72599="","-",47631.72599)</f>
        <v>47631.72599</v>
      </c>
      <c r="C48" s="34" t="s">
        <v>151</v>
      </c>
      <c r="D48" s="34">
        <f>IF(19142.23418="","-",19142.23418/435998.38328*100)</f>
        <v>4.390436963548733</v>
      </c>
      <c r="E48" s="34">
        <f>IF(47631.72599="","-",47631.72599/475729.97395*100)</f>
        <v>10.01234494318539</v>
      </c>
      <c r="F48" s="34">
        <f>IF(OR(316061.51949="",14782.71369="",19142.23418=""),"-",(19142.23418-14782.71369)/316061.51949*100)</f>
        <v>1.3793265618144737</v>
      </c>
      <c r="G48" s="34">
        <f>IF(OR(435998.38328="",47631.72599="",19142.23418=""),"-",(47631.72599-19142.23418)/435998.38328*100)</f>
        <v>6.53431134209136</v>
      </c>
    </row>
    <row r="49" spans="1:7" s="18" customFormat="1" ht="15.75">
      <c r="A49" s="33" t="s">
        <v>223</v>
      </c>
      <c r="B49" s="34">
        <f>IF(15991.42065="","-",15991.42065)</f>
        <v>15991.42065</v>
      </c>
      <c r="C49" s="34">
        <f>IF(OR(15076.10028="",15991.42065=""),"-",15991.42065/15076.10028*100)</f>
        <v>106.07133378659113</v>
      </c>
      <c r="D49" s="34">
        <f>IF(15076.10028="","-",15076.10028/435998.38328*100)</f>
        <v>3.4578339870398245</v>
      </c>
      <c r="E49" s="34">
        <f>IF(15991.42065="","-",15991.42065/475729.97395*100)</f>
        <v>3.3614490416113076</v>
      </c>
      <c r="F49" s="34">
        <f>IF(OR(316061.51949="",4866.04872="",15076.10028=""),"-",(15076.10028-4866.04872)/316061.51949*100)</f>
        <v>3.230400074161208</v>
      </c>
      <c r="G49" s="34">
        <f>IF(OR(435998.38328="",15991.42065="",15076.10028=""),"-",(15991.42065-15076.10028)/435998.38328*100)</f>
        <v>0.20993664313937993</v>
      </c>
    </row>
    <row r="50" spans="1:7" s="9" customFormat="1" ht="15.75">
      <c r="A50" s="33" t="s">
        <v>20</v>
      </c>
      <c r="B50" s="34">
        <f>IF(3505.36357="","-",3505.36357)</f>
        <v>3505.36357</v>
      </c>
      <c r="C50" s="34">
        <f>IF(OR(3073.88247="",3505.36357=""),"-",3505.36357/3073.88247*100)</f>
        <v>114.03700708179647</v>
      </c>
      <c r="D50" s="34">
        <f>IF(3073.88247="","-",3073.88247/435998.38328*100)</f>
        <v>0.7050215294091904</v>
      </c>
      <c r="E50" s="34">
        <f>IF(3505.36357="","-",3505.36357/475729.97395*100)</f>
        <v>0.7368389132378738</v>
      </c>
      <c r="F50" s="34">
        <f>IF(OR(316061.51949="",2418.62581="",3073.88247=""),"-",(3073.88247-2418.62581)/316061.51949*100)</f>
        <v>0.2073193412020953</v>
      </c>
      <c r="G50" s="34">
        <f>IF(OR(435998.38328="",3505.36357="",3073.88247=""),"-",(3505.36357-3073.88247)/435998.38328*100)</f>
        <v>0.09896392201135779</v>
      </c>
    </row>
    <row r="51" spans="1:7" s="18" customFormat="1" ht="15.75">
      <c r="A51" s="33" t="s">
        <v>117</v>
      </c>
      <c r="B51" s="34">
        <f>IF(3131.13596="","-",3131.13596)</f>
        <v>3131.13596</v>
      </c>
      <c r="C51" s="34" t="s">
        <v>154</v>
      </c>
      <c r="D51" s="34">
        <f>IF(1394.38331="","-",1394.38331/435998.38328*100)</f>
        <v>0.3198138716731252</v>
      </c>
      <c r="E51" s="34">
        <f>IF(3131.13596="","-",3131.13596/475729.97395*100)</f>
        <v>0.6581750428719229</v>
      </c>
      <c r="F51" s="34">
        <f>IF(OR(316061.51949="",432.20487="",1394.38331=""),"-",(1394.38331-432.20487)/316061.51949*100)</f>
        <v>0.3044275815520284</v>
      </c>
      <c r="G51" s="34">
        <f>IF(OR(435998.38328="",3131.13596="",1394.38331=""),"-",(3131.13596-1394.38331)/435998.38328*100)</f>
        <v>0.3983392408326088</v>
      </c>
    </row>
    <row r="52" spans="1:7" s="16" customFormat="1" ht="15.75">
      <c r="A52" s="33" t="s">
        <v>120</v>
      </c>
      <c r="B52" s="34">
        <f>IF(2722.62646="","-",2722.62646)</f>
        <v>2722.62646</v>
      </c>
      <c r="C52" s="34" t="s">
        <v>224</v>
      </c>
      <c r="D52" s="34">
        <f>IF(516.00345="","-",516.00345/435998.38328*100)</f>
        <v>0.1183498539875595</v>
      </c>
      <c r="E52" s="34">
        <f>IF(2722.62646="","-",2722.62646/475729.97395*100)</f>
        <v>0.5723050068495689</v>
      </c>
      <c r="F52" s="34">
        <f>IF(OR(316061.51949="",857.82052="",516.00345=""),"-",(516.00345-857.82052)/316061.51949*100)</f>
        <v>-0.10814890422331683</v>
      </c>
      <c r="G52" s="34">
        <f>IF(OR(435998.38328="",2722.62646="",516.00345=""),"-",(2722.62646-516.00345)/435998.38328*100)</f>
        <v>0.5061080716400036</v>
      </c>
    </row>
    <row r="53" spans="1:7" s="9" customFormat="1" ht="15.75">
      <c r="A53" s="33" t="s">
        <v>109</v>
      </c>
      <c r="B53" s="34">
        <f>IF(2599.38399="","-",2599.38399)</f>
        <v>2599.38399</v>
      </c>
      <c r="C53" s="34">
        <f>IF(OR(3835.04647="",2599.38399=""),"-",2599.38399/3835.04647*100)</f>
        <v>67.77972601724431</v>
      </c>
      <c r="D53" s="34">
        <f>IF(3835.04647="","-",3835.04647/435998.38328*100)</f>
        <v>0.8796010758455307</v>
      </c>
      <c r="E53" s="34">
        <f>IF(2599.38399="","-",2599.38399/475729.97395*100)</f>
        <v>0.5463990356582407</v>
      </c>
      <c r="F53" s="34">
        <f>IF(OR(316061.51949="",2701.21104="",3835.04647=""),"-",(3835.04647-2701.21104)/316061.51949*100)</f>
        <v>0.35873884040979376</v>
      </c>
      <c r="G53" s="34">
        <f>IF(OR(435998.38328="",2599.38399="",3835.04647=""),"-",(2599.38399-3835.04647)/435998.38328*100)</f>
        <v>-0.2834098765926966</v>
      </c>
    </row>
    <row r="54" spans="1:7" s="9" customFormat="1" ht="15.75">
      <c r="A54" s="33" t="s">
        <v>225</v>
      </c>
      <c r="B54" s="34">
        <f>IF(2525.75194="","-",2525.75194)</f>
        <v>2525.75194</v>
      </c>
      <c r="C54" s="34" t="s">
        <v>226</v>
      </c>
      <c r="D54" s="34">
        <f>IF(15.03="","-",15.03/435998.38328*100)</f>
        <v>0.0034472604891169216</v>
      </c>
      <c r="E54" s="34">
        <f>IF(2525.75194="","-",2525.75194/475729.97395*100)</f>
        <v>0.5309213373772956</v>
      </c>
      <c r="F54" s="34">
        <f>IF(OR(316061.51949="",803.56221="",15.03=""),"-",(15.03-803.56221)/316061.51949*100)</f>
        <v>-0.24948693889480233</v>
      </c>
      <c r="G54" s="34">
        <f>IF(OR(435998.38328="",2525.75194="",15.03=""),"-",(2525.75194-15.03)/435998.38328*100)</f>
        <v>0.5758557912788415</v>
      </c>
    </row>
    <row r="55" spans="1:7" s="18" customFormat="1" ht="15.75">
      <c r="A55" s="33" t="s">
        <v>227</v>
      </c>
      <c r="B55" s="34">
        <f>IF(2430.76171="","-",2430.76171)</f>
        <v>2430.76171</v>
      </c>
      <c r="C55" s="34" t="s">
        <v>228</v>
      </c>
      <c r="D55" s="34">
        <f>IF(6.52542="","-",6.52542/435998.38328*100)</f>
        <v>0.0014966615130334894</v>
      </c>
      <c r="E55" s="34">
        <f>IF(2430.76171="","-",2430.76171/475729.97395*100)</f>
        <v>0.5109540796467614</v>
      </c>
      <c r="F55" s="34" t="str">
        <f>IF(OR(316061.51949="",""="",6.52542=""),"-",(6.52542-"")/316061.51949*100)</f>
        <v>-</v>
      </c>
      <c r="G55" s="34">
        <f>IF(OR(435998.38328="",2430.76171="",6.52542=""),"-",(2430.76171-6.52542)/435998.38328*100)</f>
        <v>0.5560195594677573</v>
      </c>
    </row>
    <row r="56" spans="1:7" s="9" customFormat="1" ht="15.75">
      <c r="A56" s="33" t="s">
        <v>110</v>
      </c>
      <c r="B56" s="34">
        <f>IF(2370.294="","-",2370.294)</f>
        <v>2370.294</v>
      </c>
      <c r="C56" s="34">
        <f>IF(OR(2297.37412="",2370.294=""),"-",2370.294/2297.37412*100)</f>
        <v>103.17405334051554</v>
      </c>
      <c r="D56" s="34">
        <f>IF(2297.37412="","-",2297.37412/435998.38328*100)</f>
        <v>0.5269226235925321</v>
      </c>
      <c r="E56" s="34">
        <f>IF(2370.294="","-",2370.294/475729.97395*100)</f>
        <v>0.49824356878743187</v>
      </c>
      <c r="F56" s="34">
        <f>IF(OR(316061.51949="",1398.45073="",2297.37412=""),"-",(2297.37412-1398.45073)/316061.51949*100)</f>
        <v>0.2844140569375581</v>
      </c>
      <c r="G56" s="34">
        <f>IF(OR(435998.38328="",2370.294="",2297.37412=""),"-",(2370.294-2297.37412)/435998.38328*100)</f>
        <v>0.01672480513607099</v>
      </c>
    </row>
    <row r="57" spans="1:7" s="16" customFormat="1" ht="15.75">
      <c r="A57" s="33" t="s">
        <v>118</v>
      </c>
      <c r="B57" s="34">
        <f>IF(1995.1669="","-",1995.1669)</f>
        <v>1995.1669</v>
      </c>
      <c r="C57" s="34" t="s">
        <v>170</v>
      </c>
      <c r="D57" s="34">
        <f>IF(1069.07675="","-",1069.07675/435998.38328*100)</f>
        <v>0.24520199867654885</v>
      </c>
      <c r="E57" s="34">
        <f>IF(1995.1669="","-",1995.1669/475729.97395*100)</f>
        <v>0.4193906226748906</v>
      </c>
      <c r="F57" s="34">
        <f>IF(OR(316061.51949="",1070.50986="",1069.07675=""),"-",(1069.07675-1070.50986)/316061.51949*100)</f>
        <v>-0.00045342754863433643</v>
      </c>
      <c r="G57" s="34">
        <f>IF(OR(435998.38328="",1995.1669="",1069.07675=""),"-",(1995.1669-1069.07675)/435998.38328*100)</f>
        <v>0.21240678532637147</v>
      </c>
    </row>
    <row r="58" spans="1:7" s="9" customFormat="1" ht="15.75">
      <c r="A58" s="33" t="s">
        <v>108</v>
      </c>
      <c r="B58" s="34">
        <f>IF(1888.66151="","-",1888.66151)</f>
        <v>1888.66151</v>
      </c>
      <c r="C58" s="34">
        <f>IF(OR(2097.80026="",1888.66151=""),"-",1888.66151/2097.80026*100)</f>
        <v>90.03056897323485</v>
      </c>
      <c r="D58" s="34">
        <f>IF(2097.80026="","-",2097.80026/435998.38328*100)</f>
        <v>0.4811486327582971</v>
      </c>
      <c r="E58" s="34">
        <f>IF(1888.66151="","-",1888.66151/475729.97395*100)</f>
        <v>0.3970028405648666</v>
      </c>
      <c r="F58" s="34">
        <f>IF(OR(316061.51949="",1945.65746="",2097.80026=""),"-",(2097.80026-1945.65746)/316061.51949*100)</f>
        <v>0.048137084275712914</v>
      </c>
      <c r="G58" s="34">
        <f>IF(OR(435998.38328="",1888.66151="",2097.80026=""),"-",(1888.66151-2097.80026)/435998.38328*100)</f>
        <v>-0.04796778107906201</v>
      </c>
    </row>
    <row r="59" spans="1:7" s="16" customFormat="1" ht="15.75">
      <c r="A59" s="33" t="s">
        <v>112</v>
      </c>
      <c r="B59" s="34">
        <f>IF(973.90521="","-",973.90521)</f>
        <v>973.90521</v>
      </c>
      <c r="C59" s="34">
        <f>IF(OR(1108.46532="",973.90521=""),"-",973.90521/1108.46532*100)</f>
        <v>87.86068381462759</v>
      </c>
      <c r="D59" s="34">
        <f>IF(1108.46532="","-",1108.46532/435998.38328*100)</f>
        <v>0.25423610786376216</v>
      </c>
      <c r="E59" s="34">
        <f>IF(973.90521="","-",973.90521/475729.97395*100)</f>
        <v>0.20471806767053932</v>
      </c>
      <c r="F59" s="34">
        <f>IF(OR(316061.51949="",1056.00631="",1108.46532=""),"-",(1108.46532-1056.00631)/316061.51949*100)</f>
        <v>0.01659772125523171</v>
      </c>
      <c r="G59" s="34">
        <f>IF(OR(435998.38328="",973.90521="",1108.46532=""),"-",(973.90521-1108.46532)/435998.38328*100)</f>
        <v>-0.03086252499096652</v>
      </c>
    </row>
    <row r="60" spans="1:7" s="9" customFormat="1" ht="15.75">
      <c r="A60" s="33" t="s">
        <v>114</v>
      </c>
      <c r="B60" s="34">
        <f>IF(894.03825="","-",894.03825)</f>
        <v>894.03825</v>
      </c>
      <c r="C60" s="34" t="s">
        <v>195</v>
      </c>
      <c r="D60" s="34">
        <f>IF(114.43239="","-",114.43239/435998.38328*100)</f>
        <v>0.026246058331484922</v>
      </c>
      <c r="E60" s="34">
        <f>IF(894.03825="","-",894.03825/475729.97395*100)</f>
        <v>0.18792977086912854</v>
      </c>
      <c r="F60" s="34">
        <f>IF(OR(316061.51949="",25.13077="",114.43239=""),"-",(114.43239-25.13077)/316061.51949*100)</f>
        <v>0.028254505687404778</v>
      </c>
      <c r="G60" s="34">
        <f>IF(OR(435998.38328="",894.03825="",114.43239=""),"-",(894.03825-114.43239)/435998.38328*100)</f>
        <v>0.17880934652441904</v>
      </c>
    </row>
    <row r="61" spans="1:7" s="16" customFormat="1" ht="15.75">
      <c r="A61" s="33" t="s">
        <v>113</v>
      </c>
      <c r="B61" s="34">
        <f>IF(710.68077="","-",710.68077)</f>
        <v>710.68077</v>
      </c>
      <c r="C61" s="34" t="s">
        <v>170</v>
      </c>
      <c r="D61" s="34">
        <f>IF(371.56042="","-",371.56042/435998.38328*100)</f>
        <v>0.0852205958207378</v>
      </c>
      <c r="E61" s="34">
        <f>IF(710.68077="","-",710.68077/475729.97395*100)</f>
        <v>0.1493874275146459</v>
      </c>
      <c r="F61" s="34">
        <f>IF(OR(316061.51949="",543.8774="",371.56042=""),"-",(371.56042-543.8774)/316061.51949*100)</f>
        <v>-0.05452007579981655</v>
      </c>
      <c r="G61" s="34">
        <f>IF(OR(435998.38328="",710.68077="",371.56042=""),"-",(710.68077-371.56042)/435998.38328*100)</f>
        <v>0.0777801852036262</v>
      </c>
    </row>
    <row r="62" spans="1:7" s="9" customFormat="1" ht="15.75">
      <c r="A62" s="33" t="s">
        <v>138</v>
      </c>
      <c r="B62" s="34">
        <f>IF(669.26124="","-",669.26124)</f>
        <v>669.26124</v>
      </c>
      <c r="C62" s="34" t="s">
        <v>177</v>
      </c>
      <c r="D62" s="34">
        <f>IF(245.09572="","-",245.09572/435998.38328*100)</f>
        <v>0.056214823127589096</v>
      </c>
      <c r="E62" s="34">
        <f>IF(669.26124="","-",669.26124/475729.97395*100)</f>
        <v>0.14068090653256599</v>
      </c>
      <c r="F62" s="34">
        <f>IF(OR(316061.51949="",84.35065="",245.09572=""),"-",(245.09572-84.35065)/316061.51949*100)</f>
        <v>0.05085879175021998</v>
      </c>
      <c r="G62" s="34">
        <f>IF(OR(435998.38328="",669.26124="",245.09572=""),"-",(669.26124-245.09572)/435998.38328*100)</f>
        <v>0.09728603046851188</v>
      </c>
    </row>
    <row r="63" spans="1:7" s="9" customFormat="1" ht="15.75">
      <c r="A63" s="33" t="s">
        <v>88</v>
      </c>
      <c r="B63" s="34">
        <f>IF(568.2411="","-",568.2411)</f>
        <v>568.2411</v>
      </c>
      <c r="C63" s="34">
        <f>IF(OR(982.89577="",568.2411=""),"-",568.2411/982.89577*100)</f>
        <v>57.81295609808148</v>
      </c>
      <c r="D63" s="34">
        <f>IF(982.89577="","-",982.89577/435998.38328*100)</f>
        <v>0.225435645564947</v>
      </c>
      <c r="E63" s="34">
        <f>IF(568.2411="","-",568.2411/475729.97395*100)</f>
        <v>0.11944614195357028</v>
      </c>
      <c r="F63" s="34">
        <f>IF(OR(316061.51949="",419.94741="",982.89577=""),"-",(982.89577-419.94741)/316061.51949*100)</f>
        <v>0.17811353970213745</v>
      </c>
      <c r="G63" s="34">
        <f>IF(OR(435998.38328="",568.2411="",982.89577=""),"-",(568.2411-982.89577)/435998.38328*100)</f>
        <v>-0.09510463476505761</v>
      </c>
    </row>
    <row r="64" spans="1:7" s="16" customFormat="1" ht="15.75">
      <c r="A64" s="33" t="s">
        <v>115</v>
      </c>
      <c r="B64" s="34">
        <f>IF(538.30478="","-",538.30478)</f>
        <v>538.30478</v>
      </c>
      <c r="C64" s="34" t="s">
        <v>170</v>
      </c>
      <c r="D64" s="34">
        <f>IF(285.99519="","-",285.99519/435998.38328*100)</f>
        <v>0.06559547029703838</v>
      </c>
      <c r="E64" s="34">
        <f>IF(538.30478="","-",538.30478/475729.97395*100)</f>
        <v>0.11315342935624584</v>
      </c>
      <c r="F64" s="34">
        <f>IF(OR(316061.51949="",51.83895="",285.99519=""),"-",(285.99519-51.83895)/316061.51949*100)</f>
        <v>0.07408565281146431</v>
      </c>
      <c r="G64" s="34">
        <f>IF(OR(435998.38328="",538.30478="",285.99519=""),"-",(538.30478-285.99519)/435998.38328*100)</f>
        <v>0.057869386602281456</v>
      </c>
    </row>
    <row r="65" spans="1:7" s="18" customFormat="1" ht="15.75">
      <c r="A65" s="33" t="s">
        <v>136</v>
      </c>
      <c r="B65" s="34">
        <f>IF(344.72972="","-",344.72972)</f>
        <v>344.72972</v>
      </c>
      <c r="C65" s="34" t="s">
        <v>229</v>
      </c>
      <c r="D65" s="34">
        <f>IF(0.02089="","-",0.02089/435998.38328*100)</f>
        <v>4.791302170169826E-06</v>
      </c>
      <c r="E65" s="34">
        <f>IF(344.72972="","-",344.72972/475729.97395*100)</f>
        <v>0.07246331719183026</v>
      </c>
      <c r="F65" s="34" t="str">
        <f>IF(OR(316061.51949="",""="",0.02089=""),"-",(0.02089-"")/316061.51949*100)</f>
        <v>-</v>
      </c>
      <c r="G65" s="34">
        <f>IF(OR(435998.38328="",344.72972="",0.02089=""),"-",(344.72972-0.02089)/435998.38328*100)</f>
        <v>0.07906195142439933</v>
      </c>
    </row>
    <row r="66" spans="1:7" s="9" customFormat="1" ht="15.75">
      <c r="A66" s="33" t="s">
        <v>90</v>
      </c>
      <c r="B66" s="34">
        <f>IF(344.01872="","-",344.01872)</f>
        <v>344.01872</v>
      </c>
      <c r="C66" s="34" t="s">
        <v>154</v>
      </c>
      <c r="D66" s="34">
        <f>IF(158.88765="","-",158.88765/435998.38328*100)</f>
        <v>0.0364422566901955</v>
      </c>
      <c r="E66" s="34">
        <f>IF(344.01872="","-",344.01872/475729.97395*100)</f>
        <v>0.07231386266112316</v>
      </c>
      <c r="F66" s="34" t="str">
        <f>IF(OR(316061.51949="",""="",158.88765=""),"-",(158.88765-"")/316061.51949*100)</f>
        <v>-</v>
      </c>
      <c r="G66" s="34">
        <f>IF(OR(435998.38328="",344.01872="",158.88765=""),"-",(344.01872-158.88765)/435998.38328*100)</f>
        <v>0.04246141203718822</v>
      </c>
    </row>
    <row r="67" spans="1:7" s="9" customFormat="1" ht="15.75">
      <c r="A67" s="33" t="s">
        <v>175</v>
      </c>
      <c r="B67" s="34">
        <f>IF(325.60447="","-",325.60447)</f>
        <v>325.60447</v>
      </c>
      <c r="C67" s="34">
        <f>IF(OR(421.13265="",325.60447=""),"-",325.60447/421.13265*100)</f>
        <v>77.31636813246372</v>
      </c>
      <c r="D67" s="34">
        <f>IF(421.13265="","-",421.13265/435998.38328*100)</f>
        <v>0.09659041550379943</v>
      </c>
      <c r="E67" s="34">
        <f>IF(325.60447="","-",325.60447/475729.97395*100)</f>
        <v>0.06844312694793991</v>
      </c>
      <c r="F67" s="34" t="str">
        <f>IF(OR(316061.51949="",""="",421.13265=""),"-",(421.13265-"")/316061.51949*100)</f>
        <v>-</v>
      </c>
      <c r="G67" s="34">
        <f>IF(OR(435998.38328="",325.60447="",421.13265=""),"-",(325.60447-421.13265)/435998.38328*100)</f>
        <v>-0.02191021427220555</v>
      </c>
    </row>
    <row r="68" spans="1:7" s="9" customFormat="1" ht="15.75">
      <c r="A68" s="33" t="s">
        <v>127</v>
      </c>
      <c r="B68" s="34">
        <f>IF(305.37925="","-",305.37925)</f>
        <v>305.37925</v>
      </c>
      <c r="C68" s="34">
        <f>IF(OR(5469.22497="",305.37925=""),"-",305.37925/5469.22497*100)</f>
        <v>5.583592770000829</v>
      </c>
      <c r="D68" s="34">
        <f>IF(5469.22497="","-",5469.22497/435998.38328*100)</f>
        <v>1.2544140482483488</v>
      </c>
      <c r="E68" s="34">
        <f>IF(305.37925="","-",305.37925/475729.97395*100)</f>
        <v>0.06419171940427194</v>
      </c>
      <c r="F68" s="34">
        <f>IF(OR(316061.51949="",924.315="",5469.22497=""),"-",(5469.22497-924.315)/316061.51949*100)</f>
        <v>1.4379826994863887</v>
      </c>
      <c r="G68" s="34">
        <f>IF(OR(435998.38328="",305.37925="",5469.22497=""),"-",(305.37925-5469.22497)/435998.38328*100)</f>
        <v>-1.1843726761444793</v>
      </c>
    </row>
    <row r="69" spans="1:7" s="9" customFormat="1" ht="15.75">
      <c r="A69" s="33" t="s">
        <v>111</v>
      </c>
      <c r="B69" s="34">
        <f>IF(264.554="","-",264.554)</f>
        <v>264.554</v>
      </c>
      <c r="C69" s="34">
        <f>IF(OR(2867.36355="",264.554=""),"-",264.554/2867.36355*100)</f>
        <v>9.226384983515604</v>
      </c>
      <c r="D69" s="34">
        <f>IF(2867.36355="","-",2867.36355/435998.38328*100)</f>
        <v>0.6576546289986049</v>
      </c>
      <c r="E69" s="34">
        <f>IF(264.554="","-",264.554/475729.97395*100)</f>
        <v>0.05561011802628291</v>
      </c>
      <c r="F69" s="34">
        <f>IF(OR(316061.51949="",3432.53808="",2867.36355=""),"-",(2867.36355-3432.53808)/316061.51949*100)</f>
        <v>-0.17881788675570853</v>
      </c>
      <c r="G69" s="34">
        <f>IF(OR(435998.38328="",264.554="",2867.36355=""),"-",(264.554-2867.36355)/435998.38328*100)</f>
        <v>-0.5969768810652825</v>
      </c>
    </row>
    <row r="70" spans="1:7" s="9" customFormat="1" ht="15.75">
      <c r="A70" s="33" t="s">
        <v>150</v>
      </c>
      <c r="B70" s="34">
        <f>IF(237.80074="","-",237.80074)</f>
        <v>237.80074</v>
      </c>
      <c r="C70" s="34">
        <f>IF(OR(199.00663="",237.80074=""),"-",237.80074/199.00663*100)</f>
        <v>119.4938781687826</v>
      </c>
      <c r="D70" s="34">
        <f>IF(199.00663="","-",199.00663/435998.38328*100)</f>
        <v>0.04564389172796476</v>
      </c>
      <c r="E70" s="34">
        <f>IF(237.80074="","-",237.80074/475729.97395*100)</f>
        <v>0.04998649507524898</v>
      </c>
      <c r="F70" s="34">
        <f>IF(OR(316061.51949="",54.56142="",199.00663=""),"-",(199.00663-54.56142)/316061.51949*100)</f>
        <v>0.0457016122155833</v>
      </c>
      <c r="G70" s="34">
        <f>IF(OR(435998.38328="",237.80074="",199.00663=""),"-",(237.80074-199.00663)/435998.38328*100)</f>
        <v>0.008897764644940496</v>
      </c>
    </row>
    <row r="71" spans="1:7" s="9" customFormat="1" ht="15.75">
      <c r="A71" s="33" t="s">
        <v>230</v>
      </c>
      <c r="B71" s="34">
        <f>IF(232.49105="","-",232.49105)</f>
        <v>232.49105</v>
      </c>
      <c r="C71" s="34">
        <f>IF(OR(322.20038="",232.49105=""),"-",232.49105/322.20038*100)</f>
        <v>72.15728609631063</v>
      </c>
      <c r="D71" s="34">
        <f>IF(322.20038="","-",322.20038/435998.38328*100)</f>
        <v>0.07389944374933188</v>
      </c>
      <c r="E71" s="34">
        <f>IF(232.49105="","-",232.49105/475729.97395*100)</f>
        <v>0.04887038083171845</v>
      </c>
      <c r="F71" s="34">
        <f>IF(OR(316061.51949="",151.75757="",322.20038=""),"-",(322.20038-151.75757)/316061.51949*100)</f>
        <v>0.053927099469441346</v>
      </c>
      <c r="G71" s="34">
        <f>IF(OR(435998.38328="",232.49105="",322.20038=""),"-",(232.49105-322.20038)/435998.38328*100)</f>
        <v>-0.020575610699544333</v>
      </c>
    </row>
    <row r="72" spans="1:7" s="9" customFormat="1" ht="15.75">
      <c r="A72" s="33" t="s">
        <v>116</v>
      </c>
      <c r="B72" s="34">
        <f>IF(206.6237="","-",206.6237)</f>
        <v>206.6237</v>
      </c>
      <c r="C72" s="34">
        <f>IF(OR(361.93525="",206.6237=""),"-",206.6237/361.93525*100)</f>
        <v>57.08858145206912</v>
      </c>
      <c r="D72" s="34">
        <f>IF(361.93525="","-",361.93525/435998.38328*100)</f>
        <v>0.08301297983657055</v>
      </c>
      <c r="E72" s="34">
        <f>IF(206.6237="","-",206.6237/475729.97395*100)</f>
        <v>0.04343297906675868</v>
      </c>
      <c r="F72" s="34">
        <f>IF(OR(316061.51949="",396.49482="",361.93525=""),"-",(361.93525-396.49482)/316061.51949*100)</f>
        <v>-0.010934444046135599</v>
      </c>
      <c r="G72" s="34">
        <f>IF(OR(435998.38328="",206.6237="",361.93525=""),"-",(206.6237-361.93525)/435998.38328*100)</f>
        <v>-0.03562204722678025</v>
      </c>
    </row>
    <row r="73" spans="1:7" s="9" customFormat="1" ht="15.75">
      <c r="A73" s="33" t="s">
        <v>128</v>
      </c>
      <c r="B73" s="34">
        <f>IF(203.52005="","-",203.52005)</f>
        <v>203.52005</v>
      </c>
      <c r="C73" s="34" t="s">
        <v>220</v>
      </c>
      <c r="D73" s="34">
        <f>IF(134.00666="","-",134.00666/435998.38328*100)</f>
        <v>0.03073558644687459</v>
      </c>
      <c r="E73" s="34">
        <f>IF(203.52005="","-",203.52005/475729.97395*100)</f>
        <v>0.04278058166277963</v>
      </c>
      <c r="F73" s="34">
        <f>IF(OR(316061.51949="",174.01047="",134.00666=""),"-",(134.00666-174.01047)/316061.51949*100)</f>
        <v>-0.012656969461056359</v>
      </c>
      <c r="G73" s="34">
        <f>IF(OR(435998.38328="",203.52005="",134.00666=""),"-",(203.52005-134.00666)/435998.38328*100)</f>
        <v>0.01594349719305225</v>
      </c>
    </row>
    <row r="74" spans="1:7" s="9" customFormat="1" ht="15.75">
      <c r="A74" s="33" t="s">
        <v>129</v>
      </c>
      <c r="B74" s="34">
        <f>IF(183.69074="","-",183.69074)</f>
        <v>183.69074</v>
      </c>
      <c r="C74" s="34">
        <f>IF(OR(200.54705="",183.69074=""),"-",183.69074/200.54705*100)</f>
        <v>91.59483522694549</v>
      </c>
      <c r="D74" s="34">
        <f>IF(200.54705="","-",200.54705/435998.38328*100)</f>
        <v>0.0459972003775087</v>
      </c>
      <c r="E74" s="34">
        <f>IF(183.69074="","-",183.69074/475729.97395*100)</f>
        <v>0.038612395698931976</v>
      </c>
      <c r="F74" s="34">
        <f>IF(OR(316061.51949="",67.93243="",200.54705=""),"-",(200.54705-67.93243)/316061.51949*100)</f>
        <v>0.041958483340201705</v>
      </c>
      <c r="G74" s="34">
        <f>IF(OR(435998.38328="",183.69074="",200.54705=""),"-",(183.69074-200.54705)/435998.38328*100)</f>
        <v>-0.0038661404827216557</v>
      </c>
    </row>
    <row r="75" spans="1:7" ht="15.75">
      <c r="A75" s="33" t="s">
        <v>124</v>
      </c>
      <c r="B75" s="34">
        <f>IF(176.56459="","-",176.56459)</f>
        <v>176.56459</v>
      </c>
      <c r="C75" s="34" t="s">
        <v>163</v>
      </c>
      <c r="D75" s="34">
        <f>IF(57.744="","-",57.744/435998.38328*100)</f>
        <v>0.013244085807289922</v>
      </c>
      <c r="E75" s="34">
        <f>IF(176.56459="","-",176.56459/475729.97395*100)</f>
        <v>0.03711445560892012</v>
      </c>
      <c r="F75" s="34">
        <f>IF(OR(316061.51949="",142.992="",57.744=""),"-",(57.744-142.992)/316061.51949*100)</f>
        <v>-0.026971964235809855</v>
      </c>
      <c r="G75" s="34">
        <f>IF(OR(435998.38328="",176.56459="",57.744=""),"-",(176.56459-57.744)/435998.38328*100)</f>
        <v>0.027252529953463823</v>
      </c>
    </row>
    <row r="76" spans="1:7" ht="15.75">
      <c r="A76" s="33" t="s">
        <v>89</v>
      </c>
      <c r="B76" s="34">
        <f>IF(167.60732="","-",167.60732)</f>
        <v>167.60732</v>
      </c>
      <c r="C76" s="34" t="s">
        <v>231</v>
      </c>
      <c r="D76" s="34">
        <f>IF(10.49768="","-",10.49768/435998.38328*100)</f>
        <v>0.0024077336986954713</v>
      </c>
      <c r="E76" s="34">
        <f>IF(167.60732="","-",167.60732/475729.97395*100)</f>
        <v>0.03523160809237044</v>
      </c>
      <c r="F76" s="34">
        <f>IF(OR(316061.51949="",29.06757="",10.49768=""),"-",(10.49768-29.06757)/316061.51949*100)</f>
        <v>-0.005875403633433314</v>
      </c>
      <c r="G76" s="34">
        <f>IF(OR(435998.38328="",167.60732="",10.49768=""),"-",(167.60732-10.49768)/435998.38328*100)</f>
        <v>0.03603445471932026</v>
      </c>
    </row>
    <row r="77" spans="1:7" ht="15.75">
      <c r="A77" s="33" t="s">
        <v>126</v>
      </c>
      <c r="B77" s="34">
        <f>IF(166.64737="","-",166.64737)</f>
        <v>166.64737</v>
      </c>
      <c r="C77" s="34" t="str">
        <f>IF(OR(""="",166.64737=""),"-",166.64737/""*100)</f>
        <v>-</v>
      </c>
      <c r="D77" s="34" t="str">
        <f>IF(""="","-",""/435998.38328*100)</f>
        <v>-</v>
      </c>
      <c r="E77" s="34">
        <f>IF(166.64737="","-",166.64737/475729.97395*100)</f>
        <v>0.03502982345558804</v>
      </c>
      <c r="F77" s="34" t="str">
        <f>IF(OR(316061.51949="",""="",""=""),"-",(""-"")/316061.51949*100)</f>
        <v>-</v>
      </c>
      <c r="G77" s="34" t="str">
        <f>IF(OR(435998.38328="",166.64737="",""=""),"-",(166.64737-"")/435998.38328*100)</f>
        <v>-</v>
      </c>
    </row>
    <row r="78" spans="1:7" ht="15.75">
      <c r="A78" s="33" t="s">
        <v>123</v>
      </c>
      <c r="B78" s="34">
        <f>IF(152.44384="","-",152.44384)</f>
        <v>152.44384</v>
      </c>
      <c r="C78" s="34" t="str">
        <f>IF(OR(""="",152.44384=""),"-",152.44384/""*100)</f>
        <v>-</v>
      </c>
      <c r="D78" s="34" t="str">
        <f>IF(""="","-",""/435998.38328*100)</f>
        <v>-</v>
      </c>
      <c r="E78" s="34">
        <f>IF(152.44384="","-",152.44384/475729.97395*100)</f>
        <v>0.032044194889435766</v>
      </c>
      <c r="F78" s="34" t="str">
        <f>IF(OR(316061.51949="",""="",""=""),"-",(""-"")/316061.51949*100)</f>
        <v>-</v>
      </c>
      <c r="G78" s="34" t="str">
        <f>IF(OR(435998.38328="",152.44384="",""=""),"-",(152.44384-"")/435998.38328*100)</f>
        <v>-</v>
      </c>
    </row>
    <row r="79" spans="1:7" ht="15.75">
      <c r="A79" s="33" t="s">
        <v>232</v>
      </c>
      <c r="B79" s="34">
        <f>IF(103.4011="","-",103.4011)</f>
        <v>103.4011</v>
      </c>
      <c r="C79" s="34" t="str">
        <f>IF(OR(""="",103.4011=""),"-",103.4011/""*100)</f>
        <v>-</v>
      </c>
      <c r="D79" s="34" t="str">
        <f>IF(""="","-",""/435998.38328*100)</f>
        <v>-</v>
      </c>
      <c r="E79" s="34">
        <f>IF(103.4011="","-",103.4011/475729.97395*100)</f>
        <v>0.021735250175947</v>
      </c>
      <c r="F79" s="34" t="str">
        <f>IF(OR(316061.51949="",8.23618="",""=""),"-",(""-8.23618)/316061.51949*100)</f>
        <v>-</v>
      </c>
      <c r="G79" s="34" t="str">
        <f>IF(OR(435998.38328="",103.4011="",""=""),"-",(103.4011-"")/435998.38328*100)</f>
        <v>-</v>
      </c>
    </row>
    <row r="80" spans="1:7" ht="15.75">
      <c r="A80" s="33" t="s">
        <v>233</v>
      </c>
      <c r="B80" s="34">
        <f>IF(101.91749="","-",101.91749)</f>
        <v>101.91749</v>
      </c>
      <c r="C80" s="34" t="str">
        <f>IF(OR(""="",101.91749=""),"-",101.91749/""*100)</f>
        <v>-</v>
      </c>
      <c r="D80" s="34" t="str">
        <f>IF(""="","-",""/435998.38328*100)</f>
        <v>-</v>
      </c>
      <c r="E80" s="34">
        <f>IF(101.91749="","-",101.91749/475729.97395*100)</f>
        <v>0.02142339049057096</v>
      </c>
      <c r="F80" s="34" t="str">
        <f>IF(OR(316061.51949="",""="",""=""),"-",(""-"")/316061.51949*100)</f>
        <v>-</v>
      </c>
      <c r="G80" s="34" t="str">
        <f>IF(OR(435998.38328="",101.91749="",""=""),"-",(101.91749-"")/435998.38328*100)</f>
        <v>-</v>
      </c>
    </row>
    <row r="81" spans="1:7" ht="15.75">
      <c r="A81" s="33" t="s">
        <v>172</v>
      </c>
      <c r="B81" s="34">
        <f>IF(100.36322="","-",100.36322)</f>
        <v>100.36322</v>
      </c>
      <c r="C81" s="34" t="s">
        <v>169</v>
      </c>
      <c r="D81" s="34">
        <f>IF(61.43709="","-",61.43709/435998.38328*100)</f>
        <v>0.014091127939010002</v>
      </c>
      <c r="E81" s="34">
        <f>IF(100.36322="","-",100.36322/475729.97395*100)</f>
        <v>0.021096677841566554</v>
      </c>
      <c r="F81" s="34">
        <f>IF(OR(316061.51949="",30.51379="",61.43709=""),"-",(61.43709-30.51379)/316061.51949*100)</f>
        <v>0.00978394967217083</v>
      </c>
      <c r="G81" s="34">
        <f>IF(OR(435998.38328="",100.36322="",61.43709=""),"-",(100.36322-61.43709)/435998.38328*100)</f>
        <v>0.008928044573734457</v>
      </c>
    </row>
    <row r="82" spans="1:7" ht="15.75">
      <c r="A82" s="33" t="s">
        <v>121</v>
      </c>
      <c r="B82" s="34">
        <f>IF(94.79925="","-",94.79925)</f>
        <v>94.79925</v>
      </c>
      <c r="C82" s="34" t="s">
        <v>234</v>
      </c>
      <c r="D82" s="34">
        <f>IF(0.62447="","-",0.62447/435998.38328*100)</f>
        <v>0.00014322759531861903</v>
      </c>
      <c r="E82" s="34">
        <f>IF(94.79925="","-",94.79925/475729.97395*100)</f>
        <v>0.01992711310848863</v>
      </c>
      <c r="F82" s="34">
        <f>IF(OR(316061.51949="",157.74487="",0.62447=""),"-",(0.62447-157.74487)/316061.51949*100)</f>
        <v>-0.04971196754781507</v>
      </c>
      <c r="G82" s="34">
        <f>IF(OR(435998.38328="",94.79925="",0.62447=""),"-",(94.79925-0.62447)/435998.38328*100)</f>
        <v>0.021599800277130973</v>
      </c>
    </row>
    <row r="83" spans="1:7" ht="15.75">
      <c r="A83" s="33" t="s">
        <v>160</v>
      </c>
      <c r="B83" s="34">
        <f>IF(82.76864="","-",82.76864)</f>
        <v>82.76864</v>
      </c>
      <c r="C83" s="34" t="str">
        <f>IF(OR(""="",82.76864=""),"-",82.76864/""*100)</f>
        <v>-</v>
      </c>
      <c r="D83" s="34" t="str">
        <f>IF(""="","-",""/435998.38328*100)</f>
        <v>-</v>
      </c>
      <c r="E83" s="34">
        <f>IF(82.76864="","-",82.76864/475729.97395*100)</f>
        <v>0.01739823944931818</v>
      </c>
      <c r="F83" s="34" t="str">
        <f>IF(OR(316061.51949="",""="",""=""),"-",(""-"")/316061.51949*100)</f>
        <v>-</v>
      </c>
      <c r="G83" s="34" t="str">
        <f>IF(OR(435998.38328="",82.76864="",""=""),"-",(82.76864-"")/435998.38328*100)</f>
        <v>-</v>
      </c>
    </row>
    <row r="84" spans="1:7" ht="15.75">
      <c r="A84" s="33" t="s">
        <v>235</v>
      </c>
      <c r="B84" s="34">
        <f>IF(59.38137="","-",59.38137)</f>
        <v>59.38137</v>
      </c>
      <c r="C84" s="34" t="str">
        <f>IF(OR(""="",59.38137=""),"-",59.38137/""*100)</f>
        <v>-</v>
      </c>
      <c r="D84" s="34" t="str">
        <f>IF(""="","-",""/435998.38328*100)</f>
        <v>-</v>
      </c>
      <c r="E84" s="34">
        <f>IF(59.38137="","-",59.38137/475729.97395*100)</f>
        <v>0.012482158630231922</v>
      </c>
      <c r="F84" s="34" t="str">
        <f>IF(OR(316061.51949="",""="",""=""),"-",(""-"")/316061.51949*100)</f>
        <v>-</v>
      </c>
      <c r="G84" s="34" t="str">
        <f>IF(OR(435998.38328="",59.38137="",""=""),"-",(59.38137-"")/435998.38328*100)</f>
        <v>-</v>
      </c>
    </row>
    <row r="85" spans="1:7" ht="15.75">
      <c r="A85" s="33" t="s">
        <v>236</v>
      </c>
      <c r="B85" s="34">
        <f>IF(55.4922="","-",55.4922)</f>
        <v>55.4922</v>
      </c>
      <c r="C85" s="34" t="str">
        <f>IF(OR(""="",55.4922=""),"-",55.4922/""*100)</f>
        <v>-</v>
      </c>
      <c r="D85" s="34" t="str">
        <f>IF(""="","-",""/435998.38328*100)</f>
        <v>-</v>
      </c>
      <c r="E85" s="34">
        <f>IF(55.4922="","-",55.4922/475729.97395*100)</f>
        <v>0.011664642347264062</v>
      </c>
      <c r="F85" s="34" t="str">
        <f>IF(OR(316061.51949="",""="",""=""),"-",(""-"")/316061.51949*100)</f>
        <v>-</v>
      </c>
      <c r="G85" s="34" t="str">
        <f>IF(OR(435998.38328="",55.4922="",""=""),"-",(55.4922-"")/435998.38328*100)</f>
        <v>-</v>
      </c>
    </row>
    <row r="86" spans="1:7" ht="15.75">
      <c r="A86" s="35" t="s">
        <v>87</v>
      </c>
      <c r="B86" s="36">
        <f>IF(50.67151="","-",50.67151)</f>
        <v>50.67151</v>
      </c>
      <c r="C86" s="36" t="s">
        <v>149</v>
      </c>
      <c r="D86" s="36">
        <f>IF(18="","-",18/435998.38328*100)</f>
        <v>0.0041284556755891285</v>
      </c>
      <c r="E86" s="36">
        <f>IF(50.67151="","-",50.67151/475729.97395*100)</f>
        <v>0.01065131750670931</v>
      </c>
      <c r="F86" s="36">
        <f>IF(OR(316061.51949="",60.46913="",18=""),"-",(18-60.46913)/316061.51949*100)</f>
        <v>-0.013436982163639729</v>
      </c>
      <c r="G86" s="36">
        <f>IF(OR(435998.38328="",50.67151="",18=""),"-",(50.67151-18)/435998.38328*100)</f>
        <v>0.007493493382753719</v>
      </c>
    </row>
    <row r="87" ht="15.75">
      <c r="A87" s="37" t="s">
        <v>22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04"/>
  <sheetViews>
    <sheetView zoomScalePageLayoutView="0" workbookViewId="0" topLeftCell="A1">
      <selection activeCell="A6" sqref="A6"/>
    </sheetView>
  </sheetViews>
  <sheetFormatPr defaultColWidth="9.00390625" defaultRowHeight="15.75"/>
  <cols>
    <col min="1" max="1" width="34.375" style="0" customWidth="1"/>
    <col min="2" max="2" width="10.75390625" style="0" customWidth="1"/>
    <col min="3" max="3" width="9.75390625" style="0" customWidth="1"/>
    <col min="4" max="4" width="7.625" style="0" customWidth="1"/>
    <col min="5" max="5" width="7.75390625" style="0" customWidth="1"/>
    <col min="6" max="6" width="9.625" style="0" customWidth="1"/>
    <col min="7" max="7" width="9.875" style="0" customWidth="1"/>
  </cols>
  <sheetData>
    <row r="1" spans="1:7" ht="15.75">
      <c r="A1" s="96" t="s">
        <v>197</v>
      </c>
      <c r="B1" s="96"/>
      <c r="C1" s="96"/>
      <c r="D1" s="96"/>
      <c r="E1" s="96"/>
      <c r="F1" s="96"/>
      <c r="G1" s="96"/>
    </row>
    <row r="2" ht="15.75">
      <c r="A2" s="2"/>
    </row>
    <row r="3" spans="1:7" ht="55.5" customHeight="1">
      <c r="A3" s="84"/>
      <c r="B3" s="87" t="s">
        <v>207</v>
      </c>
      <c r="C3" s="88"/>
      <c r="D3" s="87" t="s">
        <v>174</v>
      </c>
      <c r="E3" s="88"/>
      <c r="F3" s="89" t="s">
        <v>206</v>
      </c>
      <c r="G3" s="90"/>
    </row>
    <row r="4" spans="1:7" ht="27" customHeight="1">
      <c r="A4" s="85"/>
      <c r="B4" s="91" t="s">
        <v>155</v>
      </c>
      <c r="C4" s="93" t="s">
        <v>208</v>
      </c>
      <c r="D4" s="95" t="s">
        <v>179</v>
      </c>
      <c r="E4" s="95"/>
      <c r="F4" s="95" t="s">
        <v>179</v>
      </c>
      <c r="G4" s="87"/>
    </row>
    <row r="5" spans="1:7" ht="31.5" customHeight="1">
      <c r="A5" s="86"/>
      <c r="B5" s="92"/>
      <c r="C5" s="94"/>
      <c r="D5" s="26">
        <v>2018</v>
      </c>
      <c r="E5" s="26">
        <v>2019</v>
      </c>
      <c r="F5" s="26" t="s">
        <v>178</v>
      </c>
      <c r="G5" s="22" t="s">
        <v>209</v>
      </c>
    </row>
    <row r="6" spans="1:7" s="3" customFormat="1" ht="15">
      <c r="A6" s="62" t="s">
        <v>237</v>
      </c>
      <c r="B6" s="30">
        <f>IF(831837.78281="","-",831837.78281)</f>
        <v>831837.78281</v>
      </c>
      <c r="C6" s="30">
        <f>IF(801882.32231="","-",831837.78281/801882.32231*100)</f>
        <v>103.73564295739888</v>
      </c>
      <c r="D6" s="30">
        <v>100</v>
      </c>
      <c r="E6" s="30">
        <v>100</v>
      </c>
      <c r="F6" s="30">
        <f>IF(599501.49446="","-",(801882.32231-599501.49446)/599501.49446*100)</f>
        <v>33.758185712663526</v>
      </c>
      <c r="G6" s="30">
        <f>IF(801882.32231="","-",(831837.78281-801882.32231)/801882.32231*100)</f>
        <v>3.735642957398873</v>
      </c>
    </row>
    <row r="7" spans="1:7" s="3" customFormat="1" ht="15">
      <c r="A7" s="60" t="s">
        <v>258</v>
      </c>
      <c r="B7" s="43"/>
      <c r="C7" s="43"/>
      <c r="D7" s="43"/>
      <c r="E7" s="43"/>
      <c r="F7" s="43"/>
      <c r="G7" s="43"/>
    </row>
    <row r="8" spans="1:7" ht="12.75" customHeight="1">
      <c r="A8" s="31" t="s">
        <v>212</v>
      </c>
      <c r="B8" s="32">
        <f>IF(387729.94423="","-",387729.94423)</f>
        <v>387729.94423</v>
      </c>
      <c r="C8" s="32">
        <f>IF(387539.84363="","-",387729.94423/387539.84363*100)</f>
        <v>100.04905317559593</v>
      </c>
      <c r="D8" s="32">
        <f>IF(387539.84363="","-",387539.84363/801882.32231*100)</f>
        <v>48.32876755701578</v>
      </c>
      <c r="E8" s="32">
        <f>IF(387729.94423="","-",387729.94423/831837.78281*100)</f>
        <v>46.61124467323713</v>
      </c>
      <c r="F8" s="32">
        <f>IF(599501.49446="","-",(387539.84363-273402.7844)/599501.49446*100)</f>
        <v>19.038661335249678</v>
      </c>
      <c r="G8" s="32">
        <f>IF(801882.32231="","-",(387729.94423-387539.84363)/801882.32231*100)</f>
        <v>0.023706795213090402</v>
      </c>
    </row>
    <row r="9" spans="1:7" ht="15.75">
      <c r="A9" s="33" t="s">
        <v>3</v>
      </c>
      <c r="B9" s="34">
        <f>IF(108721.15427="","-",108721.15427)</f>
        <v>108721.15427</v>
      </c>
      <c r="C9" s="34">
        <f>IF(OR(109634.2867="",108721.15427=""),"-",108721.15427/109634.2867*100)</f>
        <v>99.16711052948367</v>
      </c>
      <c r="D9" s="34">
        <f>IF(109634.2867="","-",109634.2867/801882.32231*100)</f>
        <v>13.672116674697868</v>
      </c>
      <c r="E9" s="34">
        <f>IF(108721.15427="","-",108721.15427/831837.78281*100)</f>
        <v>13.069994717327354</v>
      </c>
      <c r="F9" s="34">
        <f>IF(OR(599501.49446="",85046.81242="",109634.2867=""),"-",(109634.2867-85046.81242)/599501.49446*100)</f>
        <v>4.101319931178341</v>
      </c>
      <c r="G9" s="34">
        <f>IF(OR(801882.32231="",108721.15427="",109634.2867=""),"-",(108721.15427-109634.2867)/801882.32231*100)</f>
        <v>-0.1138736201802675</v>
      </c>
    </row>
    <row r="10" spans="1:7" s="9" customFormat="1" ht="15.75">
      <c r="A10" s="33" t="s">
        <v>5</v>
      </c>
      <c r="B10" s="34">
        <f>IF(65895.10046="","-",65895.10046)</f>
        <v>65895.10046</v>
      </c>
      <c r="C10" s="34">
        <f>IF(OR(64542.78184="",65895.10046=""),"-",65895.10046/64542.78184*100)</f>
        <v>102.0952282833925</v>
      </c>
      <c r="D10" s="34">
        <f>IF(64542.78184="","-",64542.78184/801882.32231*100)</f>
        <v>8.048909427766183</v>
      </c>
      <c r="E10" s="34">
        <f>IF(65895.10046="","-",65895.10046/831837.78281*100)</f>
        <v>7.921628690320152</v>
      </c>
      <c r="F10" s="34">
        <f>IF(OR(599501.49446="",42973.18858="",64542.78184=""),"-",(64542.78184-42973.18858)/599501.49446*100)</f>
        <v>3.5979215163473075</v>
      </c>
      <c r="G10" s="34">
        <f>IF(OR(801882.32231="",65895.10046="",64542.78184=""),"-",(65895.10046-64542.78184)/801882.32231*100)</f>
        <v>0.1686430268352025</v>
      </c>
    </row>
    <row r="11" spans="1:7" s="9" customFormat="1" ht="15.75">
      <c r="A11" s="33" t="s">
        <v>4</v>
      </c>
      <c r="B11" s="34">
        <f>IF(50483.01281="","-",50483.01281)</f>
        <v>50483.01281</v>
      </c>
      <c r="C11" s="34">
        <f>IF(OR(52443.93109="",50483.01281=""),"-",50483.01281/52443.93109*100)</f>
        <v>96.26092430669465</v>
      </c>
      <c r="D11" s="34">
        <f>IF(52443.93109="","-",52443.93109/801882.32231*100)</f>
        <v>6.54010315864348</v>
      </c>
      <c r="E11" s="34">
        <f>IF(50483.01281="","-",50483.01281/831837.78281*100)</f>
        <v>6.0688530688597995</v>
      </c>
      <c r="F11" s="34">
        <f>IF(OR(599501.49446="",36257.20791="",52443.93109=""),"-",(52443.93109-36257.20791)/599501.49446*100)</f>
        <v>2.7000304969348186</v>
      </c>
      <c r="G11" s="34">
        <f>IF(OR(801882.32231="",50483.01281="",52443.93109=""),"-",(50483.01281-52443.93109)/801882.32231*100)</f>
        <v>-0.24453940752193387</v>
      </c>
    </row>
    <row r="12" spans="1:7" s="9" customFormat="1" ht="15.75">
      <c r="A12" s="33" t="s">
        <v>6</v>
      </c>
      <c r="B12" s="34">
        <f>IF(27327.47664="","-",27327.47664)</f>
        <v>27327.47664</v>
      </c>
      <c r="C12" s="34">
        <f>IF(OR(28099.63449="",27327.47664=""),"-",27327.47664/28099.63449*100)</f>
        <v>97.25207155176771</v>
      </c>
      <c r="D12" s="34">
        <f>IF(28099.63449="","-",28099.63449/801882.32231*100)</f>
        <v>3.5042092471938737</v>
      </c>
      <c r="E12" s="34">
        <f>IF(27327.47664="","-",27327.47664/831837.78281*100)</f>
        <v>3.2851930033384726</v>
      </c>
      <c r="F12" s="34">
        <f>IF(OR(599501.49446="",16461.89803="",28099.63449=""),"-",(28099.63449-16461.89803)/599501.49446*100)</f>
        <v>1.9412356045054855</v>
      </c>
      <c r="G12" s="34">
        <f>IF(OR(801882.32231="",27327.47664="",28099.63449=""),"-",(27327.47664-28099.63449)/801882.32231*100)</f>
        <v>-0.09629316278922667</v>
      </c>
    </row>
    <row r="13" spans="1:7" s="9" customFormat="1" ht="15.75">
      <c r="A13" s="33" t="s">
        <v>214</v>
      </c>
      <c r="B13" s="34">
        <f>IF(21890.17556="","-",21890.17556)</f>
        <v>21890.17556</v>
      </c>
      <c r="C13" s="34">
        <f>IF(OR(21625.66642="",21890.17556=""),"-",21890.17556/21625.66642*100)</f>
        <v>101.22312595997214</v>
      </c>
      <c r="D13" s="34">
        <f>IF(21625.66642="","-",21625.66642/801882.32231*100)</f>
        <v>2.696862846122168</v>
      </c>
      <c r="E13" s="34">
        <f>IF(21890.17556="","-",21890.17556/831837.78281*100)</f>
        <v>2.6315437952401752</v>
      </c>
      <c r="F13" s="34">
        <f>IF(OR(599501.49446="",13512.17264="",21625.66642=""),"-",(21625.66642-13512.17264)/599501.49446*100)</f>
        <v>1.3533734035656104</v>
      </c>
      <c r="G13" s="34">
        <f>IF(OR(801882.32231="",21890.17556="",21625.66642=""),"-",(21890.17556-21625.66642)/801882.32231*100)</f>
        <v>0.03298602957576381</v>
      </c>
    </row>
    <row r="14" spans="1:7" s="9" customFormat="1" ht="15.75">
      <c r="A14" s="33" t="s">
        <v>93</v>
      </c>
      <c r="B14" s="34">
        <f>IF(16836.5234="","-",16836.5234)</f>
        <v>16836.5234</v>
      </c>
      <c r="C14" s="34">
        <f>IF(OR(17901.4335="",16836.5234=""),"-",16836.5234/17901.4335*100)</f>
        <v>94.05125796210677</v>
      </c>
      <c r="D14" s="34">
        <f>IF(17901.4335="","-",17901.4335/801882.32231*100)</f>
        <v>2.232426504730887</v>
      </c>
      <c r="E14" s="34">
        <f>IF(16836.5234="","-",16836.5234/831837.78281*100)</f>
        <v>2.0240152284409554</v>
      </c>
      <c r="F14" s="34">
        <f>IF(OR(599501.49446="",12488.69121="",17901.4335=""),"-",(17901.4335-12488.69121)/599501.49446*100)</f>
        <v>0.9028738610360793</v>
      </c>
      <c r="G14" s="34">
        <f>IF(OR(801882.32231="",16836.5234="",17901.4335=""),"-",(16836.5234-17901.4335)/801882.32231*100)</f>
        <v>-0.13280129395199675</v>
      </c>
    </row>
    <row r="15" spans="1:7" s="9" customFormat="1" ht="15.75">
      <c r="A15" s="33" t="s">
        <v>8</v>
      </c>
      <c r="B15" s="34">
        <f>IF(16523.14443="","-",16523.14443)</f>
        <v>16523.14443</v>
      </c>
      <c r="C15" s="34">
        <f>IF(OR(11152.95785="",16523.14443=""),"-",16523.14443/11152.95785*100)</f>
        <v>148.15033511491302</v>
      </c>
      <c r="D15" s="34">
        <f>IF(11152.95785="","-",11152.95785/801882.32231*100)</f>
        <v>1.3908472028503422</v>
      </c>
      <c r="E15" s="34">
        <f>IF(16523.14443="","-",16523.14443/831837.78281*100)</f>
        <v>1.9863421416353302</v>
      </c>
      <c r="F15" s="34">
        <f>IF(OR(599501.49446="",9551.92326="",11152.95785=""),"-",(11152.95785-9551.92326)/599501.49446*100)</f>
        <v>0.26706098396670896</v>
      </c>
      <c r="G15" s="34">
        <f>IF(OR(801882.32231="",16523.14443="",11152.95785=""),"-",(16523.14443-11152.95785)/801882.32231*100)</f>
        <v>0.669697589108834</v>
      </c>
    </row>
    <row r="16" spans="1:7" s="9" customFormat="1" ht="15.75">
      <c r="A16" s="33" t="s">
        <v>9</v>
      </c>
      <c r="B16" s="34">
        <f>IF(13792.95707="","-",13792.95707)</f>
        <v>13792.95707</v>
      </c>
      <c r="C16" s="34">
        <f>IF(OR(14689.80657="",13792.95707=""),"-",13792.95707/14689.80657*100)</f>
        <v>93.89474942555353</v>
      </c>
      <c r="D16" s="34">
        <f>IF(14689.80657="","-",14689.80657/801882.32231*100)</f>
        <v>1.8319155019757454</v>
      </c>
      <c r="E16" s="34">
        <f>IF(13792.95707="","-",13792.95707/831837.78281*100)</f>
        <v>1.6581306301580254</v>
      </c>
      <c r="F16" s="34">
        <f>IF(OR(599501.49446="",8044.1312="",14689.80657=""),"-",(14689.80657-8044.1312)/599501.49446*100)</f>
        <v>1.1085335785503059</v>
      </c>
      <c r="G16" s="34">
        <f>IF(OR(801882.32231="",13792.95707="",14689.80657=""),"-",(13792.95707-14689.80657)/801882.32231*100)</f>
        <v>-0.11184303170774812</v>
      </c>
    </row>
    <row r="17" spans="1:7" s="9" customFormat="1" ht="15.75">
      <c r="A17" s="33" t="s">
        <v>91</v>
      </c>
      <c r="B17" s="34">
        <f>IF(11072.65834="","-",11072.65834)</f>
        <v>11072.65834</v>
      </c>
      <c r="C17" s="34">
        <f>IF(OR(11824.01649="",11072.65834=""),"-",11072.65834/11824.01649*100)</f>
        <v>93.64549135536599</v>
      </c>
      <c r="D17" s="34">
        <f>IF(11824.01649="","-",11824.01649/801882.32231*100)</f>
        <v>1.4745326291691152</v>
      </c>
      <c r="E17" s="34">
        <f>IF(11072.65834="","-",11072.65834/831837.78281*100)</f>
        <v>1.3311078877177074</v>
      </c>
      <c r="F17" s="34">
        <f>IF(OR(599501.49446="",6622.55364="",11824.01649=""),"-",(11824.01649-6622.55364)/599501.49446*100)</f>
        <v>0.8676313400494872</v>
      </c>
      <c r="G17" s="34">
        <f>IF(OR(801882.32231="",11072.65834="",11824.01649=""),"-",(11072.65834-11824.01649)/801882.32231*100)</f>
        <v>-0.09369930338850047</v>
      </c>
    </row>
    <row r="18" spans="1:7" s="9" customFormat="1" ht="15.75">
      <c r="A18" s="33" t="s">
        <v>213</v>
      </c>
      <c r="B18" s="34">
        <f>IF(8928.38886="","-",8928.38886)</f>
        <v>8928.38886</v>
      </c>
      <c r="C18" s="34">
        <f>IF(OR(6837.1043="",8928.38886=""),"-",8928.38886/6837.1043*100)</f>
        <v>130.58728473690243</v>
      </c>
      <c r="D18" s="34">
        <f>IF(6837.1043="","-",6837.1043/801882.32231*100)</f>
        <v>0.8526318774934711</v>
      </c>
      <c r="E18" s="34">
        <f>IF(8928.38886="","-",8928.38886/831837.78281*100)</f>
        <v>1.0733329315529938</v>
      </c>
      <c r="F18" s="34">
        <f>IF(OR(599501.49446="",7746.35415="",6837.1043=""),"-",(6837.1043-7746.35415)/599501.49446*100)</f>
        <v>-0.15166765360927173</v>
      </c>
      <c r="G18" s="34">
        <f>IF(OR(801882.32231="",8928.38886="",6837.1043=""),"-",(8928.38886-6837.1043)/801882.32231*100)</f>
        <v>0.26079694012652505</v>
      </c>
    </row>
    <row r="19" spans="1:7" s="9" customFormat="1" ht="15.75">
      <c r="A19" s="33" t="s">
        <v>11</v>
      </c>
      <c r="B19" s="34">
        <f>IF(7325.7489="","-",7325.7489)</f>
        <v>7325.7489</v>
      </c>
      <c r="C19" s="34">
        <f>IF(OR(8975.29304="",7325.7489=""),"-",7325.7489/8975.29304*100)</f>
        <v>81.62127818391542</v>
      </c>
      <c r="D19" s="34">
        <f>IF(8975.29304="","-",8975.29304/801882.32231*100)</f>
        <v>1.1192780773798177</v>
      </c>
      <c r="E19" s="34">
        <f>IF(7325.7489="","-",7325.7489/831837.78281*100)</f>
        <v>0.8806703724436707</v>
      </c>
      <c r="F19" s="34">
        <f>IF(OR(599501.49446="",6278.47991="",8975.29304=""),"-",(8975.29304-6278.47991)/599501.49446*100)</f>
        <v>0.44984260338319104</v>
      </c>
      <c r="G19" s="34">
        <f>IF(OR(801882.32231="",7325.7489="",8975.29304=""),"-",(7325.7489-8975.29304)/801882.32231*100)</f>
        <v>-0.2057090041900566</v>
      </c>
    </row>
    <row r="20" spans="1:7" s="9" customFormat="1" ht="15.75" customHeight="1">
      <c r="A20" s="33" t="s">
        <v>7</v>
      </c>
      <c r="B20" s="34">
        <f>IF(5870.17023="","-",5870.17023)</f>
        <v>5870.17023</v>
      </c>
      <c r="C20" s="34">
        <f>IF(OR(9209.15099="",5870.17023=""),"-",5870.17023/9209.15099*100)</f>
        <v>63.74279492620198</v>
      </c>
      <c r="D20" s="34">
        <f>IF(9209.15099="","-",9209.15099/801882.32231*100)</f>
        <v>1.1484417019533486</v>
      </c>
      <c r="E20" s="34">
        <f>IF(5870.17023="","-",5870.17023/831837.78281*100)</f>
        <v>0.7056868960881049</v>
      </c>
      <c r="F20" s="34">
        <f>IF(OR(599501.49446="",6133.5909="",9209.15099=""),"-",(9209.15099-6133.5909)/599501.49446*100)</f>
        <v>0.5130195868436168</v>
      </c>
      <c r="G20" s="34">
        <f>IF(OR(801882.32231="",5870.17023="",9209.15099=""),"-",(5870.17023-9209.15099)/801882.32231*100)</f>
        <v>-0.41639286303024176</v>
      </c>
    </row>
    <row r="21" spans="1:7" s="9" customFormat="1" ht="15.75">
      <c r="A21" s="33" t="s">
        <v>92</v>
      </c>
      <c r="B21" s="34">
        <f>IF(5653.41477="","-",5653.41477)</f>
        <v>5653.41477</v>
      </c>
      <c r="C21" s="34">
        <f>IF(OR(5390.67241="",5653.41477=""),"-",5653.41477/5390.67241*100)</f>
        <v>104.87401830451797</v>
      </c>
      <c r="D21" s="34">
        <f>IF(5390.67241="","-",5390.67241/801882.32231*100)</f>
        <v>0.6722523068560698</v>
      </c>
      <c r="E21" s="34">
        <f>IF(5653.41477="","-",5653.41477/831837.78281*100)</f>
        <v>0.6796294766633961</v>
      </c>
      <c r="F21" s="34">
        <f>IF(OR(599501.49446="",4367.96241="",5390.67241=""),"-",(5390.67241-4367.96241)/599501.49446*100)</f>
        <v>0.1705934029274113</v>
      </c>
      <c r="G21" s="34">
        <f>IF(OR(801882.32231="",5653.41477="",5390.67241=""),"-",(5653.41477-5390.67241)/801882.32231*100)</f>
        <v>0.032765700488709186</v>
      </c>
    </row>
    <row r="22" spans="1:7" s="9" customFormat="1" ht="15.75">
      <c r="A22" s="33" t="s">
        <v>95</v>
      </c>
      <c r="B22" s="34">
        <f>IF(5379.73784="","-",5379.73784)</f>
        <v>5379.73784</v>
      </c>
      <c r="C22" s="34">
        <f>IF(OR(4499.45642="",5379.73784=""),"-",5379.73784/4499.45642*100)</f>
        <v>119.56417259843133</v>
      </c>
      <c r="D22" s="34">
        <f>IF(4499.45642="","-",4499.45642/801882.32231*100)</f>
        <v>0.5611118108999233</v>
      </c>
      <c r="E22" s="34">
        <f>IF(5379.73784="","-",5379.73784/831837.78281*100)</f>
        <v>0.6467292002326354</v>
      </c>
      <c r="F22" s="34">
        <f>IF(OR(599501.49446="",3201.66626="",4499.45642=""),"-",(4499.45642-3201.66626)/599501.49446*100)</f>
        <v>0.2164782193193668</v>
      </c>
      <c r="G22" s="34">
        <f>IF(OR(801882.32231="",5379.73784="",4499.45642=""),"-",(5379.73784-4499.45642)/801882.32231*100)</f>
        <v>0.10977688315464461</v>
      </c>
    </row>
    <row r="23" spans="1:7" s="9" customFormat="1" ht="15.75">
      <c r="A23" s="33" t="s">
        <v>101</v>
      </c>
      <c r="B23" s="34">
        <f>IF(3818.19713="","-",3818.19713)</f>
        <v>3818.19713</v>
      </c>
      <c r="C23" s="34">
        <f>IF(OR(3475.33078="",3818.19713=""),"-",3818.19713/3475.33078*100)</f>
        <v>109.86571845112252</v>
      </c>
      <c r="D23" s="34">
        <f>IF(3475.33078="","-",3475.33078/801882.32231*100)</f>
        <v>0.4333966073710839</v>
      </c>
      <c r="E23" s="34">
        <f>IF(3818.19713="","-",3818.19713/831837.78281*100)</f>
        <v>0.45900741814129814</v>
      </c>
      <c r="F23" s="34">
        <f>IF(OR(599501.49446="",2183.8126="",3475.33078=""),"-",(3475.33078-2183.8126)/599501.49446*100)</f>
        <v>0.2154320200925158</v>
      </c>
      <c r="G23" s="34">
        <f>IF(OR(801882.32231="",3818.19713="",3475.33078=""),"-",(3818.19713-3475.33078)/801882.32231*100)</f>
        <v>0.042757689059948055</v>
      </c>
    </row>
    <row r="24" spans="1:7" s="9" customFormat="1" ht="15.75">
      <c r="A24" s="33" t="s">
        <v>103</v>
      </c>
      <c r="B24" s="34">
        <f>IF(3741.18556="","-",3741.18556)</f>
        <v>3741.18556</v>
      </c>
      <c r="C24" s="34" t="s">
        <v>168</v>
      </c>
      <c r="D24" s="34">
        <f>IF(2153.89917="","-",2153.89917/801882.32231*100)</f>
        <v>0.26860539384322824</v>
      </c>
      <c r="E24" s="34">
        <f>IF(3741.18556="","-",3741.18556/831837.78281*100)</f>
        <v>0.44974941476714864</v>
      </c>
      <c r="F24" s="34">
        <f>IF(OR(599501.49446="",1418.25121="",2153.89917=""),"-",(2153.89917-1418.25121)/599501.49446*100)</f>
        <v>0.12270994597980676</v>
      </c>
      <c r="G24" s="34">
        <f>IF(OR(801882.32231="",3741.18556="",2153.89917=""),"-",(3741.18556-2153.89917)/801882.32231*100)</f>
        <v>0.19794505326261205</v>
      </c>
    </row>
    <row r="25" spans="1:7" s="9" customFormat="1" ht="15.75">
      <c r="A25" s="33" t="s">
        <v>10</v>
      </c>
      <c r="B25" s="34">
        <f>IF(2698.89543="","-",2698.89543)</f>
        <v>2698.89543</v>
      </c>
      <c r="C25" s="34">
        <f>IF(OR(3057.65758="",2698.89543=""),"-",2698.89543/3057.65758*100)</f>
        <v>88.26676497896145</v>
      </c>
      <c r="D25" s="34">
        <f>IF(3057.65758="","-",3057.65758/801882.32231*100)</f>
        <v>0.3813100120715642</v>
      </c>
      <c r="E25" s="34">
        <f>IF(2698.89543="","-",2698.89543/831837.78281*100)</f>
        <v>0.32444972875396</v>
      </c>
      <c r="F25" s="34">
        <f>IF(OR(599501.49446="",2528.15862="",3057.65758=""),"-",(3057.65758-2528.15862)/599501.49446*100)</f>
        <v>0.0883232093486181</v>
      </c>
      <c r="G25" s="34">
        <f>IF(OR(801882.32231="",2698.89543="",3057.65758=""),"-",(2698.89543-3057.65758)/801882.32231*100)</f>
        <v>-0.044739999875107114</v>
      </c>
    </row>
    <row r="26" spans="1:7" s="9" customFormat="1" ht="15.75">
      <c r="A26" s="33" t="s">
        <v>102</v>
      </c>
      <c r="B26" s="34">
        <f>IF(2556.1463="","-",2556.1463)</f>
        <v>2556.1463</v>
      </c>
      <c r="C26" s="34">
        <f>IF(OR(2680.94976="",2556.1463=""),"-",2556.1463/2680.94976*100)</f>
        <v>95.34480422341073</v>
      </c>
      <c r="D26" s="34">
        <f>IF(2680.94976="","-",2680.94976/801882.32231*100)</f>
        <v>0.3343320691092091</v>
      </c>
      <c r="E26" s="34">
        <f>IF(2556.1463="","-",2556.1463/831837.78281*100)</f>
        <v>0.307289035533488</v>
      </c>
      <c r="F26" s="34">
        <f>IF(OR(599501.49446="",1708.54514="",2680.94976=""),"-",(2680.94976-1708.54514)/599501.49446*100)</f>
        <v>0.16220220115979728</v>
      </c>
      <c r="G26" s="34">
        <f>IF(OR(801882.32231="",2556.1463="",2680.94976=""),"-",(2556.1463-2680.94976)/801882.32231*100)</f>
        <v>-0.015563812360955411</v>
      </c>
    </row>
    <row r="27" spans="1:7" s="9" customFormat="1" ht="15.75">
      <c r="A27" s="33" t="s">
        <v>94</v>
      </c>
      <c r="B27" s="34">
        <f>IF(2007.75878="","-",2007.75878)</f>
        <v>2007.75878</v>
      </c>
      <c r="C27" s="34">
        <f>IF(OR(1376.63036="",2007.75878=""),"-",2007.75878/1376.63036*100)</f>
        <v>145.84588850706444</v>
      </c>
      <c r="D27" s="34">
        <f>IF(1376.63036="","-",1376.63036/801882.32231*100)</f>
        <v>0.1716748607244902</v>
      </c>
      <c r="E27" s="34">
        <f>IF(2007.75878="","-",2007.75878/831837.78281*100)</f>
        <v>0.24136422046347367</v>
      </c>
      <c r="F27" s="34">
        <f>IF(OR(599501.49446="",1775.32084="",1376.63036=""),"-",(1376.63036-1775.32084)/599501.49446*100)</f>
        <v>-0.06650366741105788</v>
      </c>
      <c r="G27" s="34">
        <f>IF(OR(801882.32231="",2007.75878="",1376.63036=""),"-",(2007.75878-1376.63036)/801882.32231*100)</f>
        <v>0.07870586524240793</v>
      </c>
    </row>
    <row r="28" spans="1:7" s="9" customFormat="1" ht="15.75">
      <c r="A28" s="33" t="s">
        <v>99</v>
      </c>
      <c r="B28" s="34">
        <f>IF(1915.0087="","-",1915.0087)</f>
        <v>1915.0087</v>
      </c>
      <c r="C28" s="34">
        <f>IF(OR(2767.41739="",1915.0087=""),"-",1915.0087/2767.41739*100)</f>
        <v>69.19840523225159</v>
      </c>
      <c r="D28" s="34">
        <f>IF(2767.41739="","-",2767.41739/801882.32231*100)</f>
        <v>0.3451151513139534</v>
      </c>
      <c r="E28" s="34">
        <f>IF(1915.0087="","-",1915.0087/831837.78281*100)</f>
        <v>0.23021420036139512</v>
      </c>
      <c r="F28" s="34">
        <f>IF(OR(599501.49446="",1508.73079="",2767.41739=""),"-",(2767.41739-1508.73079)/599501.49446*100)</f>
        <v>0.2099555399997393</v>
      </c>
      <c r="G28" s="34">
        <f>IF(OR(801882.32231="",1915.0087="",2767.41739=""),"-",(1915.0087-2767.41739)/801882.32231*100)</f>
        <v>-0.10630097038982574</v>
      </c>
    </row>
    <row r="29" spans="1:7" s="9" customFormat="1" ht="15.75">
      <c r="A29" s="33" t="s">
        <v>100</v>
      </c>
      <c r="B29" s="34">
        <f>IF(1665.7784="","-",1665.7784)</f>
        <v>1665.7784</v>
      </c>
      <c r="C29" s="34" t="s">
        <v>220</v>
      </c>
      <c r="D29" s="34">
        <f>IF(1105.32506="","-",1105.32506/801882.32231*100)</f>
        <v>0.1378413052947552</v>
      </c>
      <c r="E29" s="34">
        <f>IF(1665.7784="","-",1665.7784/831837.78281*100)</f>
        <v>0.20025279380468827</v>
      </c>
      <c r="F29" s="34">
        <f>IF(OR(599501.49446="",749.76532="",1105.32506=""),"-",(1105.32506-749.76532)/599501.49446*100)</f>
        <v>0.059309233302290564</v>
      </c>
      <c r="G29" s="34">
        <f>IF(OR(801882.32231="",1665.7784="",1105.32506=""),"-",(1665.7784-1105.32506)/801882.32231*100)</f>
        <v>0.06989221789869239</v>
      </c>
    </row>
    <row r="30" spans="1:7" s="9" customFormat="1" ht="15.75">
      <c r="A30" s="33" t="s">
        <v>96</v>
      </c>
      <c r="B30" s="34">
        <f>IF(1503.03637="","-",1503.03637)</f>
        <v>1503.03637</v>
      </c>
      <c r="C30" s="34">
        <f>IF(OR(1894.09198="",1503.03637=""),"-",1503.03637/1894.09198*100)</f>
        <v>79.35392715194328</v>
      </c>
      <c r="D30" s="34">
        <f>IF(1894.09198="","-",1894.09198/801882.32231*100)</f>
        <v>0.23620572835969844</v>
      </c>
      <c r="E30" s="34">
        <f>IF(1503.03637="","-",1503.03637/831837.78281*100)</f>
        <v>0.18068863918667524</v>
      </c>
      <c r="F30" s="34">
        <f>IF(OR(599501.49446="",1046.85692="",1894.09198=""),"-",(1894.09198-1046.85692)/599501.49446*100)</f>
        <v>0.14132326071399465</v>
      </c>
      <c r="G30" s="34">
        <f>IF(OR(801882.32231="",1503.03637="",1894.09198=""),"-",(1503.03637-1894.09198)/801882.32231*100)</f>
        <v>-0.04876720674842631</v>
      </c>
    </row>
    <row r="31" spans="1:7" s="9" customFormat="1" ht="15.75">
      <c r="A31" s="33" t="s">
        <v>104</v>
      </c>
      <c r="B31" s="34">
        <f>IF(839.60604="","-",839.60604)</f>
        <v>839.60604</v>
      </c>
      <c r="C31" s="34">
        <f>IF(OR(846.82887="",839.60604=""),"-",839.60604/846.82887*100)</f>
        <v>99.14707324515281</v>
      </c>
      <c r="D31" s="34">
        <f>IF(846.82887="","-",846.82887/801882.32231*100)</f>
        <v>0.10560513013437203</v>
      </c>
      <c r="E31" s="34">
        <f>IF(839.60604="","-",839.60604/831837.78281*100)</f>
        <v>0.10093386683684387</v>
      </c>
      <c r="F31" s="34">
        <f>IF(OR(599501.49446="",491.45024="",846.82887=""),"-",(846.82887-491.45024)/599501.49446*100)</f>
        <v>0.0592790232024537</v>
      </c>
      <c r="G31" s="34">
        <f>IF(OR(801882.32231="",839.60604="",846.82887=""),"-",(839.60604-846.82887)/801882.32231*100)</f>
        <v>-0.0009007344094072407</v>
      </c>
    </row>
    <row r="32" spans="1:7" s="9" customFormat="1" ht="15.75">
      <c r="A32" s="33" t="s">
        <v>97</v>
      </c>
      <c r="B32" s="34">
        <f>IF(673.92447="","-",673.92447)</f>
        <v>673.92447</v>
      </c>
      <c r="C32" s="34">
        <f>IF(OR(589.06765="",673.92447=""),"-",673.92447/589.06765*100)</f>
        <v>114.405275862628</v>
      </c>
      <c r="D32" s="34">
        <f>IF(589.06765="","-",589.06765/801882.32231*100)</f>
        <v>0.07346061056727873</v>
      </c>
      <c r="E32" s="34">
        <f>IF(673.92447="","-",673.92447/831837.78281*100)</f>
        <v>0.08101633322346108</v>
      </c>
      <c r="F32" s="34">
        <f>IF(OR(599501.49446="",633.32336="",589.06765=""),"-",(589.06765-633.32336)/599501.49446*100)</f>
        <v>-0.0073820850171296545</v>
      </c>
      <c r="G32" s="34">
        <f>IF(OR(801882.32231="",673.92447="",589.06765=""),"-",(673.92447-589.06765)/801882.32231*100)</f>
        <v>0.01058220360258737</v>
      </c>
    </row>
    <row r="33" spans="1:7" s="9" customFormat="1" ht="15.75">
      <c r="A33" s="33" t="s">
        <v>217</v>
      </c>
      <c r="B33" s="34">
        <f>IF(345.05117="","-",345.05117)</f>
        <v>345.05117</v>
      </c>
      <c r="C33" s="34">
        <f>IF(OR(456.31259="",345.05117=""),"-",345.05117/456.31259*100)</f>
        <v>75.6172802508035</v>
      </c>
      <c r="D33" s="34">
        <f>IF(456.31259="","-",456.31259/801882.32231*100)</f>
        <v>0.056905181384406915</v>
      </c>
      <c r="E33" s="34">
        <f>IF(345.05117="","-",345.05117/831837.78281*100)</f>
        <v>0.04148058397087899</v>
      </c>
      <c r="F33" s="34">
        <f>IF(OR(599501.49446="",157.21502="",456.31259=""),"-",(456.31259-157.21502)/599501.49446*100)</f>
        <v>0.04989104660521517</v>
      </c>
      <c r="G33" s="34">
        <f>IF(OR(801882.32231="",345.05117="",456.31259=""),"-",(345.05117-456.31259)/801882.32231*100)</f>
        <v>-0.013875030899731869</v>
      </c>
    </row>
    <row r="34" spans="1:7" s="9" customFormat="1" ht="15.75">
      <c r="A34" s="33" t="s">
        <v>105</v>
      </c>
      <c r="B34" s="34">
        <f>IF(161.24184="","-",161.24184)</f>
        <v>161.24184</v>
      </c>
      <c r="C34" s="34">
        <f>IF(OR(188.22676="",161.24184=""),"-",161.24184/188.22676*100)</f>
        <v>85.66361127397613</v>
      </c>
      <c r="D34" s="34">
        <f>IF(188.22676="","-",188.22676/801882.32231*100)</f>
        <v>0.023473115039844134</v>
      </c>
      <c r="E34" s="34">
        <f>IF(161.24184="","-",161.24184/831837.78281*100)</f>
        <v>0.01938380815732065</v>
      </c>
      <c r="F34" s="34">
        <f>IF(OR(599501.49446="",332.82604="",188.22676=""),"-",(188.22676-332.82604)/599501.49446*100)</f>
        <v>-0.02411991985612105</v>
      </c>
      <c r="G34" s="34">
        <f>IF(OR(801882.32231="",161.24184="",188.22676=""),"-",(161.24184-188.22676)/801882.32231*100)</f>
        <v>-0.003365197018218829</v>
      </c>
    </row>
    <row r="35" spans="1:7" s="9" customFormat="1" ht="15.75">
      <c r="A35" s="33" t="s">
        <v>98</v>
      </c>
      <c r="B35" s="34">
        <f>IF(95.67696="","-",95.67696)</f>
        <v>95.67696</v>
      </c>
      <c r="C35" s="34">
        <f>IF(OR(86.96612="",95.67696=""),"-",95.67696/86.96612*100)</f>
        <v>110.0163603941397</v>
      </c>
      <c r="D35" s="34">
        <f>IF(86.96612="","-",86.96612/801882.32231*100)</f>
        <v>0.010845247186579048</v>
      </c>
      <c r="E35" s="34">
        <f>IF(95.67696="","-",95.67696/831837.78281*100)</f>
        <v>0.011501877166098087</v>
      </c>
      <c r="F35" s="34">
        <f>IF(OR(599501.49446="",147.86859="",86.96612=""),"-",(86.96612-147.86859)/599501.49446*100)</f>
        <v>-0.010158852073397716</v>
      </c>
      <c r="G35" s="34">
        <f>IF(OR(801882.32231="",95.67696="",86.96612=""),"-",(95.67696-86.96612)/801882.32231*100)</f>
        <v>0.001086299043843052</v>
      </c>
    </row>
    <row r="36" spans="1:7" s="9" customFormat="1" ht="15.75">
      <c r="A36" s="33" t="s">
        <v>106</v>
      </c>
      <c r="B36" s="34">
        <f>IF(8.7735="","-",8.7735)</f>
        <v>8.7735</v>
      </c>
      <c r="C36" s="34">
        <f>IF(OR(34.94745="",8.7735=""),"-",8.7735/34.94745*100)</f>
        <v>25.104835975156988</v>
      </c>
      <c r="D36" s="34">
        <f>IF(34.94745="","-",34.94745/801882.32231*100)</f>
        <v>0.004358176883027689</v>
      </c>
      <c r="E36" s="34">
        <f>IF(8.7735="","-",8.7735/831837.78281*100)</f>
        <v>0.0010547128516286636</v>
      </c>
      <c r="F36" s="34">
        <f>IF(OR(599501.49446="",34.02719="",34.94745=""),"-",(34.94745-34.02719)/599501.49446*100)</f>
        <v>0.00015350420449392353</v>
      </c>
      <c r="G36" s="34">
        <f>IF(OR(801882.32231="",8.7735="",34.94745=""),"-",(8.7735-34.94745)/801882.32231*100)</f>
        <v>-0.0032640637250363784</v>
      </c>
    </row>
    <row r="37" spans="1:7" s="9" customFormat="1" ht="15.75">
      <c r="A37" s="31" t="s">
        <v>218</v>
      </c>
      <c r="B37" s="32">
        <f>IF(225746.78229="","-",225746.78229)</f>
        <v>225746.78229</v>
      </c>
      <c r="C37" s="32">
        <f>IF(198475.02896="","-",225746.78229/198475.02896*100)</f>
        <v>113.74064710956473</v>
      </c>
      <c r="D37" s="32">
        <f>IF(198475.02896="","-",198475.02896/801882.32231*100)</f>
        <v>24.751141587489876</v>
      </c>
      <c r="E37" s="32">
        <f>IF(225746.78229="","-",225746.78229/831837.78281*100)</f>
        <v>27.138317945526985</v>
      </c>
      <c r="F37" s="32">
        <f>IF(599501.49446="","-",(198475.02896-167492.58528)/599501.49446*100)</f>
        <v>5.168034436329035</v>
      </c>
      <c r="G37" s="32">
        <f>IF(801882.32231="","-",(225746.78229-198475.02896)/801882.32231*100)</f>
        <v>3.4009670211257017</v>
      </c>
    </row>
    <row r="38" spans="1:7" s="9" customFormat="1" ht="15.75">
      <c r="A38" s="33" t="s">
        <v>219</v>
      </c>
      <c r="B38" s="34">
        <f>IF(133611.32041="","-",133611.32041)</f>
        <v>133611.32041</v>
      </c>
      <c r="C38" s="34">
        <f>IF(OR(122923.79842="",133611.32041=""),"-",133611.32041/122923.79842*100)</f>
        <v>108.6944286845769</v>
      </c>
      <c r="D38" s="34">
        <f>IF(122923.79842="","-",122923.79842/801882.32231*100)</f>
        <v>15.329406198392146</v>
      </c>
      <c r="E38" s="34">
        <f>IF(133611.32041="","-",133611.32041/831837.78281*100)</f>
        <v>16.062184619536346</v>
      </c>
      <c r="F38" s="34">
        <f>IF(OR(599501.49446="",104675.23458="",122923.79842=""),"-",(122923.79842-104675.23458)/599501.49446*100)</f>
        <v>3.0439563551776248</v>
      </c>
      <c r="G38" s="34">
        <f>IF(OR(801882.32231="",133611.32041="",122923.79842=""),"-",(133611.32041-122923.79842)/801882.32231*100)</f>
        <v>1.3328042896883174</v>
      </c>
    </row>
    <row r="39" spans="1:7" s="9" customFormat="1" ht="15.75">
      <c r="A39" s="33" t="s">
        <v>13</v>
      </c>
      <c r="B39" s="34">
        <f>IF(71800.77273="","-",71800.77273)</f>
        <v>71800.77273</v>
      </c>
      <c r="C39" s="34">
        <f>IF(OR(62858.8988="",71800.77273=""),"-",71800.77273/62858.8988*100)</f>
        <v>114.22531113446739</v>
      </c>
      <c r="D39" s="34">
        <f>IF(62858.8988="","-",62858.8988/801882.32231*100)</f>
        <v>7.838918136880858</v>
      </c>
      <c r="E39" s="34">
        <f>IF(71800.77273="","-",71800.77273/831837.78281*100)</f>
        <v>8.63158349064796</v>
      </c>
      <c r="F39" s="34">
        <f>IF(OR(599501.49446="",44789.79626="",62858.8988=""),"-",(62858.8988-44789.79626)/599501.49446*100)</f>
        <v>3.0140212671656</v>
      </c>
      <c r="G39" s="34">
        <f>IF(OR(801882.32231="",71800.77273="",62858.8988=""),"-",(71800.77273-62858.8988)/801882.32231*100)</f>
        <v>1.115110494547497</v>
      </c>
    </row>
    <row r="40" spans="1:7" s="9" customFormat="1" ht="15.75">
      <c r="A40" s="33" t="s">
        <v>12</v>
      </c>
      <c r="B40" s="34">
        <f>IF(16078.10138="","-",16078.10138)</f>
        <v>16078.10138</v>
      </c>
      <c r="C40" s="34">
        <f>IF(OR(11357.78522="",16078.10138=""),"-",16078.10138/11357.78522*100)</f>
        <v>141.56018157209</v>
      </c>
      <c r="D40" s="34">
        <f>IF(11357.78522="","-",11357.78522/801882.32231*100)</f>
        <v>1.4163905231482568</v>
      </c>
      <c r="E40" s="34">
        <f>IF(16078.10138="","-",16078.10138/831837.78281*100)</f>
        <v>1.9328409591696076</v>
      </c>
      <c r="F40" s="34">
        <f>IF(OR(599501.49446="",16915.24902="",11357.78522=""),"-",(11357.78522-16915.24902)/599501.49446*100)</f>
        <v>-0.9270141694985893</v>
      </c>
      <c r="G40" s="34">
        <f>IF(OR(801882.32231="",16078.10138="",11357.78522=""),"-",(16078.10138-11357.78522)/801882.32231*100)</f>
        <v>0.5886544731902909</v>
      </c>
    </row>
    <row r="41" spans="1:7" s="9" customFormat="1" ht="15.75">
      <c r="A41" s="33" t="s">
        <v>17</v>
      </c>
      <c r="B41" s="34">
        <f>IF(1913.95741="","-",1913.95741)</f>
        <v>1913.95741</v>
      </c>
      <c r="C41" s="34" t="s">
        <v>238</v>
      </c>
      <c r="D41" s="34">
        <f>IF(0.918="","-",0.918/801882.32231*100)</f>
        <v>0.00011448063817587316</v>
      </c>
      <c r="E41" s="34">
        <f>IF(1913.95741="","-",1913.95741/831837.78281*100)</f>
        <v>0.23008781874929177</v>
      </c>
      <c r="F41" s="34">
        <f>IF(OR(599501.49446="",4.47522="",0.918=""),"-",(0.918-4.47522)/599501.49446*100)</f>
        <v>-0.0005933629912305991</v>
      </c>
      <c r="G41" s="34">
        <f>IF(OR(801882.32231="",1913.95741="",0.918=""),"-",(1913.95741-0.918)/801882.32231*100)</f>
        <v>0.23856859750805648</v>
      </c>
    </row>
    <row r="42" spans="1:7" s="9" customFormat="1" ht="15.75">
      <c r="A42" s="33" t="s">
        <v>14</v>
      </c>
      <c r="B42" s="34">
        <f>IF(1095.81412="","-",1095.81412)</f>
        <v>1095.81412</v>
      </c>
      <c r="C42" s="34" t="s">
        <v>239</v>
      </c>
      <c r="D42" s="34">
        <f>IF(269.38437="","-",269.38437/801882.32231*100)</f>
        <v>0.033594002823753306</v>
      </c>
      <c r="E42" s="34">
        <f>IF(1095.81412="","-",1095.81412/831837.78281*100)</f>
        <v>0.13173411242493355</v>
      </c>
      <c r="F42" s="34">
        <f>IF(OR(599501.49446="",378.53398="",269.38437=""),"-",(269.38437-378.53398)/599501.49446*100)</f>
        <v>-0.018206728591780467</v>
      </c>
      <c r="G42" s="34">
        <f>IF(OR(801882.32231="",1095.81412="",269.38437=""),"-",(1095.81412-269.38437)/801882.32231*100)</f>
        <v>0.10306122569447419</v>
      </c>
    </row>
    <row r="43" spans="1:7" s="9" customFormat="1" ht="15.75">
      <c r="A43" s="33" t="s">
        <v>16</v>
      </c>
      <c r="B43" s="34">
        <f>IF(995.68571="","-",995.68571)</f>
        <v>995.68571</v>
      </c>
      <c r="C43" s="34">
        <f>IF(OR(697.81339="",995.68571=""),"-",995.68571/697.81339*100)</f>
        <v>142.68652970387973</v>
      </c>
      <c r="D43" s="34">
        <f>IF(697.81339="","-",697.81339/801882.32231*100)</f>
        <v>0.08702191962404081</v>
      </c>
      <c r="E43" s="34">
        <f>IF(995.68571="","-",995.68571/831837.78281*100)</f>
        <v>0.11969710087422472</v>
      </c>
      <c r="F43" s="34">
        <f>IF(OR(599501.49446="",653.18921="",697.81339=""),"-",(697.81339-653.18921)/599501.49446*100)</f>
        <v>0.007443547749650764</v>
      </c>
      <c r="G43" s="34">
        <f>IF(OR(801882.32231="",995.68571="",697.81339=""),"-",(995.68571-697.81339)/801882.32231*100)</f>
        <v>0.0371466375692025</v>
      </c>
    </row>
    <row r="44" spans="1:7" s="9" customFormat="1" ht="15.75">
      <c r="A44" s="33" t="s">
        <v>18</v>
      </c>
      <c r="B44" s="34">
        <f>IF(160.87978="","-",160.87978)</f>
        <v>160.87978</v>
      </c>
      <c r="C44" s="34">
        <f>IF(OR(190.04003="",160.87978=""),"-",160.87978/190.04003*100)</f>
        <v>84.65573279482224</v>
      </c>
      <c r="D44" s="34">
        <f>IF(190.04003="","-",190.04003/801882.32231*100)</f>
        <v>0.02369924173568854</v>
      </c>
      <c r="E44" s="34">
        <f>IF(160.87978="","-",160.87978/831837.78281*100)</f>
        <v>0.01934028284415479</v>
      </c>
      <c r="F44" s="34">
        <f>IF(OR(599501.49446="",44.01307="",190.04003=""),"-",(190.04003-44.01307)/599501.49446*100)</f>
        <v>0.024358064383398003</v>
      </c>
      <c r="G44" s="34">
        <f>IF(OR(801882.32231="",160.87978="",190.04003=""),"-",(160.87978-190.04003)/801882.32231*100)</f>
        <v>-0.0036364749775250585</v>
      </c>
    </row>
    <row r="45" spans="1:7" s="9" customFormat="1" ht="15.75">
      <c r="A45" s="33" t="s">
        <v>15</v>
      </c>
      <c r="B45" s="34">
        <f>IF(48.80784="","-",48.80784)</f>
        <v>48.80784</v>
      </c>
      <c r="C45" s="34">
        <f>IF(OR(149.26807="",48.80784=""),"-",48.80784/149.26807*100)</f>
        <v>32.69811152512389</v>
      </c>
      <c r="D45" s="34">
        <f>IF(149.26807="","-",149.26807/801882.32231*100)</f>
        <v>0.01861471014475044</v>
      </c>
      <c r="E45" s="34">
        <f>IF(48.80784="","-",48.80784/831837.78281*100)</f>
        <v>0.005867470919044344</v>
      </c>
      <c r="F45" s="34">
        <f>IF(OR(599501.49446="",32.09394="",149.26807=""),"-",(149.26807-32.09394)/599501.49446*100)</f>
        <v>0.01954526070123385</v>
      </c>
      <c r="G45" s="34">
        <f>IF(OR(801882.32231="",48.80784="",149.26807=""),"-",(48.80784-149.26807)/801882.32231*100)</f>
        <v>-0.012528051461541392</v>
      </c>
    </row>
    <row r="46" spans="1:7" s="9" customFormat="1" ht="15.75">
      <c r="A46" s="33" t="s">
        <v>221</v>
      </c>
      <c r="B46" s="34">
        <f>IF(41.44291="","-",41.44291)</f>
        <v>41.44291</v>
      </c>
      <c r="C46" s="34" t="s">
        <v>220</v>
      </c>
      <c r="D46" s="34">
        <f>IF(27.12266="","-",27.12266/801882.32231*100)</f>
        <v>0.0033823741022083087</v>
      </c>
      <c r="E46" s="34">
        <f>IF(41.44291="","-",41.44291/831837.78281*100)</f>
        <v>0.004982090361416772</v>
      </c>
      <c r="F46" s="34" t="str">
        <f>IF(OR(599501.49446="",""="",27.12266=""),"-",(27.12266-"")/599501.49446*100)</f>
        <v>-</v>
      </c>
      <c r="G46" s="34">
        <f>IF(OR(801882.32231="",41.44291="",27.12266=""),"-",(41.44291-27.12266)/801882.32231*100)</f>
        <v>0.0017858293669259775</v>
      </c>
    </row>
    <row r="47" spans="1:7" s="9" customFormat="1" ht="15.75">
      <c r="A47" s="31" t="s">
        <v>222</v>
      </c>
      <c r="B47" s="32">
        <f>IF(218361.05629="","-",218361.05629)</f>
        <v>218361.05629</v>
      </c>
      <c r="C47" s="32">
        <f>IF(215867.44972="","-",218361.05629/215867.44972*100)</f>
        <v>101.15515635786426</v>
      </c>
      <c r="D47" s="32">
        <f>IF(215867.44972="","-",215867.44972/801882.32231*100)</f>
        <v>26.92009085549435</v>
      </c>
      <c r="E47" s="32">
        <f>IF(218361.05629="","-",218361.05629/831837.78281*100)</f>
        <v>26.250437381235887</v>
      </c>
      <c r="F47" s="32">
        <f>IF(599501.49446="","-",(215867.44972-158606.12478)/599501.49446*100)</f>
        <v>9.551489941084808</v>
      </c>
      <c r="G47" s="32">
        <f>IF(801882.32231="","-",(218361.05629-215867.44972)/801882.32231*100)</f>
        <v>0.31096914106007684</v>
      </c>
    </row>
    <row r="48" spans="1:7" s="9" customFormat="1" ht="15.75">
      <c r="A48" s="33" t="s">
        <v>110</v>
      </c>
      <c r="B48" s="34">
        <f>IF(94657.59681="","-",94657.59681)</f>
        <v>94657.59681</v>
      </c>
      <c r="C48" s="34">
        <f>IF(OR(97129.75394="",94657.59681=""),"-",94657.59681/97129.75394*100)</f>
        <v>97.45478905307728</v>
      </c>
      <c r="D48" s="34">
        <f>IF(97129.75394="","-",97129.75394/801882.32231*100)</f>
        <v>12.1127191905411</v>
      </c>
      <c r="E48" s="34">
        <f>IF(94657.59681="","-",94657.59681/831837.78281*100)</f>
        <v>11.379333659291206</v>
      </c>
      <c r="F48" s="34">
        <f>IF(OR(599501.49446="",61290.11869="",97129.75394=""),"-",(97129.75394-61290.11869)/599501.49446*100)</f>
        <v>5.97823951753156</v>
      </c>
      <c r="G48" s="34">
        <f>IF(OR(801882.32231="",94657.59681="",97129.75394=""),"-",(94657.59681-97129.75394)/801882.32231*100)</f>
        <v>-0.3082942548076624</v>
      </c>
    </row>
    <row r="49" spans="1:7" s="9" customFormat="1" ht="15.75">
      <c r="A49" s="33" t="s">
        <v>107</v>
      </c>
      <c r="B49" s="34">
        <f>IF(53354.99331="","-",53354.99331)</f>
        <v>53354.99331</v>
      </c>
      <c r="C49" s="34">
        <f>IF(OR(49948.30484="",53354.99331=""),"-",53354.99331/49948.30484*100)</f>
        <v>106.82042860295797</v>
      </c>
      <c r="D49" s="34">
        <f>IF(49948.30484="","-",49948.30484/801882.32231*100)</f>
        <v>6.228882150202891</v>
      </c>
      <c r="E49" s="34">
        <f>IF(53354.99331="","-",53354.99331/831837.78281*100)</f>
        <v>6.414110348506111</v>
      </c>
      <c r="F49" s="34">
        <f>IF(OR(599501.49446="",39451.1184="",49948.30484=""),"-",(49948.30484-39451.1184)/599501.49446*100)</f>
        <v>1.7509858669252063</v>
      </c>
      <c r="G49" s="34">
        <f>IF(OR(801882.32231="",53354.99331="",49948.30484=""),"-",(53354.99331-49948.30484)/801882.32231*100)</f>
        <v>0.4248364598169815</v>
      </c>
    </row>
    <row r="50" spans="1:7" s="9" customFormat="1" ht="15.75">
      <c r="A50" s="33" t="s">
        <v>20</v>
      </c>
      <c r="B50" s="34">
        <f>IF(10565.53931="","-",10565.53931)</f>
        <v>10565.53931</v>
      </c>
      <c r="C50" s="34">
        <f>IF(OR(11219.45494="",10565.53931=""),"-",10565.53931/11219.45494*100)</f>
        <v>94.17159181531505</v>
      </c>
      <c r="D50" s="34">
        <f>IF(11219.45494="","-",11219.45494/801882.32231*100)</f>
        <v>1.3991398273601878</v>
      </c>
      <c r="E50" s="34">
        <f>IF(10565.53931="","-",10565.53931/831837.78281*100)</f>
        <v>1.2701441949786108</v>
      </c>
      <c r="F50" s="34">
        <f>IF(OR(599501.49446="",15379.92177="",11219.45494=""),"-",(11219.45494-15379.92177)/599501.49446*100)</f>
        <v>-0.6939877328825569</v>
      </c>
      <c r="G50" s="34">
        <f>IF(OR(801882.32231="",10565.53931="",11219.45494=""),"-",(10565.53931-11219.45494)/801882.32231*100)</f>
        <v>-0.08154758021304803</v>
      </c>
    </row>
    <row r="51" spans="1:7" s="9" customFormat="1" ht="15.75">
      <c r="A51" s="33" t="s">
        <v>128</v>
      </c>
      <c r="B51" s="34">
        <f>IF(6414.5851="","-",6414.5851)</f>
        <v>6414.5851</v>
      </c>
      <c r="C51" s="34">
        <f>IF(OR(5631.25519="",6414.5851=""),"-",6414.5851/5631.25519*100)</f>
        <v>113.91039623618975</v>
      </c>
      <c r="D51" s="34">
        <f>IF(5631.25519="","-",5631.25519/801882.32231*100)</f>
        <v>0.7022545619633963</v>
      </c>
      <c r="E51" s="34">
        <f>IF(6414.5851="","-",6414.5851/831837.78281*100)</f>
        <v>0.7711341360729169</v>
      </c>
      <c r="F51" s="34">
        <f>IF(OR(599501.49446="",2669.5529="",5631.25519=""),"-",(5631.25519-2669.5529)/599501.49446*100)</f>
        <v>0.4940275074155984</v>
      </c>
      <c r="G51" s="34">
        <f>IF(OR(801882.32231="",6414.5851="",5631.25519=""),"-",(6414.5851-5631.25519)/801882.32231*100)</f>
        <v>0.09768639215582714</v>
      </c>
    </row>
    <row r="52" spans="1:7" s="9" customFormat="1" ht="15.75">
      <c r="A52" s="33" t="s">
        <v>121</v>
      </c>
      <c r="B52" s="34">
        <f>IF(6139.21596="","-",6139.21596)</f>
        <v>6139.21596</v>
      </c>
      <c r="C52" s="34" t="s">
        <v>220</v>
      </c>
      <c r="D52" s="34">
        <f>IF(4035.4825="","-",4035.4825/801882.32231*100)</f>
        <v>0.5032512112718607</v>
      </c>
      <c r="E52" s="34">
        <f>IF(6139.21596="","-",6139.21596/831837.78281*100)</f>
        <v>0.7380304293538273</v>
      </c>
      <c r="F52" s="34">
        <f>IF(OR(599501.49446="",3928.24097="",4035.4825=""),"-",(4035.4825-3928.24097)/599501.49446*100)</f>
        <v>0.017888450819726127</v>
      </c>
      <c r="G52" s="34">
        <f>IF(OR(801882.32231="",6139.21596="",4035.4825=""),"-",(6139.21596-4035.4825)/801882.32231*100)</f>
        <v>0.2623493998395836</v>
      </c>
    </row>
    <row r="53" spans="1:7" s="9" customFormat="1" ht="15.75">
      <c r="A53" s="33" t="s">
        <v>223</v>
      </c>
      <c r="B53" s="34">
        <f>IF(4835.47974="","-",4835.47974)</f>
        <v>4835.47974</v>
      </c>
      <c r="C53" s="34">
        <f>IF(OR(3588.25637="",4835.47974=""),"-",4835.47974/3588.25637*100)</f>
        <v>134.7584799243316</v>
      </c>
      <c r="D53" s="34">
        <f>IF(3588.25637="","-",3588.25637/801882.32231*100)</f>
        <v>0.44747917121594993</v>
      </c>
      <c r="E53" s="34">
        <f>IF(4835.47974="","-",4835.47974/831837.78281*100)</f>
        <v>0.5813008064703971</v>
      </c>
      <c r="F53" s="34">
        <f>IF(OR(599501.49446="",4572.84633="",3588.25637=""),"-",(3588.25637-4572.84633)/599501.49446*100)</f>
        <v>-0.16423477991274535</v>
      </c>
      <c r="G53" s="34">
        <f>IF(OR(801882.32231="",4835.47974="",3588.25637=""),"-",(4835.47974-3588.25637)/801882.32231*100)</f>
        <v>0.15553695789266136</v>
      </c>
    </row>
    <row r="54" spans="1:7" s="9" customFormat="1" ht="15.75">
      <c r="A54" s="33" t="s">
        <v>124</v>
      </c>
      <c r="B54" s="34">
        <f>IF(4261.60974="","-",4261.60974)</f>
        <v>4261.60974</v>
      </c>
      <c r="C54" s="34">
        <f>IF(OR(5688.20594="",4261.60974=""),"-",4261.60974/5688.20594*100)</f>
        <v>74.92010284001778</v>
      </c>
      <c r="D54" s="34">
        <f>IF(5688.20594="","-",5688.20594/801882.32231*100)</f>
        <v>0.7093566950838697</v>
      </c>
      <c r="E54" s="34">
        <f>IF(4261.60974="","-",4261.60974/831837.78281*100)</f>
        <v>0.5123125960453511</v>
      </c>
      <c r="F54" s="34">
        <f>IF(OR(599501.49446="",4008.32982="",5688.20594=""),"-",(5688.20594-4008.32982)/599501.49446*100)</f>
        <v>0.280212165528152</v>
      </c>
      <c r="G54" s="34">
        <f>IF(OR(801882.32231="",4261.60974="",5688.20594=""),"-",(4261.60974-5688.20594)/801882.32231*100)</f>
        <v>-0.17790592962448318</v>
      </c>
    </row>
    <row r="55" spans="1:7" s="9" customFormat="1" ht="15.75">
      <c r="A55" s="33" t="s">
        <v>87</v>
      </c>
      <c r="B55" s="34">
        <f>IF(3864.66374="","-",3864.66374)</f>
        <v>3864.66374</v>
      </c>
      <c r="C55" s="34">
        <f>IF(OR(3575.09899="",3864.66374=""),"-",3864.66374/3575.09899*100)</f>
        <v>108.09948901582722</v>
      </c>
      <c r="D55" s="34">
        <f>IF(3575.09899="","-",3575.09899/801882.32231*100)</f>
        <v>0.44583835938684047</v>
      </c>
      <c r="E55" s="34">
        <f>IF(3864.66374="","-",3864.66374/831837.78281*100)</f>
        <v>0.4645934363482414</v>
      </c>
      <c r="F55" s="34">
        <f>IF(OR(599501.49446="",3358.60136="",3575.09899=""),"-",(3575.09899-3358.60136)/599501.49446*100)</f>
        <v>0.03611294250317253</v>
      </c>
      <c r="G55" s="34">
        <f>IF(OR(801882.32231="",3864.66374="",3575.09899=""),"-",(3864.66374-3575.09899)/801882.32231*100)</f>
        <v>0.03611062894688145</v>
      </c>
    </row>
    <row r="56" spans="1:7" s="9" customFormat="1" ht="15.75">
      <c r="A56" s="33" t="s">
        <v>132</v>
      </c>
      <c r="B56" s="34">
        <f>IF(3035.07869="","-",3035.07869)</f>
        <v>3035.07869</v>
      </c>
      <c r="C56" s="34">
        <f>IF(OR(2655.25882="",3035.07869=""),"-",3035.07869/2655.25882*100)</f>
        <v>114.30443869121578</v>
      </c>
      <c r="D56" s="34">
        <f>IF(2655.25882="","-",2655.25882/801882.32231*100)</f>
        <v>0.33112823990818724</v>
      </c>
      <c r="E56" s="34">
        <f>IF(3035.07869="","-",3035.07869/831837.78281*100)</f>
        <v>0.36486425030458636</v>
      </c>
      <c r="F56" s="34">
        <f>IF(OR(599501.49446="",2028.61029="",2655.25882=""),"-",(2655.25882-2028.61029)/599501.49446*100)</f>
        <v>0.10452826820130826</v>
      </c>
      <c r="G56" s="34">
        <f>IF(OR(801882.32231="",3035.07869="",2655.25882=""),"-",(3035.07869-2655.25882)/801882.32231*100)</f>
        <v>0.04736603606696858</v>
      </c>
    </row>
    <row r="57" spans="1:7" s="9" customFormat="1" ht="15.75">
      <c r="A57" s="33" t="s">
        <v>118</v>
      </c>
      <c r="B57" s="34">
        <f>IF(2515.966="","-",2515.966)</f>
        <v>2515.966</v>
      </c>
      <c r="C57" s="34">
        <f>IF(OR(2417.81539="",2515.966=""),"-",2515.966/2417.81539*100)</f>
        <v>104.0594749461</v>
      </c>
      <c r="D57" s="34">
        <f>IF(2417.81539="","-",2417.81539/801882.32231*100)</f>
        <v>0.30151748239504106</v>
      </c>
      <c r="E57" s="34">
        <f>IF(2515.966="","-",2515.966/831837.78281*100)</f>
        <v>0.302458730775718</v>
      </c>
      <c r="F57" s="34">
        <f>IF(OR(599501.49446="",1738.97098="",2417.81539=""),"-",(2417.81539-1738.97098)/599501.49446*100)</f>
        <v>0.11323481530458371</v>
      </c>
      <c r="G57" s="34">
        <f>IF(OR(801882.32231="",2515.966="",2417.81539=""),"-",(2515.966-2417.81539)/801882.32231*100)</f>
        <v>0.012240026655938128</v>
      </c>
    </row>
    <row r="58" spans="1:7" s="9" customFormat="1" ht="15.75">
      <c r="A58" s="33" t="s">
        <v>122</v>
      </c>
      <c r="B58" s="34">
        <f>IF(2313.88149="","-",2313.88149)</f>
        <v>2313.88149</v>
      </c>
      <c r="C58" s="34">
        <f>IF(OR(2483.4654="",2313.88149=""),"-",2313.88149/2483.4654*100)</f>
        <v>93.17148086701752</v>
      </c>
      <c r="D58" s="34">
        <f>IF(2483.4654="","-",2483.4654/801882.32231*100)</f>
        <v>0.30970447045718963</v>
      </c>
      <c r="E58" s="34">
        <f>IF(2313.88149="","-",2313.88149/831837.78281*100)</f>
        <v>0.27816499055664</v>
      </c>
      <c r="F58" s="34">
        <f>IF(OR(599501.49446="",2256.12632="",2483.4654=""),"-",(2483.4654-2256.12632)/599501.49446*100)</f>
        <v>0.037921353341208185</v>
      </c>
      <c r="G58" s="34">
        <f>IF(OR(801882.32231="",2313.88149="",2483.4654=""),"-",(2313.88149-2483.4654)/801882.32231*100)</f>
        <v>-0.02114822902087126</v>
      </c>
    </row>
    <row r="59" spans="1:7" s="9" customFormat="1" ht="15.75">
      <c r="A59" s="33" t="s">
        <v>113</v>
      </c>
      <c r="B59" s="34">
        <f>IF(2008.32072="","-",2008.32072)</f>
        <v>2008.32072</v>
      </c>
      <c r="C59" s="34">
        <f>IF(OR(2098.92917="",2008.32072=""),"-",2008.32072/2098.92917*100)</f>
        <v>95.68311064065111</v>
      </c>
      <c r="D59" s="34">
        <f>IF(2098.92917="","-",2098.92917/801882.32231*100)</f>
        <v>0.2617502732762045</v>
      </c>
      <c r="E59" s="34">
        <f>IF(2008.32072="","-",2008.32072/831837.78281*100)</f>
        <v>0.24143177450004338</v>
      </c>
      <c r="F59" s="34">
        <f>IF(OR(599501.49446="",1083.35715="",2098.92917=""),"-",(2098.92917-1083.35715)/599501.49446*100)</f>
        <v>0.16940275034923385</v>
      </c>
      <c r="G59" s="34">
        <f>IF(OR(801882.32231="",2008.32072="",2098.92917=""),"-",(2008.32072-2098.92917)/801882.32231*100)</f>
        <v>-0.01129946969512711</v>
      </c>
    </row>
    <row r="60" spans="1:7" s="9" customFormat="1" ht="15.75">
      <c r="A60" s="33" t="s">
        <v>114</v>
      </c>
      <c r="B60" s="34">
        <f>IF(1866.19238="","-",1866.19238)</f>
        <v>1866.19238</v>
      </c>
      <c r="C60" s="34">
        <f>IF(OR(1302.19215="",1866.19238=""),"-",1866.19238/1302.19215*100)</f>
        <v>143.31159806177604</v>
      </c>
      <c r="D60" s="34">
        <f>IF(1302.19215="","-",1302.19215/801882.32231*100)</f>
        <v>0.1623919263176605</v>
      </c>
      <c r="E60" s="34">
        <f>IF(1866.19238="","-",1866.19238/831837.78281*100)</f>
        <v>0.22434571001282072</v>
      </c>
      <c r="F60" s="34">
        <f>IF(OR(599501.49446="",1001.77848="",1302.19215=""),"-",(1302.19215-1001.77848)/599501.49446*100)</f>
        <v>0.050110579002075266</v>
      </c>
      <c r="G60" s="34">
        <f>IF(OR(801882.32231="",1866.19238="",1302.19215=""),"-",(1866.19238-1302.19215)/801882.32231*100)</f>
        <v>0.07033453841148063</v>
      </c>
    </row>
    <row r="61" spans="1:7" s="9" customFormat="1" ht="15.75">
      <c r="A61" s="33" t="s">
        <v>112</v>
      </c>
      <c r="B61" s="34">
        <f>IF(1739.65435="","-",1739.65435)</f>
        <v>1739.65435</v>
      </c>
      <c r="C61" s="34">
        <f>IF(OR(1516.90151="",1739.65435=""),"-",1739.65435/1516.90151*100)</f>
        <v>114.68472663066966</v>
      </c>
      <c r="D61" s="34">
        <f>IF(1516.90151="","-",1516.90151/801882.32231*100)</f>
        <v>0.18916759576769673</v>
      </c>
      <c r="E61" s="34">
        <f>IF(1739.65435="","-",1739.65435/831837.78281*100)</f>
        <v>0.20913384627990073</v>
      </c>
      <c r="F61" s="34">
        <f>IF(OR(599501.49446="",1333.09017="",1516.90151=""),"-",(1516.90151-1333.09017)/599501.49446*100)</f>
        <v>0.030660697545978225</v>
      </c>
      <c r="G61" s="34">
        <f>IF(OR(801882.32231="",1739.65435="",1516.90151=""),"-",(1739.65435-1516.90151)/801882.32231*100)</f>
        <v>0.027778744312296492</v>
      </c>
    </row>
    <row r="62" spans="1:7" s="9" customFormat="1" ht="15.75">
      <c r="A62" s="33" t="s">
        <v>123</v>
      </c>
      <c r="B62" s="34">
        <f>IF(1620.523="","-",1620.523)</f>
        <v>1620.523</v>
      </c>
      <c r="C62" s="34">
        <f>IF(OR(1867.77357="",1620.523=""),"-",1620.523/1867.77357*100)</f>
        <v>86.76228350313362</v>
      </c>
      <c r="D62" s="34">
        <f>IF(1867.77357="","-",1867.77357/801882.32231*100)</f>
        <v>0.23292364952247155</v>
      </c>
      <c r="E62" s="34">
        <f>IF(1620.523="","-",1620.523/831837.78281*100)</f>
        <v>0.1948123821120233</v>
      </c>
      <c r="F62" s="34">
        <f>IF(OR(599501.49446="",1417.39577="",1867.77357=""),"-",(1867.77357-1417.39577)/599501.49446*100)</f>
        <v>0.07512538403355894</v>
      </c>
      <c r="G62" s="34">
        <f>IF(OR(801882.32231="",1620.523="",1867.77357=""),"-",(1620.523-1867.77357)/801882.32231*100)</f>
        <v>-0.03083377237793945</v>
      </c>
    </row>
    <row r="63" spans="1:7" s="9" customFormat="1" ht="15.75">
      <c r="A63" s="33" t="s">
        <v>135</v>
      </c>
      <c r="B63" s="34">
        <f>IF(1515.11379="","-",1515.11379)</f>
        <v>1515.11379</v>
      </c>
      <c r="C63" s="34">
        <f>IF(OR(1523.74846="",1515.11379=""),"-",1515.11379/1523.74846*100)</f>
        <v>99.43332707289497</v>
      </c>
      <c r="D63" s="34">
        <f>IF(1523.74846="","-",1523.74846/801882.32231*100)</f>
        <v>0.19002145546874066</v>
      </c>
      <c r="E63" s="34">
        <f>IF(1515.11379="","-",1515.11379/831837.78281*100)</f>
        <v>0.1821405352473713</v>
      </c>
      <c r="F63" s="34">
        <f>IF(OR(599501.49446="",833.06585="",1523.74846=""),"-",(1523.74846-833.06585)/599501.49446*100)</f>
        <v>0.11520948928111203</v>
      </c>
      <c r="G63" s="34">
        <f>IF(OR(801882.32231="",1515.11379="",1523.74846=""),"-",(1515.11379-1523.74846)/801882.32231*100)</f>
        <v>-0.0010768001438323058</v>
      </c>
    </row>
    <row r="64" spans="1:7" s="9" customFormat="1" ht="15.75">
      <c r="A64" s="33" t="s">
        <v>130</v>
      </c>
      <c r="B64" s="34">
        <f>IF(1480.90471="","-",1480.90471)</f>
        <v>1480.90471</v>
      </c>
      <c r="C64" s="34">
        <f>IF(OR(1627.92402="",1480.90471=""),"-",1480.90471/1627.92402*100)</f>
        <v>90.96890836465452</v>
      </c>
      <c r="D64" s="34">
        <f>IF(1627.92402="","-",1627.92402/801882.32231*100)</f>
        <v>0.20301283301899006</v>
      </c>
      <c r="E64" s="34">
        <f>IF(1480.90471="","-",1480.90471/831837.78281*100)</f>
        <v>0.17802806515922026</v>
      </c>
      <c r="F64" s="34">
        <f>IF(OR(599501.49446="",876.20542="",1627.92402=""),"-",(1627.92402-876.20542)/599501.49446*100)</f>
        <v>0.12539061319223388</v>
      </c>
      <c r="G64" s="34">
        <f>IF(OR(801882.32231="",1480.90471="",1627.92402=""),"-",(1480.90471-1627.92402)/801882.32231*100)</f>
        <v>-0.0183342749814559</v>
      </c>
    </row>
    <row r="65" spans="1:7" s="9" customFormat="1" ht="15.75">
      <c r="A65" s="33" t="s">
        <v>138</v>
      </c>
      <c r="B65" s="34">
        <f>IF(1354.75906="","-",1354.75906)</f>
        <v>1354.75906</v>
      </c>
      <c r="C65" s="34" t="s">
        <v>176</v>
      </c>
      <c r="D65" s="34">
        <f>IF(580.63336="","-",580.63336/801882.32231*100)</f>
        <v>0.07240879912745263</v>
      </c>
      <c r="E65" s="34">
        <f>IF(1354.75906="","-",1354.75906/831837.78281*100)</f>
        <v>0.16286337168089904</v>
      </c>
      <c r="F65" s="34">
        <f>IF(OR(599501.49446="",567.92993="",580.63336=""),"-",(580.63336-567.92993)/599501.49446*100)</f>
        <v>0.002118998887808048</v>
      </c>
      <c r="G65" s="34">
        <f>IF(OR(801882.32231="",1354.75906="",580.63336=""),"-",(1354.75906-580.63336)/801882.32231*100)</f>
        <v>0.09653856662782628</v>
      </c>
    </row>
    <row r="66" spans="1:7" s="9" customFormat="1" ht="15.75">
      <c r="A66" s="33" t="s">
        <v>133</v>
      </c>
      <c r="B66" s="34">
        <f>IF(1328.00743="","-",1328.00743)</f>
        <v>1328.00743</v>
      </c>
      <c r="C66" s="34">
        <f>IF(OR(1571.41992="",1328.00743=""),"-",1328.00743/1571.41992*100)</f>
        <v>84.51002899339599</v>
      </c>
      <c r="D66" s="34">
        <f>IF(1571.41992="","-",1571.41992/801882.32231*100)</f>
        <v>0.19596640009137203</v>
      </c>
      <c r="E66" s="34">
        <f>IF(1328.00743="","-",1328.00743/831837.78281*100)</f>
        <v>0.1596474045112387</v>
      </c>
      <c r="F66" s="34">
        <f>IF(OR(599501.49446="",905.3933="",1571.41992=""),"-",(1571.41992-905.3933)/599501.49446*100)</f>
        <v>0.11109674056774829</v>
      </c>
      <c r="G66" s="34">
        <f>IF(OR(801882.32231="",1328.00743="",1571.41992=""),"-",(1328.00743-1571.41992)/801882.32231*100)</f>
        <v>-0.030355138556839144</v>
      </c>
    </row>
    <row r="67" spans="1:7" s="9" customFormat="1" ht="15.75">
      <c r="A67" s="33" t="s">
        <v>126</v>
      </c>
      <c r="B67" s="34">
        <f>IF(948.43661="","-",948.43661)</f>
        <v>948.43661</v>
      </c>
      <c r="C67" s="34">
        <f>IF(OR(1020.25417="",948.43661=""),"-",948.43661/1020.25417*100)</f>
        <v>92.96081681293201</v>
      </c>
      <c r="D67" s="34">
        <f>IF(1020.25417="","-",1020.25417/801882.32231*100)</f>
        <v>0.1272324057551152</v>
      </c>
      <c r="E67" s="34">
        <f>IF(948.43661="","-",948.43661/831837.78281*100)</f>
        <v>0.11401701504782842</v>
      </c>
      <c r="F67" s="34">
        <f>IF(OR(599501.49446="",448.24582="",1020.25417=""),"-",(1020.25417-448.24582)/599501.49446*100)</f>
        <v>0.09541399901183494</v>
      </c>
      <c r="G67" s="34">
        <f>IF(OR(801882.32231="",948.43661="",1020.25417=""),"-",(948.43661-1020.25417)/801882.32231*100)</f>
        <v>-0.008956122114416197</v>
      </c>
    </row>
    <row r="68" spans="1:7" s="9" customFormat="1" ht="15.75">
      <c r="A68" s="33" t="s">
        <v>136</v>
      </c>
      <c r="B68" s="34">
        <f>IF(854.08204="","-",854.08204)</f>
        <v>854.08204</v>
      </c>
      <c r="C68" s="34">
        <f>IF(OR(1494.59671="",854.08204=""),"-",854.08204/1494.59671*100)</f>
        <v>57.14464873939138</v>
      </c>
      <c r="D68" s="34">
        <f>IF(1494.59671="","-",1494.59671/801882.32231*100)</f>
        <v>0.18638604049712465</v>
      </c>
      <c r="E68" s="34">
        <f>IF(854.08204="","-",854.08204/831837.78281*100)</f>
        <v>0.10267410998270089</v>
      </c>
      <c r="F68" s="34">
        <f>IF(OR(599501.49446="",613.37395="",1494.59671=""),"-",(1494.59671-613.37395)/599501.49446*100)</f>
        <v>0.14699258769884468</v>
      </c>
      <c r="G68" s="34">
        <f>IF(OR(801882.32231="",854.08204="",1494.59671=""),"-",(854.08204-1494.59671)/801882.32231*100)</f>
        <v>-0.079876392355783</v>
      </c>
    </row>
    <row r="69" spans="1:7" s="9" customFormat="1" ht="15.75">
      <c r="A69" s="33" t="s">
        <v>116</v>
      </c>
      <c r="B69" s="34">
        <f>IF(736.40888="","-",736.40888)</f>
        <v>736.40888</v>
      </c>
      <c r="C69" s="34">
        <f>IF(OR(643.74268="",736.40888=""),"-",736.40888/643.74268*100)</f>
        <v>114.39491319730423</v>
      </c>
      <c r="D69" s="34">
        <f>IF(643.74268="","-",643.74268/801882.32231*100)</f>
        <v>0.08027894643512733</v>
      </c>
      <c r="E69" s="34">
        <f>IF(736.40888="","-",736.40888/831837.78281*100)</f>
        <v>0.08852794321416428</v>
      </c>
      <c r="F69" s="34">
        <f>IF(OR(599501.49446="",1526.66076="",643.74268=""),"-",(643.74268-1526.66076)/599501.49446*100)</f>
        <v>-0.1472753759847233</v>
      </c>
      <c r="G69" s="34">
        <f>IF(OR(801882.32231="",736.40888="",643.74268=""),"-",(736.40888-643.74268)/801882.32231*100)</f>
        <v>0.011556084655046947</v>
      </c>
    </row>
    <row r="70" spans="1:7" s="9" customFormat="1" ht="15.75">
      <c r="A70" s="33" t="s">
        <v>120</v>
      </c>
      <c r="B70" s="34">
        <f>IF(704.07227="","-",704.07227)</f>
        <v>704.07227</v>
      </c>
      <c r="C70" s="34">
        <f>IF(OR(702.84617="",704.07227=""),"-",704.07227/702.84617*100)</f>
        <v>100.17444784539411</v>
      </c>
      <c r="D70" s="34">
        <f>IF(702.84617="","-",702.84617/801882.32231*100)</f>
        <v>0.08764954039332051</v>
      </c>
      <c r="E70" s="34">
        <f>IF(704.07227="","-",704.07227/831837.78281*100)</f>
        <v>0.0846405735048004</v>
      </c>
      <c r="F70" s="34">
        <f>IF(OR(599501.49446="",326.21748="",702.84617=""),"-",(702.84617-326.21748)/599501.49446*100)</f>
        <v>0.06282364489170252</v>
      </c>
      <c r="G70" s="34">
        <f>IF(OR(801882.32231="",704.07227="",702.84617=""),"-",(704.07227-702.84617)/801882.32231*100)</f>
        <v>0.00015290273471398158</v>
      </c>
    </row>
    <row r="71" spans="1:7" s="9" customFormat="1" ht="15.75">
      <c r="A71" s="33" t="s">
        <v>117</v>
      </c>
      <c r="B71" s="34">
        <f>IF(657.18104="","-",657.18104)</f>
        <v>657.18104</v>
      </c>
      <c r="C71" s="34">
        <f>IF(OR(702.05876="",657.18104=""),"-",657.18104/702.05876*100)</f>
        <v>93.60769745256081</v>
      </c>
      <c r="D71" s="34">
        <f>IF(702.05876="","-",702.05876/801882.32231*100)</f>
        <v>0.08755134518710476</v>
      </c>
      <c r="E71" s="34">
        <f>IF(657.18104="","-",657.18104/831837.78281*100)</f>
        <v>0.07900350928759228</v>
      </c>
      <c r="F71" s="34">
        <f>IF(OR(599501.49446="",923.14829="",702.05876=""),"-",(702.05876-923.14829)/599501.49446*100)</f>
        <v>-0.03687889555623978</v>
      </c>
      <c r="G71" s="34">
        <f>IF(OR(801882.32231="",657.18104="",702.05876=""),"-",(657.18104-702.05876)/801882.32231*100)</f>
        <v>-0.0055965468687125715</v>
      </c>
    </row>
    <row r="72" spans="1:7" s="9" customFormat="1" ht="15.75">
      <c r="A72" s="33" t="s">
        <v>109</v>
      </c>
      <c r="B72" s="34">
        <f>IF(654.38404="","-",654.38404)</f>
        <v>654.38404</v>
      </c>
      <c r="C72" s="34">
        <f>IF(OR(649.89109="",654.38404=""),"-",654.38404/649.89109*100)</f>
        <v>100.69133891341701</v>
      </c>
      <c r="D72" s="34">
        <f>IF(649.89109="","-",649.89109/801882.32231*100)</f>
        <v>0.08104569360350088</v>
      </c>
      <c r="E72" s="34">
        <f>IF(654.38404="","-",654.38404/831837.78281*100)</f>
        <v>0.07866726584472394</v>
      </c>
      <c r="F72" s="34">
        <f>IF(OR(599501.49446="",366.78725="",649.89109=""),"-",(649.89109-366.78725)/599501.49446*100)</f>
        <v>0.04722320838499416</v>
      </c>
      <c r="G72" s="34">
        <f>IF(OR(801882.32231="",654.38404="",649.89109=""),"-",(654.38404-649.89109)/801882.32231*100)</f>
        <v>0.0005603004175297349</v>
      </c>
    </row>
    <row r="73" spans="1:7" s="9" customFormat="1" ht="15.75">
      <c r="A73" s="33" t="s">
        <v>240</v>
      </c>
      <c r="B73" s="34">
        <f>IF(585.92692="","-",585.92692)</f>
        <v>585.92692</v>
      </c>
      <c r="C73" s="34" t="s">
        <v>21</v>
      </c>
      <c r="D73" s="34">
        <f>IF(294.5253="","-",294.5253/801882.32231*100)</f>
        <v>0.0367292421600659</v>
      </c>
      <c r="E73" s="34">
        <f>IF(585.92692="","-",585.92692/831837.78281*100)</f>
        <v>0.07043764206293952</v>
      </c>
      <c r="F73" s="34">
        <f>IF(OR(599501.49446="",158.76093="",294.5253=""),"-",(294.5253-158.76093)/599501.49446*100)</f>
        <v>0.022646210435603595</v>
      </c>
      <c r="G73" s="34">
        <f>IF(OR(801882.32231="",585.92692="",294.5253=""),"-",(585.92692-294.5253)/801882.32231*100)</f>
        <v>0.03633969871795564</v>
      </c>
    </row>
    <row r="74" spans="1:7" s="9" customFormat="1" ht="15.75">
      <c r="A74" s="33" t="s">
        <v>127</v>
      </c>
      <c r="B74" s="34">
        <f>IF(553.96737="","-",553.96737)</f>
        <v>553.96737</v>
      </c>
      <c r="C74" s="34">
        <f>IF(OR(482.92438="",553.96737=""),"-",553.96737/482.92438*100)</f>
        <v>114.71099678173215</v>
      </c>
      <c r="D74" s="34">
        <f>IF(482.92438="","-",482.92438/801882.32231*100)</f>
        <v>0.060223846637350614</v>
      </c>
      <c r="E74" s="34">
        <f>IF(553.96737="","-",553.96737/831837.78281*100)</f>
        <v>0.06659560090293849</v>
      </c>
      <c r="F74" s="34">
        <f>IF(OR(599501.49446="",241.59269="",482.92438=""),"-",(482.92438-241.59269)/599501.49446*100)</f>
        <v>0.04025539422839623</v>
      </c>
      <c r="G74" s="34">
        <f>IF(OR(801882.32231="",553.96737="",482.92438=""),"-",(553.96737-482.92438)/801882.32231*100)</f>
        <v>0.008859528140655961</v>
      </c>
    </row>
    <row r="75" spans="1:7" s="9" customFormat="1" ht="15.75">
      <c r="A75" s="33" t="s">
        <v>137</v>
      </c>
      <c r="B75" s="34">
        <f>IF(524.2928="","-",524.2928)</f>
        <v>524.2928</v>
      </c>
      <c r="C75" s="34">
        <f>IF(OR(903.65841="",524.2928=""),"-",524.2928/903.65841*100)</f>
        <v>58.01891447012595</v>
      </c>
      <c r="D75" s="34">
        <f>IF(903.65841="","-",903.65841/801882.32231*100)</f>
        <v>0.1126921475705826</v>
      </c>
      <c r="E75" s="34">
        <f>IF(524.2928="","-",524.2928/831837.78281*100)</f>
        <v>0.06302825031929978</v>
      </c>
      <c r="F75" s="34">
        <f>IF(OR(599501.49446="",400.42371="",903.65841=""),"-",(903.65841-400.42371)/599501.49446*100)</f>
        <v>0.08394219274687344</v>
      </c>
      <c r="G75" s="34">
        <f>IF(OR(801882.32231="",524.2928="",903.65841=""),"-",(524.2928-903.65841)/801882.32231*100)</f>
        <v>-0.04730938685705817</v>
      </c>
    </row>
    <row r="76" spans="1:7" s="9" customFormat="1" ht="15.75">
      <c r="A76" s="33" t="s">
        <v>89</v>
      </c>
      <c r="B76" s="34">
        <f>IF(438.02421="","-",438.02421)</f>
        <v>438.02421</v>
      </c>
      <c r="C76" s="34" t="s">
        <v>168</v>
      </c>
      <c r="D76" s="34">
        <f>IF(253.53378="","-",253.53378/801882.32231*100)</f>
        <v>0.031617329992964516</v>
      </c>
      <c r="E76" s="34">
        <f>IF(438.02421="","-",438.02421/831837.78281*100)</f>
        <v>0.05265740737578988</v>
      </c>
      <c r="F76" s="34">
        <f>IF(OR(599501.49446="",153.69763="",253.53378=""),"-",(253.53378-153.69763)/599501.49446*100)</f>
        <v>0.01665319451620838</v>
      </c>
      <c r="G76" s="34">
        <f>IF(OR(801882.32231="",438.02421="",253.53378=""),"-",(438.02421-253.53378)/801882.32231*100)</f>
        <v>0.0230071701130079</v>
      </c>
    </row>
    <row r="77" spans="1:7" s="9" customFormat="1" ht="15.75">
      <c r="A77" s="33" t="s">
        <v>88</v>
      </c>
      <c r="B77" s="34">
        <f>IF(387.46882="","-",387.46882)</f>
        <v>387.46882</v>
      </c>
      <c r="C77" s="34" t="s">
        <v>176</v>
      </c>
      <c r="D77" s="34">
        <f>IF(166.05183="","-",166.05183/801882.32231*100)</f>
        <v>0.020707755412496295</v>
      </c>
      <c r="E77" s="34">
        <f>IF(387.46882="","-",387.46882/831837.78281*100)</f>
        <v>0.04657985342900705</v>
      </c>
      <c r="F77" s="34">
        <f>IF(OR(599501.49446="",59.21034="",166.05183=""),"-",(166.05183-59.21034)/599501.49446*100)</f>
        <v>0.017821722045286526</v>
      </c>
      <c r="G77" s="34">
        <f>IF(OR(801882.32231="",387.46882="",166.05183=""),"-",(387.46882-166.05183)/801882.32231*100)</f>
        <v>0.027612155030698173</v>
      </c>
    </row>
    <row r="78" spans="1:7" s="9" customFormat="1" ht="15.75">
      <c r="A78" s="33" t="s">
        <v>134</v>
      </c>
      <c r="B78" s="34">
        <f>IF(379.36714="","-",379.36714)</f>
        <v>379.36714</v>
      </c>
      <c r="C78" s="34">
        <f>IF(OR(524.69003="",379.36714=""),"-",379.36714/524.69003*100)</f>
        <v>72.30309674456747</v>
      </c>
      <c r="D78" s="34">
        <f>IF(524.69003="","-",524.69003/801882.32231*100)</f>
        <v>0.06543229790731811</v>
      </c>
      <c r="E78" s="34">
        <f>IF(379.36714="","-",379.36714/831837.78281*100)</f>
        <v>0.04560590392016988</v>
      </c>
      <c r="F78" s="34">
        <f>IF(OR(599501.49446="",505.20108="",524.69003=""),"-",(524.69003-505.20108)/599501.49446*100)</f>
        <v>0.003250859285606057</v>
      </c>
      <c r="G78" s="34">
        <f>IF(OR(801882.32231="",379.36714="",524.69003=""),"-",(379.36714-524.69003)/801882.32231*100)</f>
        <v>-0.018122720249196308</v>
      </c>
    </row>
    <row r="79" spans="1:7" s="9" customFormat="1" ht="15.75">
      <c r="A79" s="33" t="s">
        <v>144</v>
      </c>
      <c r="B79" s="34">
        <f>IF(366.13797="","-",366.13797)</f>
        <v>366.13797</v>
      </c>
      <c r="C79" s="34">
        <f>IF(OR(320.33071="",366.13797=""),"-",366.13797/320.33071*100)</f>
        <v>114.29999015704738</v>
      </c>
      <c r="D79" s="34">
        <f>IF(320.33071="","-",320.33071/801882.32231*100)</f>
        <v>0.039947346523018026</v>
      </c>
      <c r="E79" s="34">
        <f>IF(366.13797="","-",366.13797/831837.78281*100)</f>
        <v>0.04401554937348038</v>
      </c>
      <c r="F79" s="34">
        <f>IF(OR(599501.49446="",257.76943="",320.33071=""),"-",(320.33071-257.76943)/599501.49446*100)</f>
        <v>0.010435550299395331</v>
      </c>
      <c r="G79" s="34">
        <f>IF(OR(801882.32231="",366.13797="",320.33071=""),"-",(366.13797-320.33071)/801882.32231*100)</f>
        <v>0.005712466620793187</v>
      </c>
    </row>
    <row r="80" spans="1:7" s="9" customFormat="1" ht="15.75">
      <c r="A80" s="33" t="s">
        <v>230</v>
      </c>
      <c r="B80" s="34">
        <f>IF(342.82774="","-",342.82774)</f>
        <v>342.82774</v>
      </c>
      <c r="C80" s="34" t="s">
        <v>241</v>
      </c>
      <c r="D80" s="34">
        <f>IF(115.87805="","-",115.87805/801882.32231*100)</f>
        <v>0.014450755026770956</v>
      </c>
      <c r="E80" s="34">
        <f>IF(342.82774="","-",342.82774/831837.78281*100)</f>
        <v>0.04121329267371175</v>
      </c>
      <c r="F80" s="34">
        <f>IF(OR(599501.49446="",49.58243="",115.87805=""),"-",(115.87805-49.58243)/599501.49446*100)</f>
        <v>0.011058457837493079</v>
      </c>
      <c r="G80" s="34">
        <f>IF(OR(801882.32231="",342.82774="",115.87805=""),"-",(342.82774-115.87805)/801882.32231*100)</f>
        <v>0.028302119112218492</v>
      </c>
    </row>
    <row r="81" spans="1:7" s="9" customFormat="1" ht="15.75">
      <c r="A81" s="33" t="s">
        <v>90</v>
      </c>
      <c r="B81" s="34">
        <f>IF(326.74323="","-",326.74323)</f>
        <v>326.74323</v>
      </c>
      <c r="C81" s="34">
        <f>IF(OR(704.34642="",326.74323=""),"-",326.74323/704.34642*100)</f>
        <v>46.389563533239794</v>
      </c>
      <c r="D81" s="34">
        <f>IF(704.34642="","-",704.34642/801882.32231*100)</f>
        <v>0.08783663143626534</v>
      </c>
      <c r="E81" s="34">
        <f>IF(326.74323="","-",326.74323/831837.78281*100)</f>
        <v>0.03927968129750502</v>
      </c>
      <c r="F81" s="34">
        <f>IF(OR(599501.49446="",114.11799="",704.34642=""),"-",(704.34642-114.11799)/599501.49446*100)</f>
        <v>0.09845320411280163</v>
      </c>
      <c r="G81" s="34">
        <f>IF(OR(801882.32231="",326.74323="",704.34642=""),"-",(326.74323-704.34642)/801882.32231*100)</f>
        <v>-0.04708960149068135</v>
      </c>
    </row>
    <row r="82" spans="1:7" s="9" customFormat="1" ht="15.75">
      <c r="A82" s="33" t="s">
        <v>242</v>
      </c>
      <c r="B82" s="34">
        <f>IF(326.70748="","-",326.70748)</f>
        <v>326.70748</v>
      </c>
      <c r="C82" s="34" t="s">
        <v>243</v>
      </c>
      <c r="D82" s="34">
        <f>IF(4.64079="","-",4.64079/801882.32231*100)</f>
        <v>0.0005787370379522989</v>
      </c>
      <c r="E82" s="34">
        <f>IF(326.70748="","-",326.70748/831837.78281*100)</f>
        <v>0.03927538358456882</v>
      </c>
      <c r="F82" s="34">
        <f>IF(OR(599501.49446="",4.78751="",4.64079=""),"-",(4.64079-4.78751)/599501.49446*100)</f>
        <v>-2.447366709772058E-05</v>
      </c>
      <c r="G82" s="34">
        <f>IF(OR(801882.32231="",326.70748="",4.64079=""),"-",(326.70748-4.64079)/801882.32231*100)</f>
        <v>0.04016383464748486</v>
      </c>
    </row>
    <row r="83" spans="1:7" s="9" customFormat="1" ht="15.75">
      <c r="A83" s="33" t="s">
        <v>125</v>
      </c>
      <c r="B83" s="34">
        <f>IF(316.35126="","-",316.35126)</f>
        <v>316.35126</v>
      </c>
      <c r="C83" s="34" t="s">
        <v>170</v>
      </c>
      <c r="D83" s="34">
        <f>IF(169.98512="","-",169.98512/801882.32231*100)</f>
        <v>0.02119826254684355</v>
      </c>
      <c r="E83" s="34">
        <f>IF(316.35126="","-",316.35126/831837.78281*100)</f>
        <v>0.038030402866691834</v>
      </c>
      <c r="F83" s="34">
        <f>IF(OR(599501.49446="",243.86993="",169.98512=""),"-",(169.98512-243.86993)/599501.49446*100)</f>
        <v>-0.012324374615037723</v>
      </c>
      <c r="G83" s="34">
        <f>IF(OR(801882.32231="",316.35126="",169.98512=""),"-",(316.35126-169.98512)/801882.32231*100)</f>
        <v>0.018252820386208277</v>
      </c>
    </row>
    <row r="84" spans="1:7" s="9" customFormat="1" ht="15.75">
      <c r="A84" s="33" t="s">
        <v>141</v>
      </c>
      <c r="B84" s="34">
        <f>IF(316.14161="","-",316.14161)</f>
        <v>316.14161</v>
      </c>
      <c r="C84" s="34">
        <f>IF(OR(280.20072="",316.14161=""),"-",316.14161/280.20072*100)</f>
        <v>112.82683713303807</v>
      </c>
      <c r="D84" s="34">
        <f>IF(280.20072="","-",280.20072/801882.32231*100)</f>
        <v>0.034942872813659195</v>
      </c>
      <c r="E84" s="34">
        <f>IF(316.14161="","-",316.14161/831837.78281*100)</f>
        <v>0.03800519963544501</v>
      </c>
      <c r="F84" s="34">
        <f>IF(OR(599501.49446="",88.28459="",280.20072=""),"-",(280.20072-88.28459)/599501.49446*100)</f>
        <v>0.03201261911329648</v>
      </c>
      <c r="G84" s="34">
        <f>IF(OR(801882.32231="",316.14161="",280.20072=""),"-",(316.14161-280.20072)/801882.32231*100)</f>
        <v>0.004482065385412702</v>
      </c>
    </row>
    <row r="85" spans="1:7" s="9" customFormat="1" ht="15.75">
      <c r="A85" s="33" t="s">
        <v>140</v>
      </c>
      <c r="B85" s="34">
        <f>IF(277.12102="","-",277.12102)</f>
        <v>277.12102</v>
      </c>
      <c r="C85" s="34">
        <f>IF(OR(404.45634="",277.12102=""),"-",277.12102/404.45634*100)</f>
        <v>68.51691829085928</v>
      </c>
      <c r="D85" s="34">
        <f>IF(404.45634="","-",404.45634/801882.32231*100)</f>
        <v>0.050438365923178574</v>
      </c>
      <c r="E85" s="34">
        <f>IF(277.12102="","-",277.12102/831837.78281*100)</f>
        <v>0.033314310281010305</v>
      </c>
      <c r="F85" s="34">
        <f>IF(OR(599501.49446="",473.19752="",404.45634=""),"-",(404.45634-473.19752)/599501.49446*100)</f>
        <v>-0.011466390098313016</v>
      </c>
      <c r="G85" s="34">
        <f>IF(OR(801882.32231="",277.12102="",404.45634=""),"-",(277.12102-404.45634)/801882.32231*100)</f>
        <v>-0.015879551956349703</v>
      </c>
    </row>
    <row r="86" spans="1:7" s="9" customFormat="1" ht="15.75">
      <c r="A86" s="33" t="s">
        <v>139</v>
      </c>
      <c r="B86" s="34">
        <f>IF(252.99368="","-",252.99368)</f>
        <v>252.99368</v>
      </c>
      <c r="C86" s="34">
        <f>IF(OR(336.37268="",252.99368=""),"-",252.99368/336.37268*100)</f>
        <v>75.21231510240368</v>
      </c>
      <c r="D86" s="34">
        <f>IF(336.37268="","-",336.37268/801882.32231*100)</f>
        <v>0.04194788569861521</v>
      </c>
      <c r="E86" s="34">
        <f>IF(252.99368="","-",252.99368/831837.78281*100)</f>
        <v>0.03041382409264599</v>
      </c>
      <c r="F86" s="34">
        <f>IF(OR(599501.49446="",215.70495="",336.37268=""),"-",(336.37268-215.70495)/599501.49446*100)</f>
        <v>0.020128011542104876</v>
      </c>
      <c r="G86" s="34">
        <f>IF(OR(801882.32231="",252.99368="",336.37268=""),"-",(252.99368-336.37268)/801882.32231*100)</f>
        <v>-0.010397909728176608</v>
      </c>
    </row>
    <row r="87" spans="1:7" s="9" customFormat="1" ht="15.75">
      <c r="A87" s="33" t="s">
        <v>142</v>
      </c>
      <c r="B87" s="34">
        <f>IF(236.84987="","-",236.84987)</f>
        <v>236.84987</v>
      </c>
      <c r="C87" s="34">
        <f>IF(OR(216.7822="",236.84987=""),"-",236.84987/216.7822*100)</f>
        <v>109.25706538636474</v>
      </c>
      <c r="D87" s="34">
        <f>IF(216.7822="","-",216.7822/801882.32231*100)</f>
        <v>0.027034166232211075</v>
      </c>
      <c r="E87" s="34">
        <f>IF(236.84987="","-",236.84987/831837.78281*100)</f>
        <v>0.028473083922673767</v>
      </c>
      <c r="F87" s="34">
        <f>IF(OR(599501.49446="",116.45473="",216.7822=""),"-",(216.7822-116.45473)/599501.49446*100)</f>
        <v>0.016735149274376672</v>
      </c>
      <c r="G87" s="34">
        <f>IF(OR(801882.32231="",236.84987="",216.7822=""),"-",(236.84987-216.7822)/801882.32231*100)</f>
        <v>0.002502570444774321</v>
      </c>
    </row>
    <row r="88" spans="1:7" s="9" customFormat="1" ht="15.75">
      <c r="A88" s="33" t="s">
        <v>131</v>
      </c>
      <c r="B88" s="34">
        <f>IF(205.72394="","-",205.72394)</f>
        <v>205.72394</v>
      </c>
      <c r="C88" s="34">
        <f>IF(OR(165.60193="",205.72394=""),"-",205.72394/165.60193*100)</f>
        <v>124.22798454100142</v>
      </c>
      <c r="D88" s="34">
        <f>IF(165.60193="","-",165.60193/801882.32231*100)</f>
        <v>0.020651649923263914</v>
      </c>
      <c r="E88" s="34">
        <f>IF(205.72394="","-",205.72394/831837.78281*100)</f>
        <v>0.024731257013242615</v>
      </c>
      <c r="F88" s="34">
        <f>IF(OR(599501.49446="",126.79723="",165.60193=""),"-",(165.60193-126.79723)/599501.49446*100)</f>
        <v>0.006472827900946817</v>
      </c>
      <c r="G88" s="34">
        <f>IF(OR(801882.32231="",205.72394="",165.60193=""),"-",(205.72394-165.60193)/801882.32231*100)</f>
        <v>0.005003478550870112</v>
      </c>
    </row>
    <row r="89" spans="1:7" ht="15.75">
      <c r="A89" s="33" t="s">
        <v>143</v>
      </c>
      <c r="B89" s="34">
        <f>IF(200.50308="","-",200.50308)</f>
        <v>200.50308</v>
      </c>
      <c r="C89" s="34">
        <f>IF(OR(343.83753="",200.50308=""),"-",200.50308/343.83753*100)</f>
        <v>58.31332024750178</v>
      </c>
      <c r="D89" s="34">
        <f>IF(343.83753="","-",343.83753/801882.32231*100)</f>
        <v>0.04287880159391714</v>
      </c>
      <c r="E89" s="34">
        <f>IF(200.50308="","-",200.50308/831837.78281*100)</f>
        <v>0.024103627431142655</v>
      </c>
      <c r="F89" s="34">
        <f>IF(OR(599501.49446="",75.65095="",343.83753=""),"-",(343.83753-75.65095)/599501.49446*100)</f>
        <v>0.04473493101824019</v>
      </c>
      <c r="G89" s="34">
        <f>IF(OR(801882.32231="",200.50308="",343.83753=""),"-",(200.50308-343.83753)/801882.32231*100)</f>
        <v>-0.017874748702165343</v>
      </c>
    </row>
    <row r="90" spans="1:7" ht="15.75">
      <c r="A90" s="33" t="s">
        <v>153</v>
      </c>
      <c r="B90" s="34">
        <f>IF(194.06628="","-",194.06628)</f>
        <v>194.06628</v>
      </c>
      <c r="C90" s="34">
        <f>IF(OR(195.92629="",194.06628=""),"-",194.06628/195.92629*100)</f>
        <v>99.05065828582781</v>
      </c>
      <c r="D90" s="34">
        <f>IF(195.92629="","-",195.92629/801882.32231*100)</f>
        <v>0.02443329707476165</v>
      </c>
      <c r="E90" s="34">
        <f>IF(194.06628="","-",194.06628/831837.78281*100)</f>
        <v>0.023329822714283546</v>
      </c>
      <c r="F90" s="34">
        <f>IF(OR(599501.49446="",53.12264="",195.92629=""),"-",(195.92629-53.12264)/599501.49446*100)</f>
        <v>0.0238203993350559</v>
      </c>
      <c r="G90" s="34">
        <f>IF(OR(801882.32231="",194.06628="",195.92629=""),"-",(194.06628-195.92629)/801882.32231*100)</f>
        <v>-0.0002319554812783273</v>
      </c>
    </row>
    <row r="91" spans="1:7" ht="15.75">
      <c r="A91" s="33" t="s">
        <v>146</v>
      </c>
      <c r="B91" s="34">
        <f>IF(181.56241="","-",181.56241)</f>
        <v>181.56241</v>
      </c>
      <c r="C91" s="34">
        <f>IF(OR(192.29905="",181.56241=""),"-",181.56241/192.29905*100)</f>
        <v>94.41669628633112</v>
      </c>
      <c r="D91" s="34">
        <f>IF(192.29905="","-",192.29905/801882.32231*100)</f>
        <v>0.02398095638846856</v>
      </c>
      <c r="E91" s="34">
        <f>IF(181.56241="","-",181.56241/831837.78281*100)</f>
        <v>0.021826660648506593</v>
      </c>
      <c r="F91" s="34">
        <f>IF(OR(599501.49446="",80.05636="",192.29905=""),"-",(192.29905-80.05636)/599501.49446*100)</f>
        <v>0.018722670591689253</v>
      </c>
      <c r="G91" s="34">
        <f>IF(OR(801882.32231="",181.56241="",192.29905=""),"-",(181.56241-192.29905)/801882.32231*100)</f>
        <v>-0.001338929628610682</v>
      </c>
    </row>
    <row r="92" spans="1:7" ht="15.75">
      <c r="A92" s="33" t="s">
        <v>145</v>
      </c>
      <c r="B92" s="34">
        <f>IF(127.84174="","-",127.84174)</f>
        <v>127.84174</v>
      </c>
      <c r="C92" s="34">
        <f>IF(OR(263.20349="",127.84174=""),"-",127.84174/263.20349*100)</f>
        <v>48.57144561419</v>
      </c>
      <c r="D92" s="34">
        <f>IF(263.20349="","-",263.20349/801882.32231*100)</f>
        <v>0.03282320643280724</v>
      </c>
      <c r="E92" s="34">
        <f>IF(127.84174="","-",127.84174/831837.78281*100)</f>
        <v>0.015368590203746531</v>
      </c>
      <c r="F92" s="34">
        <f>IF(OR(599501.49446="",233.75986="",263.20349=""),"-",(263.20349-233.75986)/599501.49446*100)</f>
        <v>0.004911352227156879</v>
      </c>
      <c r="G92" s="34">
        <f>IF(OR(801882.32231="",127.84174="",263.20349=""),"-",(127.84174-263.20349)/801882.32231*100)</f>
        <v>-0.016880500571462956</v>
      </c>
    </row>
    <row r="93" spans="1:7" ht="15.75">
      <c r="A93" s="33" t="s">
        <v>160</v>
      </c>
      <c r="B93" s="34">
        <f>IF(124="","-",124)</f>
        <v>124</v>
      </c>
      <c r="C93" s="34">
        <f>IF(OR(176.97313="",124=""),"-",124/176.97313*100)</f>
        <v>70.06713392027366</v>
      </c>
      <c r="D93" s="34">
        <f>IF(176.97313="","-",176.97313/801882.32231*100)</f>
        <v>0.02206971335771434</v>
      </c>
      <c r="E93" s="34">
        <f>IF(124="","-",124/831837.78281*100)</f>
        <v>0.014906752561914205</v>
      </c>
      <c r="F93" s="34" t="str">
        <f>IF(OR(599501.49446="",""="",176.97313=""),"-",(176.97313-"")/599501.49446*100)</f>
        <v>-</v>
      </c>
      <c r="G93" s="34">
        <f>IF(OR(801882.32231="",124="",176.97313=""),"-",(124-176.97313)/801882.32231*100)</f>
        <v>-0.006606097743544108</v>
      </c>
    </row>
    <row r="94" spans="1:7" ht="15.75">
      <c r="A94" s="33" t="s">
        <v>152</v>
      </c>
      <c r="B94" s="34">
        <f>IF(118.96638="","-",118.96638)</f>
        <v>118.96638</v>
      </c>
      <c r="C94" s="34">
        <f>IF(OR(140.55733="",118.96638=""),"-",118.96638/140.55733*100)</f>
        <v>84.63904372685508</v>
      </c>
      <c r="D94" s="34">
        <f>IF(140.55733="","-",140.55733/801882.32231*100)</f>
        <v>0.017528423571565144</v>
      </c>
      <c r="E94" s="34">
        <f>IF(118.96638="","-",118.96638/831837.78281*100)</f>
        <v>0.014301632176182731</v>
      </c>
      <c r="F94" s="34">
        <f>IF(OR(599501.49446="",83.51715="",140.55733=""),"-",(140.55733-83.51715)/599501.49446*100)</f>
        <v>0.00951460180284936</v>
      </c>
      <c r="G94" s="34">
        <f>IF(OR(801882.32231="",118.96638="",140.55733=""),"-",(118.96638-140.55733)/801882.32231*100)</f>
        <v>-0.002692533480199749</v>
      </c>
    </row>
    <row r="95" spans="1:7" ht="15.75">
      <c r="A95" s="33" t="s">
        <v>111</v>
      </c>
      <c r="B95" s="34">
        <f>IF(111.5634="","-",111.5634)</f>
        <v>111.5634</v>
      </c>
      <c r="C95" s="34" t="s">
        <v>244</v>
      </c>
      <c r="D95" s="34">
        <f>IF(0.1722="","-",0.1722/801882.32231*100)</f>
        <v>2.147447265129124E-05</v>
      </c>
      <c r="E95" s="34">
        <f>IF(111.5634="","-",111.5634/831837.78281*100)</f>
        <v>0.01341167740940209</v>
      </c>
      <c r="F95" s="34">
        <f>IF(OR(599501.49446="",90.01633="",0.1722=""),"-",(0.1722-90.01633)/599501.49446*100)</f>
        <v>-0.014986473066414447</v>
      </c>
      <c r="G95" s="34">
        <f>IF(OR(801882.32231="",111.5634="",0.1722=""),"-",(111.5634-0.1722)/801882.32231*100)</f>
        <v>0.013891215319364185</v>
      </c>
    </row>
    <row r="96" spans="1:7" ht="15.75">
      <c r="A96" s="33" t="s">
        <v>245</v>
      </c>
      <c r="B96" s="34">
        <f>IF(104.93261="","-",104.93261)</f>
        <v>104.93261</v>
      </c>
      <c r="C96" s="34" t="s">
        <v>246</v>
      </c>
      <c r="D96" s="34">
        <f>IF(10.44033="","-",10.44033/801882.32231*100)</f>
        <v>0.0013019778226216925</v>
      </c>
      <c r="E96" s="34">
        <f>IF(104.93261="","-",104.93261/831837.78281*100)</f>
        <v>0.01261455203988584</v>
      </c>
      <c r="F96" s="34">
        <f>IF(OR(599501.49446="",2.73862="",10.44033=""),"-",(10.44033-2.73862)/599501.49446*100)</f>
        <v>0.001284685704901754</v>
      </c>
      <c r="G96" s="34">
        <f>IF(OR(801882.32231="",104.93261="",10.44033=""),"-",(104.93261-10.44033)/801882.32231*100)</f>
        <v>0.011783808842149558</v>
      </c>
    </row>
    <row r="97" spans="1:7" ht="15.75">
      <c r="A97" s="33" t="s">
        <v>115</v>
      </c>
      <c r="B97" s="34">
        <f>IF(91.64038="","-",91.64038)</f>
        <v>91.64038</v>
      </c>
      <c r="C97" s="34">
        <f>IF(OR(86.85637="",91.64038=""),"-",91.64038/86.85637*100)</f>
        <v>105.50795525993084</v>
      </c>
      <c r="D97" s="34">
        <f>IF(86.85637="","-",86.85637/801882.32231*100)</f>
        <v>0.010831560639694732</v>
      </c>
      <c r="E97" s="34">
        <f>IF(91.64038="","-",91.64038/831837.78281*100)</f>
        <v>0.011016616688224122</v>
      </c>
      <c r="F97" s="34">
        <f>IF(OR(599501.49446="",29.77109="",86.85637=""),"-",(86.85637-29.77109)/599501.49446*100)</f>
        <v>0.009522124719875714</v>
      </c>
      <c r="G97" s="34">
        <f>IF(OR(801882.32231="",91.64038="",86.85637=""),"-",(91.64038-86.85637)/801882.32231*100)</f>
        <v>0.0005965975139866648</v>
      </c>
    </row>
    <row r="98" spans="1:7" ht="15.75">
      <c r="A98" s="33" t="s">
        <v>119</v>
      </c>
      <c r="B98" s="34">
        <f>IF(86.96862="","-",86.96862)</f>
        <v>86.96862</v>
      </c>
      <c r="C98" s="34">
        <f>IF(OR(386.71118="",86.96862=""),"-",86.96862/386.71118*100)</f>
        <v>22.489295499550856</v>
      </c>
      <c r="D98" s="34">
        <f>IF(386.71118="","-",386.71118/801882.32231*100)</f>
        <v>0.048225427751791894</v>
      </c>
      <c r="E98" s="34">
        <f>IF(86.96862="","-",86.96862/831837.78281*100)</f>
        <v>0.010454997572509218</v>
      </c>
      <c r="F98" s="34">
        <f>IF(OR(599501.49446="",85.78572="",386.71118=""),"-",(386.71118-85.78572)/599501.49446*100)</f>
        <v>0.050195948263825126</v>
      </c>
      <c r="G98" s="34">
        <f>IF(OR(801882.32231="",86.96862="",386.71118=""),"-",(86.96862-386.71118)/801882.32231*100)</f>
        <v>-0.037379868798769006</v>
      </c>
    </row>
    <row r="99" spans="1:7" ht="15.75">
      <c r="A99" s="33" t="s">
        <v>247</v>
      </c>
      <c r="B99" s="34">
        <f>IF(84.88349="","-",84.88349)</f>
        <v>84.88349</v>
      </c>
      <c r="C99" s="34">
        <f>IF(OR(99.17628="",84.88349=""),"-",84.88349/99.17628*100)</f>
        <v>85.58849958881297</v>
      </c>
      <c r="D99" s="34">
        <f>IF(99.17628="","-",99.17628/801882.32231*100)</f>
        <v>0.012367934451317087</v>
      </c>
      <c r="E99" s="34">
        <f>IF(84.88349="","-",84.88349/831837.78281*100)</f>
        <v>0.010204332113078378</v>
      </c>
      <c r="F99" s="34">
        <f>IF(OR(599501.49446="",163.66214="",99.17628=""),"-",(99.17628-163.66214)/599501.49446*100)</f>
        <v>-0.010756580358166668</v>
      </c>
      <c r="G99" s="34">
        <f>IF(OR(801882.32231="",84.88349="",99.17628=""),"-",(84.88349-99.17628)/801882.32231*100)</f>
        <v>-0.0017824049243069056</v>
      </c>
    </row>
    <row r="100" spans="1:7" ht="15.75">
      <c r="A100" s="33" t="s">
        <v>147</v>
      </c>
      <c r="B100" s="34">
        <f>IF(74.85715="","-",74.85715)</f>
        <v>74.85715</v>
      </c>
      <c r="C100" s="34">
        <f>IF(OR(88.01308="",74.85715=""),"-",74.85715/88.01308*100)</f>
        <v>85.05230131703152</v>
      </c>
      <c r="D100" s="34">
        <f>IF(88.01308="","-",88.01308/801882.32231*100)</f>
        <v>0.010975809984993657</v>
      </c>
      <c r="E100" s="34">
        <f>IF(74.85715="","-",74.85715/831837.78281*100)</f>
        <v>0.008999008165645936</v>
      </c>
      <c r="F100" s="34">
        <f>IF(OR(599501.49446="",149.09477="",88.01308=""),"-",(88.01308-149.09477)/599501.49446*100)</f>
        <v>-0.010188746911301573</v>
      </c>
      <c r="G100" s="34">
        <f>IF(OR(801882.32231="",74.85715="",88.01308=""),"-",(74.85715-88.01308)/801882.32231*100)</f>
        <v>-0.0016406310045720203</v>
      </c>
    </row>
    <row r="101" spans="1:7" ht="15.75">
      <c r="A101" s="33" t="s">
        <v>182</v>
      </c>
      <c r="B101" s="34">
        <f>IF(64.00732="","-",64.00732)</f>
        <v>64.00732</v>
      </c>
      <c r="C101" s="34" t="s">
        <v>248</v>
      </c>
      <c r="D101" s="34">
        <f>IF(0.56135="","-",0.56135/801882.32231*100)</f>
        <v>7.00040372985037E-05</v>
      </c>
      <c r="E101" s="34">
        <f>IF(64.00732="","-",64.00732/831837.78281*100)</f>
        <v>0.007694687753155342</v>
      </c>
      <c r="F101" s="34" t="str">
        <f>IF(OR(599501.49446="",""="",0.56135=""),"-",(0.56135-"")/599501.49446*100)</f>
        <v>-</v>
      </c>
      <c r="G101" s="34">
        <f>IF(OR(801882.32231="",64.00732="",0.56135=""),"-",(64.00732-0.56135)/801882.32231*100)</f>
        <v>0.00791212977700142</v>
      </c>
    </row>
    <row r="102" spans="1:7" ht="15.75">
      <c r="A102" s="33" t="s">
        <v>166</v>
      </c>
      <c r="B102" s="34">
        <f>IF(61.19813="","-",61.19813)</f>
        <v>61.19813</v>
      </c>
      <c r="C102" s="34">
        <f>IF(OR(100.55543="",61.19813=""),"-",61.19813/100.55543*100)</f>
        <v>60.860094775587946</v>
      </c>
      <c r="D102" s="34">
        <f>IF(100.55543="","-",100.55543/801882.32231*100)</f>
        <v>0.012539923527722593</v>
      </c>
      <c r="E102" s="34">
        <f>IF(61.19813="","-",61.19813/831837.78281*100)</f>
        <v>0.007356978880337569</v>
      </c>
      <c r="F102" s="34">
        <f>IF(OR(599501.49446="",18.50144="",100.55543=""),"-",(100.55543-18.50144)/599501.49446*100)</f>
        <v>0.013687036772762343</v>
      </c>
      <c r="G102" s="34">
        <f>IF(OR(801882.32231="",61.19813="",100.55543=""),"-",(61.19813-100.55543)/801882.32231*100)</f>
        <v>-0.0049081141839643705</v>
      </c>
    </row>
    <row r="103" spans="1:7" ht="15.75">
      <c r="A103" s="35" t="s">
        <v>249</v>
      </c>
      <c r="B103" s="36">
        <f>IF(50.38919="","-",50.38919)</f>
        <v>50.38919</v>
      </c>
      <c r="C103" s="36">
        <f>IF(OR(33.67588="",50.38919=""),"-",50.38919/33.67588*100)</f>
        <v>149.62991316039847</v>
      </c>
      <c r="D103" s="36">
        <f>IF(33.67588="","-",33.67588/801882.32231*100)</f>
        <v>0.004199603740233249</v>
      </c>
      <c r="E103" s="36">
        <f>IF(50.38919="","-",50.38919/831837.78281*100)</f>
        <v>0.006057574089720013</v>
      </c>
      <c r="F103" s="36">
        <f>IF(OR(599501.49446="",23.96234="",33.67588=""),"-",(33.67588-23.96234)/599501.49446*100)</f>
        <v>0.0016202695222218677</v>
      </c>
      <c r="G103" s="36">
        <f>IF(OR(801882.32231="",50.38919="",33.67588=""),"-",(50.38919-33.67588)/801882.32231*100)</f>
        <v>0.002084259689358608</v>
      </c>
    </row>
    <row r="104" ht="15.75">
      <c r="A104" s="38" t="s">
        <v>22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5"/>
  <sheetViews>
    <sheetView zoomScalePageLayoutView="0" workbookViewId="0" topLeftCell="A22">
      <selection activeCell="H22" sqref="H22"/>
    </sheetView>
  </sheetViews>
  <sheetFormatPr defaultColWidth="9.00390625" defaultRowHeight="15.75"/>
  <cols>
    <col min="1" max="1" width="43.75390625" style="0" customWidth="1"/>
    <col min="2" max="3" width="13.875" style="0" customWidth="1"/>
    <col min="4" max="4" width="18.375" style="0" customWidth="1"/>
  </cols>
  <sheetData>
    <row r="1" spans="1:4" ht="15.75">
      <c r="A1" s="96" t="s">
        <v>198</v>
      </c>
      <c r="B1" s="96"/>
      <c r="C1" s="96"/>
      <c r="D1" s="96"/>
    </row>
    <row r="2" ht="15.75">
      <c r="A2" s="4"/>
    </row>
    <row r="3" spans="1:5" ht="26.25" customHeight="1">
      <c r="A3" s="97"/>
      <c r="B3" s="101" t="s">
        <v>180</v>
      </c>
      <c r="C3" s="102"/>
      <c r="D3" s="99" t="s">
        <v>210</v>
      </c>
      <c r="E3" s="1"/>
    </row>
    <row r="4" spans="1:5" ht="15.75">
      <c r="A4" s="98"/>
      <c r="B4" s="24">
        <v>2018</v>
      </c>
      <c r="C4" s="23">
        <v>2019</v>
      </c>
      <c r="D4" s="100"/>
      <c r="E4" s="1"/>
    </row>
    <row r="5" spans="1:4" ht="17.25" customHeight="1">
      <c r="A5" s="39" t="s">
        <v>157</v>
      </c>
      <c r="B5" s="30">
        <f>IF(-365883.93903="","-",-365883.93903)</f>
        <v>-365883.93903</v>
      </c>
      <c r="C5" s="30">
        <f>IF(-356107.80886="","-",-356107.80886)</f>
        <v>-356107.80886</v>
      </c>
      <c r="D5" s="75">
        <f>IF(-365883.93903="","-",-356107.80886/-365883.93903*100)</f>
        <v>97.32807889957738</v>
      </c>
    </row>
    <row r="6" spans="1:4" ht="15.75">
      <c r="A6" s="40" t="s">
        <v>258</v>
      </c>
      <c r="B6" s="74"/>
      <c r="C6" s="74"/>
      <c r="D6" s="73"/>
    </row>
    <row r="7" spans="1:4" ht="15.75">
      <c r="A7" s="41" t="s">
        <v>2</v>
      </c>
      <c r="B7" s="32">
        <v>-94390.38219</v>
      </c>
      <c r="C7" s="32">
        <v>-81128.94515</v>
      </c>
      <c r="D7" s="76">
        <v>85.95043612250045</v>
      </c>
    </row>
    <row r="8" spans="1:4" ht="15.75">
      <c r="A8" s="33" t="s">
        <v>5</v>
      </c>
      <c r="B8" s="34">
        <v>-25358.85068</v>
      </c>
      <c r="C8" s="34">
        <v>-24634.80191</v>
      </c>
      <c r="D8" s="77">
        <v>97.14478870065257</v>
      </c>
    </row>
    <row r="9" spans="1:4" ht="15.75">
      <c r="A9" s="33" t="s">
        <v>93</v>
      </c>
      <c r="B9" s="34">
        <v>-16719.21081</v>
      </c>
      <c r="C9" s="34">
        <v>-15817.92513</v>
      </c>
      <c r="D9" s="77">
        <v>94.60928096282554</v>
      </c>
    </row>
    <row r="10" spans="1:4" ht="15.75">
      <c r="A10" s="33" t="s">
        <v>158</v>
      </c>
      <c r="B10" s="34">
        <v>-12613.54894</v>
      </c>
      <c r="C10" s="34">
        <v>-14433.98537</v>
      </c>
      <c r="D10" s="77">
        <v>114.4323888436112</v>
      </c>
    </row>
    <row r="11" spans="1:4" ht="15.75">
      <c r="A11" s="33" t="s">
        <v>6</v>
      </c>
      <c r="B11" s="34">
        <v>-13851.69632</v>
      </c>
      <c r="C11" s="34">
        <v>-10478.44062</v>
      </c>
      <c r="D11" s="77">
        <v>75.64734584074392</v>
      </c>
    </row>
    <row r="12" spans="1:4" ht="15.75">
      <c r="A12" s="33" t="s">
        <v>8</v>
      </c>
      <c r="B12" s="34">
        <v>-4916.10852</v>
      </c>
      <c r="C12" s="34">
        <v>-8544.93326</v>
      </c>
      <c r="D12" s="77" t="s">
        <v>168</v>
      </c>
    </row>
    <row r="13" spans="1:4" ht="15.75">
      <c r="A13" s="33" t="s">
        <v>9</v>
      </c>
      <c r="B13" s="34">
        <v>-7722.74885</v>
      </c>
      <c r="C13" s="34">
        <v>-8071.66001</v>
      </c>
      <c r="D13" s="77">
        <v>104.51796590536541</v>
      </c>
    </row>
    <row r="14" spans="1:4" ht="15.75">
      <c r="A14" s="33" t="s">
        <v>91</v>
      </c>
      <c r="B14" s="34">
        <v>-1582.00686</v>
      </c>
      <c r="C14" s="34">
        <v>-4347.63074</v>
      </c>
      <c r="D14" s="77" t="s">
        <v>177</v>
      </c>
    </row>
    <row r="15" spans="1:4" ht="15.75">
      <c r="A15" s="33" t="s">
        <v>101</v>
      </c>
      <c r="B15" s="34">
        <v>-3319.73495</v>
      </c>
      <c r="C15" s="34">
        <v>-3753.3561</v>
      </c>
      <c r="D15" s="77">
        <v>113.06192080183992</v>
      </c>
    </row>
    <row r="16" spans="1:4" ht="15.75">
      <c r="A16" s="33" t="s">
        <v>103</v>
      </c>
      <c r="B16" s="34">
        <v>-2153.89917</v>
      </c>
      <c r="C16" s="34">
        <v>-3734.57099</v>
      </c>
      <c r="D16" s="77" t="s">
        <v>168</v>
      </c>
    </row>
    <row r="17" spans="1:4" ht="15.75">
      <c r="A17" s="33" t="s">
        <v>95</v>
      </c>
      <c r="B17" s="34">
        <v>-2633.05671</v>
      </c>
      <c r="C17" s="34">
        <v>-3712.6089</v>
      </c>
      <c r="D17" s="77">
        <v>140.99995970083</v>
      </c>
    </row>
    <row r="18" spans="1:4" ht="15.75">
      <c r="A18" s="33" t="s">
        <v>92</v>
      </c>
      <c r="B18" s="34">
        <v>-2746.99246</v>
      </c>
      <c r="C18" s="34">
        <v>-3072.88181</v>
      </c>
      <c r="D18" s="77">
        <v>111.86349634174096</v>
      </c>
    </row>
    <row r="19" spans="1:4" ht="15.75">
      <c r="A19" s="33" t="s">
        <v>102</v>
      </c>
      <c r="B19" s="34">
        <v>-2670.26251</v>
      </c>
      <c r="C19" s="34">
        <v>-2536.55405</v>
      </c>
      <c r="D19" s="77">
        <v>94.99268482034002</v>
      </c>
    </row>
    <row r="20" spans="1:4" ht="15.75">
      <c r="A20" s="33" t="s">
        <v>99</v>
      </c>
      <c r="B20" s="34">
        <v>-2217.5183</v>
      </c>
      <c r="C20" s="34">
        <v>-1773.39899</v>
      </c>
      <c r="D20" s="77">
        <v>79.97223698221565</v>
      </c>
    </row>
    <row r="21" spans="1:4" ht="15.75">
      <c r="A21" s="33" t="s">
        <v>100</v>
      </c>
      <c r="B21" s="34">
        <v>-1103.69271</v>
      </c>
      <c r="C21" s="34">
        <v>-1532.6454</v>
      </c>
      <c r="D21" s="77">
        <v>138.86522816663344</v>
      </c>
    </row>
    <row r="22" spans="1:6" ht="15.75">
      <c r="A22" s="33" t="s">
        <v>164</v>
      </c>
      <c r="B22" s="34">
        <v>12570.02701</v>
      </c>
      <c r="C22" s="34">
        <v>-1321.01245</v>
      </c>
      <c r="D22" s="77" t="s">
        <v>23</v>
      </c>
      <c r="F22" t="s">
        <v>173</v>
      </c>
    </row>
    <row r="23" spans="1:4" ht="15.75">
      <c r="A23" s="33" t="s">
        <v>104</v>
      </c>
      <c r="B23" s="34">
        <v>-536.82808</v>
      </c>
      <c r="C23" s="34">
        <v>-835.12737</v>
      </c>
      <c r="D23" s="77" t="s">
        <v>169</v>
      </c>
    </row>
    <row r="24" spans="1:4" ht="15.75">
      <c r="A24" s="33" t="s">
        <v>11</v>
      </c>
      <c r="B24" s="34">
        <v>-1470.81442</v>
      </c>
      <c r="C24" s="34">
        <v>-516.39244</v>
      </c>
      <c r="D24" s="77">
        <v>35.10928591521424</v>
      </c>
    </row>
    <row r="25" spans="1:4" ht="15.75">
      <c r="A25" s="33" t="s">
        <v>94</v>
      </c>
      <c r="B25" s="34">
        <v>84.24039</v>
      </c>
      <c r="C25" s="34">
        <v>-483.38329</v>
      </c>
      <c r="D25" s="77" t="s">
        <v>23</v>
      </c>
    </row>
    <row r="26" spans="1:4" ht="15.75">
      <c r="A26" s="33" t="s">
        <v>96</v>
      </c>
      <c r="B26" s="34">
        <v>-882.02656</v>
      </c>
      <c r="C26" s="34">
        <v>-305.1167</v>
      </c>
      <c r="D26" s="77">
        <v>34.59268845600295</v>
      </c>
    </row>
    <row r="27" spans="1:4" ht="15.75">
      <c r="A27" s="33" t="s">
        <v>159</v>
      </c>
      <c r="B27" s="34">
        <v>-331.72097</v>
      </c>
      <c r="C27" s="34">
        <v>-259.05801</v>
      </c>
      <c r="D27" s="77">
        <v>78.09515629958517</v>
      </c>
    </row>
    <row r="28" spans="1:4" ht="15.75">
      <c r="A28" s="33" t="s">
        <v>97</v>
      </c>
      <c r="B28" s="34">
        <v>195.22609</v>
      </c>
      <c r="C28" s="34">
        <v>-221.08871</v>
      </c>
      <c r="D28" s="77" t="s">
        <v>23</v>
      </c>
    </row>
    <row r="29" spans="1:4" ht="15.75">
      <c r="A29" s="33" t="s">
        <v>105</v>
      </c>
      <c r="B29" s="34">
        <v>-188.22676</v>
      </c>
      <c r="C29" s="34">
        <v>-130.66632</v>
      </c>
      <c r="D29" s="77">
        <v>69.41962981246662</v>
      </c>
    </row>
    <row r="30" spans="1:4" ht="15.75">
      <c r="A30" s="33" t="s">
        <v>106</v>
      </c>
      <c r="B30" s="34">
        <v>-34.94745</v>
      </c>
      <c r="C30" s="34">
        <v>-8.7735</v>
      </c>
      <c r="D30" s="77">
        <v>25.104835975156988</v>
      </c>
    </row>
    <row r="31" spans="1:4" ht="15.75">
      <c r="A31" s="33" t="s">
        <v>7</v>
      </c>
      <c r="B31" s="34">
        <v>134.81185</v>
      </c>
      <c r="C31" s="34">
        <v>377.50499</v>
      </c>
      <c r="D31" s="77" t="s">
        <v>149</v>
      </c>
    </row>
    <row r="32" spans="1:4" ht="15.75">
      <c r="A32" s="33" t="s">
        <v>10</v>
      </c>
      <c r="B32" s="34">
        <v>5134.69045</v>
      </c>
      <c r="C32" s="34">
        <v>3495.59362</v>
      </c>
      <c r="D32" s="77">
        <v>68.07798160451912</v>
      </c>
    </row>
    <row r="33" spans="1:4" ht="15.75">
      <c r="A33" s="33" t="s">
        <v>98</v>
      </c>
      <c r="B33" s="34">
        <v>15.94281</v>
      </c>
      <c r="C33" s="34">
        <v>4108.1388</v>
      </c>
      <c r="D33" s="77" t="s">
        <v>250</v>
      </c>
    </row>
    <row r="34" spans="1:4" ht="15.75">
      <c r="A34" s="33" t="s">
        <v>4</v>
      </c>
      <c r="B34" s="34">
        <v>-4754.46337</v>
      </c>
      <c r="C34" s="34">
        <v>7516.52218</v>
      </c>
      <c r="D34" s="77" t="s">
        <v>23</v>
      </c>
    </row>
    <row r="35" spans="1:4" ht="15.75">
      <c r="A35" s="33" t="s">
        <v>3</v>
      </c>
      <c r="B35" s="34">
        <v>-4716.96539</v>
      </c>
      <c r="C35" s="34">
        <v>13899.30733</v>
      </c>
      <c r="D35" s="77" t="s">
        <v>23</v>
      </c>
    </row>
    <row r="36" spans="1:4" ht="15.75">
      <c r="A36" s="41" t="s">
        <v>251</v>
      </c>
      <c r="B36" s="32">
        <v>-127726.86779</v>
      </c>
      <c r="C36" s="32">
        <v>-161001.15281</v>
      </c>
      <c r="D36" s="76">
        <v>126.05112424326208</v>
      </c>
    </row>
    <row r="37" spans="1:4" ht="15.75">
      <c r="A37" s="33" t="s">
        <v>165</v>
      </c>
      <c r="B37" s="34">
        <v>-82306.85898</v>
      </c>
      <c r="C37" s="34">
        <v>-95957.87062</v>
      </c>
      <c r="D37" s="77">
        <v>116.58550916554489</v>
      </c>
    </row>
    <row r="38" spans="1:4" ht="15.75">
      <c r="A38" s="33" t="s">
        <v>13</v>
      </c>
      <c r="B38" s="34">
        <v>-51820.31983</v>
      </c>
      <c r="C38" s="34">
        <v>-60965.92069</v>
      </c>
      <c r="D38" s="77">
        <v>117.64867698617599</v>
      </c>
    </row>
    <row r="39" spans="1:4" ht="15.75">
      <c r="A39" s="33" t="s">
        <v>17</v>
      </c>
      <c r="B39" s="34">
        <v>55.02848</v>
      </c>
      <c r="C39" s="34">
        <v>-1867.28341</v>
      </c>
      <c r="D39" s="77" t="s">
        <v>23</v>
      </c>
    </row>
    <row r="40" spans="1:4" ht="15.75">
      <c r="A40" s="33" t="s">
        <v>12</v>
      </c>
      <c r="B40" s="34">
        <v>4362.44992</v>
      </c>
      <c r="C40" s="34">
        <v>-1791.28983</v>
      </c>
      <c r="D40" s="77" t="s">
        <v>23</v>
      </c>
    </row>
    <row r="41" spans="1:4" ht="15.75">
      <c r="A41" s="33" t="s">
        <v>16</v>
      </c>
      <c r="B41" s="34">
        <v>-396.84599</v>
      </c>
      <c r="C41" s="34">
        <v>-543.45303</v>
      </c>
      <c r="D41" s="77">
        <v>136.94305692744936</v>
      </c>
    </row>
    <row r="42" spans="1:4" ht="15.75">
      <c r="A42" s="33" t="s">
        <v>14</v>
      </c>
      <c r="B42" s="34">
        <v>1462.73868</v>
      </c>
      <c r="C42" s="34">
        <v>-344.09147</v>
      </c>
      <c r="D42" s="77" t="s">
        <v>23</v>
      </c>
    </row>
    <row r="43" spans="1:4" ht="15.75">
      <c r="A43" s="33" t="s">
        <v>18</v>
      </c>
      <c r="B43" s="34">
        <v>114.40759</v>
      </c>
      <c r="C43" s="34">
        <v>-25.61537</v>
      </c>
      <c r="D43" s="77" t="s">
        <v>23</v>
      </c>
    </row>
    <row r="44" spans="1:4" ht="15.75">
      <c r="A44" s="33" t="s">
        <v>19</v>
      </c>
      <c r="B44" s="34">
        <v>94.22308</v>
      </c>
      <c r="C44" s="34">
        <v>59.17266</v>
      </c>
      <c r="D44" s="77">
        <v>62.800600447363855</v>
      </c>
    </row>
    <row r="45" spans="1:4" ht="15.75">
      <c r="A45" s="33" t="s">
        <v>221</v>
      </c>
      <c r="B45" s="34">
        <v>49.29342</v>
      </c>
      <c r="C45" s="34">
        <v>69.53345</v>
      </c>
      <c r="D45" s="77">
        <v>141.06030784636167</v>
      </c>
    </row>
    <row r="46" spans="1:4" ht="15.75">
      <c r="A46" s="33" t="s">
        <v>15</v>
      </c>
      <c r="B46" s="34">
        <v>659.01584</v>
      </c>
      <c r="C46" s="34">
        <v>365.6655</v>
      </c>
      <c r="D46" s="77">
        <v>55.4866025678533</v>
      </c>
    </row>
    <row r="47" spans="1:4" ht="15.75">
      <c r="A47" s="31" t="s">
        <v>252</v>
      </c>
      <c r="B47" s="32">
        <v>-143766.68905</v>
      </c>
      <c r="C47" s="32">
        <v>-113977.7109</v>
      </c>
      <c r="D47" s="76">
        <v>79.2796381784658</v>
      </c>
    </row>
    <row r="48" spans="1:4" ht="15.75">
      <c r="A48" s="33" t="s">
        <v>110</v>
      </c>
      <c r="B48" s="34">
        <v>-94832.37982</v>
      </c>
      <c r="C48" s="34">
        <v>-92287.30281</v>
      </c>
      <c r="D48" s="77">
        <v>97.31623627411778</v>
      </c>
    </row>
    <row r="49" spans="1:4" ht="15.75">
      <c r="A49" s="33" t="s">
        <v>20</v>
      </c>
      <c r="B49" s="34">
        <v>-8145.57247</v>
      </c>
      <c r="C49" s="34">
        <v>-7060.17574</v>
      </c>
      <c r="D49" s="77">
        <v>86.67500984126656</v>
      </c>
    </row>
    <row r="50" spans="1:4" ht="15.75">
      <c r="A50" s="33" t="s">
        <v>128</v>
      </c>
      <c r="B50" s="34">
        <v>-5497.24853</v>
      </c>
      <c r="C50" s="34">
        <v>-6211.06505</v>
      </c>
      <c r="D50" s="77">
        <v>112.98497814141942</v>
      </c>
    </row>
    <row r="51" spans="1:4" ht="15.75">
      <c r="A51" s="33" t="s">
        <v>121</v>
      </c>
      <c r="B51" s="34">
        <v>-4034.85803</v>
      </c>
      <c r="C51" s="34">
        <v>-6044.41671</v>
      </c>
      <c r="D51" s="77">
        <v>149.8049414640743</v>
      </c>
    </row>
    <row r="52" spans="1:4" ht="15.75">
      <c r="A52" s="33" t="s">
        <v>107</v>
      </c>
      <c r="B52" s="34">
        <v>-30806.07066</v>
      </c>
      <c r="C52" s="34">
        <v>-5723.26732</v>
      </c>
      <c r="D52" s="77">
        <v>18.578374967604518</v>
      </c>
    </row>
    <row r="53" spans="1:4" ht="15.75">
      <c r="A53" s="33" t="s">
        <v>124</v>
      </c>
      <c r="B53" s="34">
        <v>-5630.46194</v>
      </c>
      <c r="C53" s="34">
        <v>-4085.04515</v>
      </c>
      <c r="D53" s="77">
        <v>72.55257549969336</v>
      </c>
    </row>
    <row r="54" spans="1:4" ht="15.75">
      <c r="A54" s="33" t="s">
        <v>87</v>
      </c>
      <c r="B54" s="34">
        <v>-3557.09899</v>
      </c>
      <c r="C54" s="34">
        <v>-3813.99223</v>
      </c>
      <c r="D54" s="77">
        <v>107.22198737572946</v>
      </c>
    </row>
    <row r="55" spans="1:4" ht="15.75">
      <c r="A55" s="33" t="s">
        <v>132</v>
      </c>
      <c r="B55" s="34">
        <v>-2655.25882</v>
      </c>
      <c r="C55" s="34">
        <v>-3035.07869</v>
      </c>
      <c r="D55" s="77">
        <v>114.30443869121578</v>
      </c>
    </row>
    <row r="56" spans="1:4" ht="15.75">
      <c r="A56" s="33" t="s">
        <v>122</v>
      </c>
      <c r="B56" s="34">
        <v>-2272.53921</v>
      </c>
      <c r="C56" s="34">
        <v>-2299.93059</v>
      </c>
      <c r="D56" s="77">
        <v>101.20532045737507</v>
      </c>
    </row>
    <row r="57" spans="1:4" ht="15.75">
      <c r="A57" s="33" t="s">
        <v>135</v>
      </c>
      <c r="B57" s="34">
        <v>-1216.60635</v>
      </c>
      <c r="C57" s="34">
        <v>-1515.11379</v>
      </c>
      <c r="D57" s="77">
        <v>124.53607446648623</v>
      </c>
    </row>
    <row r="58" spans="1:4" ht="15.75">
      <c r="A58" s="33" t="s">
        <v>130</v>
      </c>
      <c r="B58" s="34">
        <v>-1510.35689</v>
      </c>
      <c r="C58" s="34">
        <v>-1471.28153</v>
      </c>
      <c r="D58" s="77">
        <v>97.41283929257276</v>
      </c>
    </row>
    <row r="59" spans="1:4" ht="15.75">
      <c r="A59" s="33" t="s">
        <v>123</v>
      </c>
      <c r="B59" s="34">
        <v>-1867.77357</v>
      </c>
      <c r="C59" s="34">
        <v>-1468.07916</v>
      </c>
      <c r="D59" s="77">
        <v>78.60048903036999</v>
      </c>
    </row>
    <row r="60" spans="1:4" ht="15.75">
      <c r="A60" s="33" t="s">
        <v>133</v>
      </c>
      <c r="B60" s="34">
        <v>-1570.85653</v>
      </c>
      <c r="C60" s="34">
        <v>-1328.00743</v>
      </c>
      <c r="D60" s="77">
        <v>84.5403386393282</v>
      </c>
    </row>
    <row r="61" spans="1:7" ht="15.75">
      <c r="A61" s="33" t="s">
        <v>113</v>
      </c>
      <c r="B61" s="34">
        <v>-1727.36875</v>
      </c>
      <c r="C61" s="34">
        <v>-1297.63995</v>
      </c>
      <c r="D61" s="77">
        <f>IF(OR(-1727.36875="",-1297.63995="",-1727.36875=0),"-",-1297.63995/-1727.36875*100)</f>
        <v>75.12234721161882</v>
      </c>
      <c r="E61" s="1"/>
      <c r="F61" s="1"/>
      <c r="G61" s="1"/>
    </row>
    <row r="62" spans="1:4" ht="15.75">
      <c r="A62" s="33" t="s">
        <v>114</v>
      </c>
      <c r="B62" s="34">
        <v>-1187.75976</v>
      </c>
      <c r="C62" s="34">
        <v>-972.15413</v>
      </c>
      <c r="D62" s="77">
        <v>81.84770714912922</v>
      </c>
    </row>
    <row r="63" spans="1:4" ht="15.75">
      <c r="A63" s="33" t="s">
        <v>126</v>
      </c>
      <c r="B63" s="34">
        <v>-1020.25417</v>
      </c>
      <c r="C63" s="34">
        <v>-781.78924</v>
      </c>
      <c r="D63" s="77">
        <v>76.62690954745129</v>
      </c>
    </row>
    <row r="64" spans="1:4" ht="15.75">
      <c r="A64" s="33" t="s">
        <v>112</v>
      </c>
      <c r="B64" s="34">
        <v>-408.43619</v>
      </c>
      <c r="C64" s="34">
        <v>-765.74914</v>
      </c>
      <c r="D64" s="77" t="s">
        <v>170</v>
      </c>
    </row>
    <row r="65" spans="1:4" ht="15.75">
      <c r="A65" s="33" t="s">
        <v>138</v>
      </c>
      <c r="B65" s="34">
        <v>-335.53764</v>
      </c>
      <c r="C65" s="34">
        <v>-685.49782</v>
      </c>
      <c r="D65" s="77" t="s">
        <v>21</v>
      </c>
    </row>
    <row r="66" spans="1:4" ht="15.75">
      <c r="A66" s="33" t="s">
        <v>240</v>
      </c>
      <c r="B66" s="34">
        <v>-294.5253</v>
      </c>
      <c r="C66" s="34">
        <v>-585.92692</v>
      </c>
      <c r="D66" s="77" t="s">
        <v>21</v>
      </c>
    </row>
    <row r="67" spans="1:4" ht="15.75">
      <c r="A67" s="33" t="s">
        <v>116</v>
      </c>
      <c r="B67" s="34">
        <v>-281.80743</v>
      </c>
      <c r="C67" s="34">
        <v>-529.78518</v>
      </c>
      <c r="D67" s="77" t="s">
        <v>170</v>
      </c>
    </row>
    <row r="68" spans="1:7" ht="15.75">
      <c r="A68" s="33" t="s">
        <v>137</v>
      </c>
      <c r="B68" s="34">
        <v>-903.65841</v>
      </c>
      <c r="C68" s="34">
        <v>-524.2928</v>
      </c>
      <c r="D68" s="77">
        <v>58.01891447012595</v>
      </c>
      <c r="E68" s="1"/>
      <c r="F68" s="1"/>
      <c r="G68" s="1"/>
    </row>
    <row r="69" spans="1:4" ht="15.75">
      <c r="A69" s="33" t="s">
        <v>118</v>
      </c>
      <c r="B69" s="34">
        <v>-1348.73864</v>
      </c>
      <c r="C69" s="34">
        <v>-520.7991</v>
      </c>
      <c r="D69" s="77">
        <v>38.61378954784004</v>
      </c>
    </row>
    <row r="70" spans="1:4" ht="15.75">
      <c r="A70" s="33" t="s">
        <v>136</v>
      </c>
      <c r="B70" s="34">
        <v>-1494.57582</v>
      </c>
      <c r="C70" s="34">
        <v>-509.35232</v>
      </c>
      <c r="D70" s="77">
        <v>34.08005891598059</v>
      </c>
    </row>
    <row r="71" spans="1:4" ht="15.75">
      <c r="A71" s="33" t="s">
        <v>134</v>
      </c>
      <c r="B71" s="34">
        <v>-524.69003</v>
      </c>
      <c r="C71" s="34">
        <v>-379.36714</v>
      </c>
      <c r="D71" s="77">
        <v>72.30309674456747</v>
      </c>
    </row>
    <row r="72" spans="1:4" ht="15.75">
      <c r="A72" s="33" t="s">
        <v>242</v>
      </c>
      <c r="B72" s="34">
        <v>-4.64079</v>
      </c>
      <c r="C72" s="34">
        <v>-326.70748</v>
      </c>
      <c r="D72" s="77" t="s">
        <v>243</v>
      </c>
    </row>
    <row r="73" spans="1:4" ht="15.75">
      <c r="A73" s="33" t="s">
        <v>144</v>
      </c>
      <c r="B73" s="34">
        <v>-320.33071</v>
      </c>
      <c r="C73" s="34">
        <v>-317.06178</v>
      </c>
      <c r="D73" s="77">
        <v>98.97951401537492</v>
      </c>
    </row>
    <row r="74" spans="1:4" ht="15.75">
      <c r="A74" s="33" t="s">
        <v>125</v>
      </c>
      <c r="B74" s="34">
        <v>-98.94178</v>
      </c>
      <c r="C74" s="34">
        <v>-316.35126</v>
      </c>
      <c r="D74" s="77" t="s">
        <v>184</v>
      </c>
    </row>
    <row r="75" spans="1:4" ht="15.75">
      <c r="A75" s="33" t="s">
        <v>141</v>
      </c>
      <c r="B75" s="34">
        <v>-280.20072</v>
      </c>
      <c r="C75" s="34">
        <v>-316.14161</v>
      </c>
      <c r="D75" s="77">
        <v>112.82683713303807</v>
      </c>
    </row>
    <row r="76" spans="1:7" ht="15.75">
      <c r="A76" s="33" t="s">
        <v>89</v>
      </c>
      <c r="B76" s="34">
        <v>-243.0361</v>
      </c>
      <c r="C76" s="34">
        <v>-270.41689</v>
      </c>
      <c r="D76" s="77">
        <v>111.26614112059896</v>
      </c>
      <c r="E76" s="14"/>
      <c r="F76" s="14"/>
      <c r="G76" s="14"/>
    </row>
    <row r="77" spans="1:4" ht="15.75">
      <c r="A77" s="33" t="s">
        <v>139</v>
      </c>
      <c r="B77" s="34">
        <v>-310.78816</v>
      </c>
      <c r="C77" s="34">
        <v>-251.58853</v>
      </c>
      <c r="D77" s="77">
        <v>80.95177435330869</v>
      </c>
    </row>
    <row r="78" spans="1:4" ht="15.75">
      <c r="A78" s="33" t="s">
        <v>127</v>
      </c>
      <c r="B78" s="34">
        <v>4986.30059</v>
      </c>
      <c r="C78" s="34">
        <v>-248.58812</v>
      </c>
      <c r="D78" s="77" t="s">
        <v>23</v>
      </c>
    </row>
    <row r="79" spans="1:4" ht="15.75">
      <c r="A79" s="33" t="s">
        <v>142</v>
      </c>
      <c r="B79" s="34">
        <v>-216.7822</v>
      </c>
      <c r="C79" s="34">
        <v>-236.84987</v>
      </c>
      <c r="D79" s="77">
        <v>109.25706538636474</v>
      </c>
    </row>
    <row r="80" spans="1:4" ht="15.75">
      <c r="A80" s="33" t="s">
        <v>140</v>
      </c>
      <c r="B80" s="34">
        <v>-404.45634</v>
      </c>
      <c r="C80" s="34">
        <v>-231.10107</v>
      </c>
      <c r="D80" s="77">
        <v>57.138693882261805</v>
      </c>
    </row>
    <row r="81" spans="1:4" ht="15.75">
      <c r="A81" s="33" t="s">
        <v>131</v>
      </c>
      <c r="B81" s="34">
        <v>-165.60193</v>
      </c>
      <c r="C81" s="34">
        <v>-205.72394</v>
      </c>
      <c r="D81" s="77">
        <v>124.22798454100142</v>
      </c>
    </row>
    <row r="82" spans="1:4" ht="15.75">
      <c r="A82" s="33" t="s">
        <v>153</v>
      </c>
      <c r="B82" s="34">
        <v>-195.92629</v>
      </c>
      <c r="C82" s="34">
        <v>-194.06628</v>
      </c>
      <c r="D82" s="77">
        <v>99.05065828582781</v>
      </c>
    </row>
    <row r="83" spans="1:4" ht="15.75">
      <c r="A83" s="33" t="s">
        <v>143</v>
      </c>
      <c r="B83" s="34">
        <v>-315.36484</v>
      </c>
      <c r="C83" s="34">
        <v>-190.34244</v>
      </c>
      <c r="D83" s="77">
        <v>60.356265460664545</v>
      </c>
    </row>
    <row r="84" spans="1:4" ht="15.75">
      <c r="A84" s="33" t="s">
        <v>146</v>
      </c>
      <c r="B84" s="34">
        <v>-119.2149</v>
      </c>
      <c r="C84" s="34">
        <v>-167.48827</v>
      </c>
      <c r="D84" s="77">
        <v>140.492732032657</v>
      </c>
    </row>
    <row r="85" spans="1:4" ht="15.75">
      <c r="A85" s="33" t="s">
        <v>145</v>
      </c>
      <c r="B85" s="34">
        <v>-263.20349</v>
      </c>
      <c r="C85" s="34">
        <v>-127.84174</v>
      </c>
      <c r="D85" s="77">
        <v>48.57144561419</v>
      </c>
    </row>
    <row r="86" spans="1:4" ht="15.75">
      <c r="A86" s="33" t="s">
        <v>152</v>
      </c>
      <c r="B86" s="34">
        <v>-140.55733</v>
      </c>
      <c r="C86" s="34">
        <v>-118.96638</v>
      </c>
      <c r="D86" s="77">
        <v>84.63904372685508</v>
      </c>
    </row>
    <row r="87" spans="1:4" ht="15.75">
      <c r="A87" s="33" t="s">
        <v>253</v>
      </c>
      <c r="B87" s="34">
        <v>206.32233</v>
      </c>
      <c r="C87" s="34">
        <v>-110.33669</v>
      </c>
      <c r="D87" s="77" t="s">
        <v>23</v>
      </c>
    </row>
    <row r="88" spans="1:4" ht="15.75">
      <c r="A88" s="33" t="s">
        <v>254</v>
      </c>
      <c r="B88" s="34">
        <v>-99.17628</v>
      </c>
      <c r="C88" s="34">
        <v>-84.88349</v>
      </c>
      <c r="D88" s="77">
        <v>85.58849958881297</v>
      </c>
    </row>
    <row r="89" spans="1:4" ht="15.75">
      <c r="A89" s="33" t="s">
        <v>147</v>
      </c>
      <c r="B89" s="34">
        <v>-88.01308</v>
      </c>
      <c r="C89" s="34">
        <v>-74.73715</v>
      </c>
      <c r="D89" s="77">
        <v>84.91595794625071</v>
      </c>
    </row>
    <row r="90" spans="1:4" ht="15.75">
      <c r="A90" s="33" t="s">
        <v>119</v>
      </c>
      <c r="B90" s="34">
        <v>-386.71118</v>
      </c>
      <c r="C90" s="34">
        <v>-64.6999</v>
      </c>
      <c r="D90" s="77">
        <v>16.73080669661529</v>
      </c>
    </row>
    <row r="91" spans="1:4" ht="15.75">
      <c r="A91" s="33" t="s">
        <v>182</v>
      </c>
      <c r="B91" s="34">
        <v>272.8708</v>
      </c>
      <c r="C91" s="34">
        <v>-64.00732</v>
      </c>
      <c r="D91" s="77" t="s">
        <v>23</v>
      </c>
    </row>
    <row r="92" spans="1:4" ht="15.75">
      <c r="A92" s="33" t="s">
        <v>249</v>
      </c>
      <c r="B92" s="34">
        <v>-33.67588</v>
      </c>
      <c r="C92" s="34">
        <v>-50.38919</v>
      </c>
      <c r="D92" s="77">
        <v>149.62991316039847</v>
      </c>
    </row>
    <row r="93" spans="1:4" ht="15.75">
      <c r="A93" s="33" t="s">
        <v>160</v>
      </c>
      <c r="B93" s="34">
        <v>-176.97313</v>
      </c>
      <c r="C93" s="34">
        <v>-41.23136</v>
      </c>
      <c r="D93" s="77">
        <v>23.29809050673399</v>
      </c>
    </row>
    <row r="94" spans="1:4" ht="15.75">
      <c r="A94" s="33" t="s">
        <v>166</v>
      </c>
      <c r="B94" s="34">
        <v>-100.52106</v>
      </c>
      <c r="C94" s="34">
        <v>-26.80778</v>
      </c>
      <c r="D94" s="77">
        <v>26.668819449377075</v>
      </c>
    </row>
    <row r="95" spans="1:4" ht="15.75">
      <c r="A95" s="33" t="s">
        <v>255</v>
      </c>
      <c r="B95" s="34">
        <v>-20.92126</v>
      </c>
      <c r="C95" s="34">
        <v>-22.90005</v>
      </c>
      <c r="D95" s="77">
        <v>109.458273545666</v>
      </c>
    </row>
    <row r="96" spans="1:7" ht="15.75">
      <c r="A96" s="33" t="s">
        <v>90</v>
      </c>
      <c r="B96" s="34">
        <v>-545.45877</v>
      </c>
      <c r="C96" s="34">
        <v>17.27549</v>
      </c>
      <c r="D96" s="77" t="s">
        <v>23</v>
      </c>
      <c r="E96" s="14"/>
      <c r="F96" s="14"/>
      <c r="G96" s="14"/>
    </row>
    <row r="97" spans="1:7" ht="15.75">
      <c r="A97" s="33" t="s">
        <v>183</v>
      </c>
      <c r="B97" s="34">
        <v>74.18292</v>
      </c>
      <c r="C97" s="34">
        <v>30.4369</v>
      </c>
      <c r="D97" s="77">
        <v>41.02952539479438</v>
      </c>
      <c r="E97" s="14"/>
      <c r="F97" s="14"/>
      <c r="G97" s="14"/>
    </row>
    <row r="98" spans="1:4" ht="15.75">
      <c r="A98" s="33" t="s">
        <v>256</v>
      </c>
      <c r="B98" s="34">
        <v>7.147</v>
      </c>
      <c r="C98" s="34">
        <v>37.954</v>
      </c>
      <c r="D98" s="77" t="s">
        <v>224</v>
      </c>
    </row>
    <row r="99" spans="1:4" ht="15.75">
      <c r="A99" s="33" t="s">
        <v>161</v>
      </c>
      <c r="B99" s="34">
        <v>-305.73061</v>
      </c>
      <c r="C99" s="34">
        <v>42.30795</v>
      </c>
      <c r="D99" s="77" t="s">
        <v>23</v>
      </c>
    </row>
    <row r="100" spans="1:7" ht="15.75">
      <c r="A100" s="33" t="s">
        <v>257</v>
      </c>
      <c r="B100" s="34">
        <v>42.54274</v>
      </c>
      <c r="C100" s="34">
        <v>43.83913</v>
      </c>
      <c r="D100" s="77">
        <v>103.04726493874159</v>
      </c>
      <c r="E100" s="13"/>
      <c r="F100" s="13"/>
      <c r="G100" s="13"/>
    </row>
    <row r="101" spans="1:4" ht="15.75">
      <c r="A101" s="33" t="s">
        <v>172</v>
      </c>
      <c r="B101" s="34">
        <v>56.78462</v>
      </c>
      <c r="C101" s="34">
        <v>96.46813</v>
      </c>
      <c r="D101" s="77" t="s">
        <v>168</v>
      </c>
    </row>
    <row r="102" spans="1:7" ht="15.75">
      <c r="A102" s="33" t="s">
        <v>111</v>
      </c>
      <c r="B102" s="34">
        <v>2867.19135</v>
      </c>
      <c r="C102" s="34">
        <v>152.9906</v>
      </c>
      <c r="D102" s="77">
        <v>5.335904769662478</v>
      </c>
      <c r="E102" s="13"/>
      <c r="F102" s="13"/>
      <c r="G102" s="13"/>
    </row>
    <row r="103" spans="1:7" ht="15.75">
      <c r="A103" s="33" t="s">
        <v>88</v>
      </c>
      <c r="B103" s="34">
        <v>816.84394</v>
      </c>
      <c r="C103" s="34">
        <v>180.77228</v>
      </c>
      <c r="D103" s="77">
        <v>22.130577353612978</v>
      </c>
      <c r="E103" s="1"/>
      <c r="F103" s="1"/>
      <c r="G103" s="1"/>
    </row>
    <row r="104" spans="1:4" ht="15.75">
      <c r="A104" s="33" t="s">
        <v>129</v>
      </c>
      <c r="B104" s="34">
        <v>199.14654</v>
      </c>
      <c r="C104" s="34">
        <v>183.17135</v>
      </c>
      <c r="D104" s="77">
        <v>91.97817345960418</v>
      </c>
    </row>
    <row r="105" spans="1:4" ht="15.75">
      <c r="A105" s="33" t="s">
        <v>150</v>
      </c>
      <c r="B105" s="34">
        <v>199.00663</v>
      </c>
      <c r="C105" s="34">
        <v>237.80074</v>
      </c>
      <c r="D105" s="77">
        <v>119.4938781687826</v>
      </c>
    </row>
    <row r="106" spans="1:4" ht="15.75">
      <c r="A106" s="33" t="s">
        <v>175</v>
      </c>
      <c r="B106" s="34">
        <v>421.13265</v>
      </c>
      <c r="C106" s="34">
        <v>324.66006</v>
      </c>
      <c r="D106" s="77">
        <v>77.09211337567865</v>
      </c>
    </row>
    <row r="107" spans="1:7" ht="15.75">
      <c r="A107" s="33" t="s">
        <v>115</v>
      </c>
      <c r="B107" s="34">
        <v>199.13882</v>
      </c>
      <c r="C107" s="34">
        <v>446.6644</v>
      </c>
      <c r="D107" s="77" t="s">
        <v>154</v>
      </c>
      <c r="E107" s="14"/>
      <c r="F107" s="14"/>
      <c r="G107" s="14"/>
    </row>
    <row r="108" spans="1:7" ht="15.75">
      <c r="A108" s="33" t="s">
        <v>108</v>
      </c>
      <c r="B108" s="34">
        <v>2097.80026</v>
      </c>
      <c r="C108" s="34">
        <v>1888.66151</v>
      </c>
      <c r="D108" s="77">
        <v>90.03056897323485</v>
      </c>
      <c r="E108" s="10"/>
      <c r="F108" s="10"/>
      <c r="G108" s="10"/>
    </row>
    <row r="109" spans="1:4" ht="15.75">
      <c r="A109" s="33" t="s">
        <v>109</v>
      </c>
      <c r="B109" s="34">
        <v>3185.15538</v>
      </c>
      <c r="C109" s="34">
        <v>1944.99995</v>
      </c>
      <c r="D109" s="77">
        <v>61.06452332633141</v>
      </c>
    </row>
    <row r="110" spans="1:7" ht="15.75">
      <c r="A110" s="33" t="s">
        <v>120</v>
      </c>
      <c r="B110" s="34">
        <v>-186.84272</v>
      </c>
      <c r="C110" s="34">
        <v>2018.55419</v>
      </c>
      <c r="D110" s="77" t="s">
        <v>23</v>
      </c>
      <c r="E110" s="14"/>
      <c r="F110" s="14"/>
      <c r="G110" s="14"/>
    </row>
    <row r="111" spans="1:4" ht="15.75">
      <c r="A111" s="33" t="s">
        <v>227</v>
      </c>
      <c r="B111" s="34">
        <v>6.52542</v>
      </c>
      <c r="C111" s="34">
        <v>2430.76171</v>
      </c>
      <c r="D111" s="77" t="s">
        <v>228</v>
      </c>
    </row>
    <row r="112" spans="1:4" ht="15.75">
      <c r="A112" s="33" t="s">
        <v>117</v>
      </c>
      <c r="B112" s="34">
        <v>692.32455</v>
      </c>
      <c r="C112" s="34">
        <v>2473.95492</v>
      </c>
      <c r="D112" s="77" t="s">
        <v>185</v>
      </c>
    </row>
    <row r="113" spans="1:7" ht="15.75">
      <c r="A113" s="33" t="s">
        <v>225</v>
      </c>
      <c r="B113" s="34">
        <v>-11.78205</v>
      </c>
      <c r="C113" s="34">
        <v>2525.65521</v>
      </c>
      <c r="D113" s="77" t="s">
        <v>23</v>
      </c>
      <c r="E113" s="14"/>
      <c r="F113" s="14"/>
      <c r="G113" s="14"/>
    </row>
    <row r="114" spans="1:4" ht="15.75">
      <c r="A114" s="35" t="s">
        <v>162</v>
      </c>
      <c r="B114" s="36">
        <v>11487.84391</v>
      </c>
      <c r="C114" s="36">
        <v>11155.94091</v>
      </c>
      <c r="D114" s="78">
        <v>97.11083295873229</v>
      </c>
    </row>
    <row r="115" ht="15.75">
      <c r="A115" s="42" t="s">
        <v>22</v>
      </c>
    </row>
  </sheetData>
  <sheetProtection/>
  <mergeCells count="4">
    <mergeCell ref="A1:D1"/>
    <mergeCell ref="A3:A4"/>
    <mergeCell ref="D3:D4"/>
    <mergeCell ref="B3:C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6"/>
  <sheetViews>
    <sheetView zoomScalePageLayoutView="0" workbookViewId="0" topLeftCell="A10">
      <selection activeCell="G17" sqref="G17"/>
    </sheetView>
  </sheetViews>
  <sheetFormatPr defaultColWidth="9.00390625" defaultRowHeight="15.75"/>
  <cols>
    <col min="1" max="1" width="32.625" style="0" customWidth="1"/>
    <col min="2" max="2" width="13.00390625" style="0" customWidth="1"/>
    <col min="3" max="3" width="15.00390625" style="0" customWidth="1"/>
    <col min="4" max="5" width="10.50390625" style="0" customWidth="1"/>
  </cols>
  <sheetData>
    <row r="1" spans="1:5" ht="15.75">
      <c r="A1" s="83" t="s">
        <v>199</v>
      </c>
      <c r="B1" s="83"/>
      <c r="C1" s="83"/>
      <c r="D1" s="83"/>
      <c r="E1" s="83"/>
    </row>
    <row r="2" spans="1:5" ht="15.75">
      <c r="A2" s="9"/>
      <c r="B2" s="9"/>
      <c r="C2" s="9"/>
      <c r="D2" s="9"/>
      <c r="E2" s="9"/>
    </row>
    <row r="3" spans="1:6" ht="15.75">
      <c r="A3" s="84"/>
      <c r="B3" s="87" t="s">
        <v>207</v>
      </c>
      <c r="C3" s="88"/>
      <c r="D3" s="87" t="s">
        <v>174</v>
      </c>
      <c r="E3" s="103"/>
      <c r="F3" s="1"/>
    </row>
    <row r="4" spans="1:6" ht="18" customHeight="1">
      <c r="A4" s="85"/>
      <c r="B4" s="91" t="s">
        <v>211</v>
      </c>
      <c r="C4" s="93" t="s">
        <v>208</v>
      </c>
      <c r="D4" s="95" t="s">
        <v>179</v>
      </c>
      <c r="E4" s="87"/>
      <c r="F4" s="1"/>
    </row>
    <row r="5" spans="1:6" ht="18" customHeight="1">
      <c r="A5" s="86"/>
      <c r="B5" s="92"/>
      <c r="C5" s="94"/>
      <c r="D5" s="26">
        <v>2018</v>
      </c>
      <c r="E5" s="25">
        <v>2019</v>
      </c>
      <c r="F5" s="1"/>
    </row>
    <row r="6" spans="1:5" ht="15.75" customHeight="1">
      <c r="A6" s="39" t="s">
        <v>264</v>
      </c>
      <c r="B6" s="45">
        <v>475729.97395</v>
      </c>
      <c r="C6" s="53">
        <v>109.11278394454142</v>
      </c>
      <c r="D6" s="45">
        <v>100</v>
      </c>
      <c r="E6" s="45">
        <v>100</v>
      </c>
    </row>
    <row r="7" spans="1:5" ht="15.75" customHeight="1">
      <c r="A7" s="40" t="s">
        <v>258</v>
      </c>
      <c r="B7" s="32"/>
      <c r="C7" s="54"/>
      <c r="D7" s="32"/>
      <c r="E7" s="32"/>
    </row>
    <row r="8" spans="1:5" ht="15.75">
      <c r="A8" s="47" t="s">
        <v>187</v>
      </c>
      <c r="B8" s="34">
        <v>36803.32395</v>
      </c>
      <c r="C8" s="55">
        <v>108.5520509159599</v>
      </c>
      <c r="D8" s="34">
        <v>7.776141100556972</v>
      </c>
      <c r="E8" s="34">
        <v>7.736179338127659</v>
      </c>
    </row>
    <row r="9" spans="1:5" ht="15.75">
      <c r="A9" s="47" t="s">
        <v>188</v>
      </c>
      <c r="B9" s="34">
        <v>29320.29306</v>
      </c>
      <c r="C9" s="55">
        <v>156.23835957590305</v>
      </c>
      <c r="D9" s="34">
        <v>4.304232848025986</v>
      </c>
      <c r="E9" s="34">
        <v>6.163221715157601</v>
      </c>
    </row>
    <row r="10" spans="1:5" ht="15.75">
      <c r="A10" s="47" t="s">
        <v>189</v>
      </c>
      <c r="B10" s="34">
        <v>401908.69994</v>
      </c>
      <c r="C10" s="55">
        <v>106.80727268692434</v>
      </c>
      <c r="D10" s="34">
        <v>86.30614187354516</v>
      </c>
      <c r="E10" s="34">
        <v>84.48252621186347</v>
      </c>
    </row>
    <row r="11" spans="1:5" ht="15.75">
      <c r="A11" s="47" t="s">
        <v>190</v>
      </c>
      <c r="B11" s="34">
        <v>7106.98779</v>
      </c>
      <c r="C11" s="55">
        <v>103.56761674197665</v>
      </c>
      <c r="D11" s="34">
        <v>1.5738984508098703</v>
      </c>
      <c r="E11" s="34">
        <v>1.4939121306548062</v>
      </c>
    </row>
    <row r="12" spans="1:5" ht="15.75">
      <c r="A12" s="47" t="s">
        <v>192</v>
      </c>
      <c r="B12" s="34">
        <v>465.39401</v>
      </c>
      <c r="C12" s="55" t="s">
        <v>177</v>
      </c>
      <c r="D12" s="34">
        <v>0.03926665707153629</v>
      </c>
      <c r="E12" s="34">
        <v>0.09782734649570633</v>
      </c>
    </row>
    <row r="13" spans="1:5" ht="15.75">
      <c r="A13" s="47" t="s">
        <v>193</v>
      </c>
      <c r="B13" s="34">
        <v>1.28463</v>
      </c>
      <c r="C13" s="55">
        <v>92.34368934830425</v>
      </c>
      <c r="D13" s="34">
        <v>0.00031906999047439223</v>
      </c>
      <c r="E13" s="34">
        <v>0.00027003343710586055</v>
      </c>
    </row>
    <row r="14" spans="1:5" ht="15.75">
      <c r="A14" s="47" t="s">
        <v>194</v>
      </c>
      <c r="B14" s="34">
        <v>123.99057</v>
      </c>
      <c r="C14" s="55" t="s">
        <v>23</v>
      </c>
      <c r="D14" s="34" t="s">
        <v>186</v>
      </c>
      <c r="E14" s="34">
        <v>0.026063224263651635</v>
      </c>
    </row>
    <row r="15" spans="1:5" ht="15.75">
      <c r="A15" s="31" t="s">
        <v>260</v>
      </c>
      <c r="B15" s="32">
        <v>306600.99908</v>
      </c>
      <c r="C15" s="32">
        <v>104.58862778526823</v>
      </c>
      <c r="D15" s="32">
        <v>67.236364326548</v>
      </c>
      <c r="E15" s="32">
        <v>64.4485350658658</v>
      </c>
    </row>
    <row r="16" spans="1:5" ht="15.75">
      <c r="A16" s="47" t="s">
        <v>187</v>
      </c>
      <c r="B16" s="34">
        <v>17529.29892</v>
      </c>
      <c r="C16" s="55">
        <v>86.64843730433579</v>
      </c>
      <c r="D16" s="34">
        <v>4.640010180268942</v>
      </c>
      <c r="E16" s="34">
        <v>3.684716095236488</v>
      </c>
    </row>
    <row r="17" spans="1:11" ht="15.75">
      <c r="A17" s="47" t="s">
        <v>188</v>
      </c>
      <c r="B17" s="34">
        <v>9537.16007</v>
      </c>
      <c r="C17" s="55">
        <v>131.83965766002788</v>
      </c>
      <c r="D17" s="34">
        <v>1.6591594550373263</v>
      </c>
      <c r="E17" s="34">
        <v>2.0047423101833757</v>
      </c>
      <c r="K17" s="28"/>
    </row>
    <row r="18" spans="1:5" ht="15.75">
      <c r="A18" s="47" t="s">
        <v>189</v>
      </c>
      <c r="B18" s="34">
        <v>278670.33324</v>
      </c>
      <c r="C18" s="55">
        <v>105.16948352733795</v>
      </c>
      <c r="D18" s="34">
        <v>60.773761461366114</v>
      </c>
      <c r="E18" s="34">
        <v>58.577417547646206</v>
      </c>
    </row>
    <row r="19" spans="1:5" ht="15.75">
      <c r="A19" s="47" t="s">
        <v>190</v>
      </c>
      <c r="B19" s="34">
        <v>736.84623</v>
      </c>
      <c r="C19" s="55">
        <v>117.42038344146283</v>
      </c>
      <c r="D19" s="34">
        <v>0.14392906122245838</v>
      </c>
      <c r="E19" s="34">
        <v>0.1548874929788308</v>
      </c>
    </row>
    <row r="20" spans="1:5" ht="15.75">
      <c r="A20" s="47" t="s">
        <v>192</v>
      </c>
      <c r="B20" s="34">
        <v>116.05452</v>
      </c>
      <c r="C20" s="56">
        <v>136.47394231228301</v>
      </c>
      <c r="D20" s="34">
        <v>0.019504168653164095</v>
      </c>
      <c r="E20" s="34">
        <v>0.024395040538731646</v>
      </c>
    </row>
    <row r="21" spans="1:5" ht="15.75">
      <c r="A21" s="47" t="s">
        <v>194</v>
      </c>
      <c r="B21" s="34">
        <v>11.3061</v>
      </c>
      <c r="C21" s="56" t="s">
        <v>23</v>
      </c>
      <c r="D21" s="34" t="s">
        <v>186</v>
      </c>
      <c r="E21" s="34">
        <v>0.0023765792821766342</v>
      </c>
    </row>
    <row r="22" spans="1:5" ht="15.75">
      <c r="A22" s="31" t="s">
        <v>261</v>
      </c>
      <c r="B22" s="32">
        <v>64745.62948</v>
      </c>
      <c r="C22" s="57">
        <v>91.51563575542751</v>
      </c>
      <c r="D22" s="32">
        <v>16.226702639987828</v>
      </c>
      <c r="E22" s="32">
        <v>13.60974355734097</v>
      </c>
    </row>
    <row r="23" spans="1:5" ht="15.75">
      <c r="A23" s="47" t="s">
        <v>187</v>
      </c>
      <c r="B23" s="34">
        <v>818.89715</v>
      </c>
      <c r="C23" s="55" t="s">
        <v>185</v>
      </c>
      <c r="D23" s="34">
        <v>0.05278213379342052</v>
      </c>
      <c r="E23" s="34">
        <v>0.17213486533141328</v>
      </c>
    </row>
    <row r="24" spans="1:5" ht="15.75">
      <c r="A24" s="47" t="s">
        <v>188</v>
      </c>
      <c r="B24" s="34">
        <v>2440.58095</v>
      </c>
      <c r="C24" s="55">
        <v>148.85741920597738</v>
      </c>
      <c r="D24" s="34">
        <v>0.3760432980658735</v>
      </c>
      <c r="E24" s="34">
        <v>0.5130181160829081</v>
      </c>
    </row>
    <row r="25" spans="1:5" ht="15.75">
      <c r="A25" s="47" t="s">
        <v>189</v>
      </c>
      <c r="B25" s="34">
        <v>60399.05306</v>
      </c>
      <c r="C25" s="58">
        <v>90.89379709845414</v>
      </c>
      <c r="D25" s="34">
        <v>15.240913716261522</v>
      </c>
      <c r="E25" s="34">
        <v>12.696078945479277</v>
      </c>
    </row>
    <row r="26" spans="1:7" ht="15.75">
      <c r="A26" s="47" t="s">
        <v>190</v>
      </c>
      <c r="B26" s="34">
        <v>776.26382</v>
      </c>
      <c r="C26" s="58">
        <v>31.993917781154863</v>
      </c>
      <c r="D26" s="34">
        <v>0.5564895864400096</v>
      </c>
      <c r="E26" s="34">
        <v>0.16317319961041316</v>
      </c>
      <c r="F26" s="1"/>
      <c r="G26" s="1"/>
    </row>
    <row r="27" spans="1:7" ht="15.75">
      <c r="A27" s="47" t="s">
        <v>192</v>
      </c>
      <c r="B27" s="34">
        <v>309.54987</v>
      </c>
      <c r="C27" s="58" t="s">
        <v>263</v>
      </c>
      <c r="D27" s="34">
        <v>0.0001548354365264838</v>
      </c>
      <c r="E27" s="34">
        <v>0.06506839739985233</v>
      </c>
      <c r="F27" s="14"/>
      <c r="G27" s="14"/>
    </row>
    <row r="28" spans="1:5" ht="15.75">
      <c r="A28" s="47" t="s">
        <v>193</v>
      </c>
      <c r="B28" s="34">
        <v>1.28463</v>
      </c>
      <c r="C28" s="58">
        <v>92.34368934830425</v>
      </c>
      <c r="D28" s="34">
        <v>0.00031906999047439223</v>
      </c>
      <c r="E28" s="34">
        <v>0.00027003343710586055</v>
      </c>
    </row>
    <row r="29" spans="1:5" ht="15.75">
      <c r="A29" s="31" t="s">
        <v>191</v>
      </c>
      <c r="B29" s="32">
        <v>104383.34539</v>
      </c>
      <c r="C29" s="57">
        <v>144.77426371096843</v>
      </c>
      <c r="D29" s="32">
        <v>16.53693303346416</v>
      </c>
      <c r="E29" s="32">
        <v>21.94172137679323</v>
      </c>
    </row>
    <row r="30" spans="1:5" ht="15.75">
      <c r="A30" s="47" t="s">
        <v>187</v>
      </c>
      <c r="B30" s="34">
        <v>18455.12788</v>
      </c>
      <c r="C30" s="55">
        <v>137.28071276419843</v>
      </c>
      <c r="D30" s="50">
        <v>3.0833487864946103</v>
      </c>
      <c r="E30" s="50">
        <v>3.879328377559759</v>
      </c>
    </row>
    <row r="31" spans="1:5" ht="15.75">
      <c r="A31" s="47" t="s">
        <v>188</v>
      </c>
      <c r="B31" s="34">
        <v>17342.55204</v>
      </c>
      <c r="C31" s="55" t="s">
        <v>167</v>
      </c>
      <c r="D31" s="50">
        <v>2.269030094922787</v>
      </c>
      <c r="E31" s="50">
        <v>3.6454612888913176</v>
      </c>
    </row>
    <row r="32" spans="1:5" ht="15.75">
      <c r="A32" s="47" t="s">
        <v>189</v>
      </c>
      <c r="B32" s="34">
        <v>62839.31364</v>
      </c>
      <c r="C32" s="55">
        <v>140.04553951376232</v>
      </c>
      <c r="D32" s="50">
        <v>10.291466695917514</v>
      </c>
      <c r="E32" s="50">
        <v>13.209029718737991</v>
      </c>
    </row>
    <row r="33" spans="1:5" ht="15.75">
      <c r="A33" s="47" t="s">
        <v>190</v>
      </c>
      <c r="B33" s="34">
        <v>5593.87774</v>
      </c>
      <c r="C33" s="56">
        <v>146.88424786723425</v>
      </c>
      <c r="D33" s="50">
        <v>0.8734798031474021</v>
      </c>
      <c r="E33" s="50">
        <v>1.1758514380655622</v>
      </c>
    </row>
    <row r="34" spans="1:5" ht="15.75">
      <c r="A34" s="47" t="s">
        <v>192</v>
      </c>
      <c r="B34" s="34">
        <v>39.78962</v>
      </c>
      <c r="C34" s="56">
        <v>46.543528089269905</v>
      </c>
      <c r="D34" s="50">
        <v>0.01960765298184571</v>
      </c>
      <c r="E34" s="50">
        <v>0.008363908557122355</v>
      </c>
    </row>
    <row r="35" spans="1:5" ht="15.75">
      <c r="A35" s="51" t="s">
        <v>194</v>
      </c>
      <c r="B35" s="36">
        <v>112.68447</v>
      </c>
      <c r="C35" s="59" t="s">
        <v>23</v>
      </c>
      <c r="D35" s="36" t="s">
        <v>186</v>
      </c>
      <c r="E35" s="36">
        <v>0.023686644981475</v>
      </c>
    </row>
    <row r="36" ht="15.75">
      <c r="A36" s="42" t="s">
        <v>22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37"/>
  <sheetViews>
    <sheetView zoomScalePageLayoutView="0" workbookViewId="0" topLeftCell="A7">
      <selection activeCell="M23" sqref="M23"/>
    </sheetView>
  </sheetViews>
  <sheetFormatPr defaultColWidth="9.00390625" defaultRowHeight="15.75"/>
  <cols>
    <col min="1" max="1" width="32.125" style="0" customWidth="1"/>
    <col min="2" max="2" width="12.375" style="0" customWidth="1"/>
    <col min="3" max="3" width="14.875" style="0" customWidth="1"/>
    <col min="4" max="5" width="11.25390625" style="0" customWidth="1"/>
  </cols>
  <sheetData>
    <row r="1" spans="1:5" ht="15.75">
      <c r="A1" s="83" t="s">
        <v>200</v>
      </c>
      <c r="B1" s="83"/>
      <c r="C1" s="83"/>
      <c r="D1" s="83"/>
      <c r="E1" s="83"/>
    </row>
    <row r="2" spans="1:5" ht="15.75">
      <c r="A2" s="9"/>
      <c r="B2" s="9"/>
      <c r="C2" s="9"/>
      <c r="D2" s="9"/>
      <c r="E2" s="9"/>
    </row>
    <row r="3" spans="1:6" ht="15.75">
      <c r="A3" s="84"/>
      <c r="B3" s="87" t="s">
        <v>207</v>
      </c>
      <c r="C3" s="88"/>
      <c r="D3" s="87" t="s">
        <v>174</v>
      </c>
      <c r="E3" s="103"/>
      <c r="F3" s="1"/>
    </row>
    <row r="4" spans="1:6" ht="18" customHeight="1">
      <c r="A4" s="85"/>
      <c r="B4" s="91" t="s">
        <v>155</v>
      </c>
      <c r="C4" s="93" t="s">
        <v>208</v>
      </c>
      <c r="D4" s="95" t="s">
        <v>179</v>
      </c>
      <c r="E4" s="87"/>
      <c r="F4" s="1"/>
    </row>
    <row r="5" spans="1:6" ht="18" customHeight="1">
      <c r="A5" s="86"/>
      <c r="B5" s="92"/>
      <c r="C5" s="94"/>
      <c r="D5" s="26">
        <v>2018</v>
      </c>
      <c r="E5" s="25">
        <v>2019</v>
      </c>
      <c r="F5" s="1"/>
    </row>
    <row r="6" spans="1:5" ht="15.75" customHeight="1">
      <c r="A6" s="39" t="s">
        <v>259</v>
      </c>
      <c r="B6" s="45">
        <v>831837.78281</v>
      </c>
      <c r="C6" s="30">
        <v>103.73564295739888</v>
      </c>
      <c r="D6" s="45">
        <v>100</v>
      </c>
      <c r="E6" s="45">
        <v>100</v>
      </c>
    </row>
    <row r="7" spans="1:5" ht="15.75" customHeight="1">
      <c r="A7" s="40" t="s">
        <v>258</v>
      </c>
      <c r="B7" s="32"/>
      <c r="C7" s="46"/>
      <c r="D7" s="32"/>
      <c r="E7" s="32"/>
    </row>
    <row r="8" spans="1:5" ht="15.75">
      <c r="A8" s="47" t="s">
        <v>187</v>
      </c>
      <c r="B8" s="34">
        <v>10685.19185</v>
      </c>
      <c r="C8" s="48">
        <v>48.51395314901651</v>
      </c>
      <c r="D8" s="34">
        <v>2.746660742757383</v>
      </c>
      <c r="E8" s="34">
        <v>1.2845283143913893</v>
      </c>
    </row>
    <row r="9" spans="1:5" ht="15.75">
      <c r="A9" s="47" t="s">
        <v>188</v>
      </c>
      <c r="B9" s="34">
        <v>27616.80843</v>
      </c>
      <c r="C9" s="48">
        <v>58.652907346877434</v>
      </c>
      <c r="D9" s="34">
        <v>5.871827702144721</v>
      </c>
      <c r="E9" s="34">
        <v>3.3199752404499705</v>
      </c>
    </row>
    <row r="10" spans="1:5" ht="15.75">
      <c r="A10" s="47" t="s">
        <v>189</v>
      </c>
      <c r="B10" s="34">
        <v>669249.23658</v>
      </c>
      <c r="C10" s="48">
        <v>105.57431281257391</v>
      </c>
      <c r="D10" s="34">
        <v>79.05311395116843</v>
      </c>
      <c r="E10" s="34">
        <v>80.45429654796807</v>
      </c>
    </row>
    <row r="11" spans="1:5" ht="15.75">
      <c r="A11" s="47" t="s">
        <v>190</v>
      </c>
      <c r="B11" s="34">
        <v>23277.83054</v>
      </c>
      <c r="C11" s="48">
        <v>105.16247861049163</v>
      </c>
      <c r="D11" s="34">
        <v>2.7603938376188295</v>
      </c>
      <c r="E11" s="34">
        <v>2.7983617744995946</v>
      </c>
    </row>
    <row r="12" spans="1:5" ht="15.75">
      <c r="A12" s="47" t="s">
        <v>192</v>
      </c>
      <c r="B12" s="34">
        <v>1440.08597</v>
      </c>
      <c r="C12" s="48">
        <v>62.013023145943706</v>
      </c>
      <c r="D12" s="34">
        <v>0.28959754509992147</v>
      </c>
      <c r="E12" s="34">
        <v>0.17312100986027584</v>
      </c>
    </row>
    <row r="13" spans="1:5" ht="15.75">
      <c r="A13" s="47" t="s">
        <v>193</v>
      </c>
      <c r="B13" s="34">
        <v>93122.19484</v>
      </c>
      <c r="C13" s="48">
        <v>134.01783543852247</v>
      </c>
      <c r="D13" s="34">
        <v>8.6652274101558</v>
      </c>
      <c r="E13" s="34">
        <v>11.194754165340676</v>
      </c>
    </row>
    <row r="14" spans="1:5" ht="15.75">
      <c r="A14" s="47" t="s">
        <v>194</v>
      </c>
      <c r="B14" s="34">
        <v>6446.4346</v>
      </c>
      <c r="C14" s="48">
        <v>131.10576911118733</v>
      </c>
      <c r="D14" s="34">
        <v>0.6131788110549151</v>
      </c>
      <c r="E14" s="34">
        <v>0.7749629474900191</v>
      </c>
    </row>
    <row r="15" spans="1:5" ht="15.75">
      <c r="A15" s="31" t="s">
        <v>260</v>
      </c>
      <c r="B15" s="32">
        <v>387729.94423</v>
      </c>
      <c r="C15" s="32">
        <v>100.04905317559593</v>
      </c>
      <c r="D15" s="32">
        <v>48.32876755701578</v>
      </c>
      <c r="E15" s="32">
        <v>46.61124467323713</v>
      </c>
    </row>
    <row r="16" spans="1:5" ht="15.75">
      <c r="A16" s="47" t="s">
        <v>187</v>
      </c>
      <c r="B16" s="34">
        <v>7705.78465</v>
      </c>
      <c r="C16" s="48">
        <v>68.96523907230619</v>
      </c>
      <c r="D16" s="34">
        <v>1.3934005650370802</v>
      </c>
      <c r="E16" s="34">
        <v>0.9263566538140859</v>
      </c>
    </row>
    <row r="17" spans="1:5" ht="15.75">
      <c r="A17" s="47" t="s">
        <v>188</v>
      </c>
      <c r="B17" s="34">
        <v>3939.29785</v>
      </c>
      <c r="C17" s="48">
        <v>45.81510524204583</v>
      </c>
      <c r="D17" s="34">
        <v>1.072258483667632</v>
      </c>
      <c r="E17" s="34">
        <v>0.47356563159379533</v>
      </c>
    </row>
    <row r="18" spans="1:5" ht="15.75">
      <c r="A18" s="47" t="s">
        <v>189</v>
      </c>
      <c r="B18" s="34">
        <v>363517.76694</v>
      </c>
      <c r="C18" s="48">
        <v>101.75157229830758</v>
      </c>
      <c r="D18" s="34">
        <v>44.552684114650766</v>
      </c>
      <c r="E18" s="34">
        <v>43.700559706727226</v>
      </c>
    </row>
    <row r="19" spans="1:5" ht="15.75">
      <c r="A19" s="47" t="s">
        <v>190</v>
      </c>
      <c r="B19" s="34">
        <v>6843.32076</v>
      </c>
      <c r="C19" s="48">
        <v>128.4247159814003</v>
      </c>
      <c r="D19" s="34">
        <v>0.6645193679603265</v>
      </c>
      <c r="E19" s="34">
        <v>0.8226749134768601</v>
      </c>
    </row>
    <row r="20" spans="1:5" ht="15.75">
      <c r="A20" s="47" t="s">
        <v>192</v>
      </c>
      <c r="B20" s="34">
        <v>768.12093</v>
      </c>
      <c r="C20" s="48">
        <v>81.31380150210585</v>
      </c>
      <c r="D20" s="34">
        <v>0.11780255078809583</v>
      </c>
      <c r="E20" s="34">
        <v>0.0923402309769147</v>
      </c>
    </row>
    <row r="21" spans="1:5" ht="15.75">
      <c r="A21" s="47" t="s">
        <v>194</v>
      </c>
      <c r="B21" s="34">
        <v>4955.6531</v>
      </c>
      <c r="C21" s="48">
        <v>117.02322312502787</v>
      </c>
      <c r="D21" s="34">
        <v>0.528102474911884</v>
      </c>
      <c r="E21" s="34">
        <v>0.5957475366482506</v>
      </c>
    </row>
    <row r="22" spans="1:5" ht="15.75">
      <c r="A22" s="31" t="s">
        <v>261</v>
      </c>
      <c r="B22" s="32">
        <v>225746.78229</v>
      </c>
      <c r="C22" s="32">
        <v>113.74064710956473</v>
      </c>
      <c r="D22" s="32">
        <v>24.751141587489876</v>
      </c>
      <c r="E22" s="32">
        <v>27.138317945526985</v>
      </c>
    </row>
    <row r="23" spans="1:5" ht="15.75">
      <c r="A23" s="47" t="s">
        <v>187</v>
      </c>
      <c r="B23" s="34">
        <v>1638.47986</v>
      </c>
      <c r="C23" s="48">
        <v>102.74949296092105</v>
      </c>
      <c r="D23" s="34">
        <v>0.19886153187743288</v>
      </c>
      <c r="E23" s="34">
        <v>0.19697107944112763</v>
      </c>
    </row>
    <row r="24" spans="1:5" ht="15.75">
      <c r="A24" s="47" t="s">
        <v>188</v>
      </c>
      <c r="B24" s="34">
        <v>23630.03461</v>
      </c>
      <c r="C24" s="48">
        <v>61.62297553725811</v>
      </c>
      <c r="D24" s="34">
        <v>4.782016313757289</v>
      </c>
      <c r="E24" s="34">
        <v>2.840702249683378</v>
      </c>
    </row>
    <row r="25" spans="1:5" ht="15.75">
      <c r="A25" s="47" t="s">
        <v>189</v>
      </c>
      <c r="B25" s="34">
        <v>104257.77831</v>
      </c>
      <c r="C25" s="48">
        <v>120.1837491516512</v>
      </c>
      <c r="D25" s="34">
        <v>10.818127081303059</v>
      </c>
      <c r="E25" s="34">
        <v>12.533426644532868</v>
      </c>
    </row>
    <row r="26" spans="1:7" ht="15.75">
      <c r="A26" s="47" t="s">
        <v>190</v>
      </c>
      <c r="B26" s="34">
        <v>2061.09932</v>
      </c>
      <c r="C26" s="48">
        <v>101.41246437388448</v>
      </c>
      <c r="D26" s="34">
        <v>0.25345271288001986</v>
      </c>
      <c r="E26" s="34">
        <v>0.2477765932965292</v>
      </c>
      <c r="F26" s="1"/>
      <c r="G26" s="1"/>
    </row>
    <row r="27" spans="1:7" ht="15.75">
      <c r="A27" s="47" t="s">
        <v>192</v>
      </c>
      <c r="B27" s="34">
        <v>48.94572</v>
      </c>
      <c r="C27" s="48" t="s">
        <v>167</v>
      </c>
      <c r="D27" s="34">
        <v>0.0033239515647653533</v>
      </c>
      <c r="E27" s="34">
        <v>0.005884046266167221</v>
      </c>
      <c r="F27" s="1"/>
      <c r="G27" s="1"/>
    </row>
    <row r="28" spans="1:7" ht="15.75">
      <c r="A28" s="47" t="s">
        <v>193</v>
      </c>
      <c r="B28" s="34">
        <v>93122.19484</v>
      </c>
      <c r="C28" s="48">
        <v>134.01783543852247</v>
      </c>
      <c r="D28" s="34">
        <v>8.6652274101558</v>
      </c>
      <c r="E28" s="34">
        <v>11.194754165340676</v>
      </c>
      <c r="F28" s="14"/>
      <c r="G28" s="14"/>
    </row>
    <row r="29" spans="1:5" ht="15.75">
      <c r="A29" s="47" t="s">
        <v>194</v>
      </c>
      <c r="B29" s="34">
        <v>988.24963</v>
      </c>
      <c r="C29" s="48" t="s">
        <v>239</v>
      </c>
      <c r="D29" s="34">
        <v>0.030132585951506863</v>
      </c>
      <c r="E29" s="34">
        <v>0.11880316696623602</v>
      </c>
    </row>
    <row r="30" spans="1:5" ht="15.75">
      <c r="A30" s="31" t="s">
        <v>262</v>
      </c>
      <c r="B30" s="32">
        <v>218361.05629</v>
      </c>
      <c r="C30" s="32">
        <v>101.15515635786426</v>
      </c>
      <c r="D30" s="49">
        <v>26.92009085549435</v>
      </c>
      <c r="E30" s="32">
        <v>26.250437381235887</v>
      </c>
    </row>
    <row r="31" spans="1:5" ht="15.75">
      <c r="A31" s="47" t="s">
        <v>187</v>
      </c>
      <c r="B31" s="50">
        <v>1340.92734</v>
      </c>
      <c r="C31" s="48">
        <v>14.485677014163507</v>
      </c>
      <c r="D31" s="50">
        <v>1.15439864584287</v>
      </c>
      <c r="E31" s="50">
        <v>0.1612005811361758</v>
      </c>
    </row>
    <row r="32" spans="1:5" ht="15.75">
      <c r="A32" s="47" t="s">
        <v>188</v>
      </c>
      <c r="B32" s="50">
        <v>47.47597</v>
      </c>
      <c r="C32" s="48">
        <v>33.729834624525516</v>
      </c>
      <c r="D32" s="50">
        <v>0.01755290471980077</v>
      </c>
      <c r="E32" s="50">
        <v>0.005707359172797273</v>
      </c>
    </row>
    <row r="33" spans="1:5" ht="15.75">
      <c r="A33" s="47" t="s">
        <v>189</v>
      </c>
      <c r="B33" s="50">
        <v>201473.69133</v>
      </c>
      <c r="C33" s="48">
        <v>106.09227813920741</v>
      </c>
      <c r="D33" s="50">
        <v>23.682302755214607</v>
      </c>
      <c r="E33" s="50">
        <v>24.220310196707977</v>
      </c>
    </row>
    <row r="34" spans="1:5" ht="15.75">
      <c r="A34" s="47" t="s">
        <v>190</v>
      </c>
      <c r="B34" s="50">
        <v>14373.41046</v>
      </c>
      <c r="C34" s="48">
        <v>97.28819253018628</v>
      </c>
      <c r="D34" s="50">
        <v>1.8424217567784833</v>
      </c>
      <c r="E34" s="50">
        <v>1.727910267726205</v>
      </c>
    </row>
    <row r="35" spans="1:5" ht="15.75">
      <c r="A35" s="47" t="s">
        <v>192</v>
      </c>
      <c r="B35" s="50">
        <v>623.01932</v>
      </c>
      <c r="C35" s="48">
        <v>46.11748456450134</v>
      </c>
      <c r="D35" s="50">
        <v>0.16847104274706032</v>
      </c>
      <c r="E35" s="50">
        <v>0.07489673261719391</v>
      </c>
    </row>
    <row r="36" spans="1:5" ht="15.75">
      <c r="A36" s="51" t="s">
        <v>194</v>
      </c>
      <c r="B36" s="36">
        <v>502.53187</v>
      </c>
      <c r="C36" s="52">
        <v>114.06034242442908</v>
      </c>
      <c r="D36" s="36">
        <v>0.054943750191524296</v>
      </c>
      <c r="E36" s="36">
        <v>0.06041224387553256</v>
      </c>
    </row>
    <row r="37" ht="15.75">
      <c r="A37" s="42" t="s">
        <v>22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76"/>
  <sheetViews>
    <sheetView zoomScalePageLayoutView="0" workbookViewId="0" topLeftCell="A1">
      <selection activeCell="J17" sqref="J17"/>
    </sheetView>
  </sheetViews>
  <sheetFormatPr defaultColWidth="9.00390625" defaultRowHeight="15.75"/>
  <cols>
    <col min="1" max="1" width="28.125" style="0" customWidth="1"/>
    <col min="2" max="2" width="11.125" style="0" customWidth="1"/>
    <col min="3" max="3" width="10.125" style="0" customWidth="1"/>
    <col min="4" max="4" width="8.625" style="0" customWidth="1"/>
    <col min="5" max="5" width="8.75390625" style="0" customWidth="1"/>
    <col min="6" max="6" width="9.625" style="0" customWidth="1"/>
    <col min="7" max="7" width="9.875" style="0" customWidth="1"/>
  </cols>
  <sheetData>
    <row r="1" spans="1:7" ht="15.75">
      <c r="A1" s="96" t="s">
        <v>201</v>
      </c>
      <c r="B1" s="96"/>
      <c r="C1" s="96"/>
      <c r="D1" s="96"/>
      <c r="E1" s="96"/>
      <c r="F1" s="96"/>
      <c r="G1" s="96"/>
    </row>
    <row r="2" spans="1:7" ht="15.75">
      <c r="A2" s="96" t="s">
        <v>24</v>
      </c>
      <c r="B2" s="96"/>
      <c r="C2" s="96"/>
      <c r="D2" s="96"/>
      <c r="E2" s="96"/>
      <c r="F2" s="96"/>
      <c r="G2" s="96"/>
    </row>
    <row r="3" ht="15.75">
      <c r="A3" s="6"/>
    </row>
    <row r="4" spans="1:7" ht="57" customHeight="1">
      <c r="A4" s="104"/>
      <c r="B4" s="107" t="s">
        <v>207</v>
      </c>
      <c r="C4" s="102"/>
      <c r="D4" s="107" t="s">
        <v>0</v>
      </c>
      <c r="E4" s="102"/>
      <c r="F4" s="99" t="s">
        <v>171</v>
      </c>
      <c r="G4" s="108"/>
    </row>
    <row r="5" spans="1:7" ht="26.25" customHeight="1">
      <c r="A5" s="105"/>
      <c r="B5" s="109" t="s">
        <v>181</v>
      </c>
      <c r="C5" s="97" t="s">
        <v>208</v>
      </c>
      <c r="D5" s="111" t="s">
        <v>179</v>
      </c>
      <c r="E5" s="111"/>
      <c r="F5" s="111" t="s">
        <v>179</v>
      </c>
      <c r="G5" s="107"/>
    </row>
    <row r="6" spans="1:7" ht="26.25" customHeight="1">
      <c r="A6" s="106"/>
      <c r="B6" s="110"/>
      <c r="C6" s="98"/>
      <c r="D6" s="27">
        <v>2018</v>
      </c>
      <c r="E6" s="27">
        <v>2019</v>
      </c>
      <c r="F6" s="27" t="s">
        <v>178</v>
      </c>
      <c r="G6" s="23" t="s">
        <v>209</v>
      </c>
    </row>
    <row r="7" spans="1:7" ht="16.5" customHeight="1">
      <c r="A7" s="29" t="s">
        <v>156</v>
      </c>
      <c r="B7" s="30">
        <v>475729.97395</v>
      </c>
      <c r="C7" s="30">
        <v>109.11278394454142</v>
      </c>
      <c r="D7" s="30">
        <v>100</v>
      </c>
      <c r="E7" s="30">
        <v>100</v>
      </c>
      <c r="F7" s="30">
        <v>37.9473160742666</v>
      </c>
      <c r="G7" s="30">
        <v>9.112783944541421</v>
      </c>
    </row>
    <row r="8" spans="1:7" ht="13.5" customHeight="1">
      <c r="A8" s="60" t="s">
        <v>258</v>
      </c>
      <c r="B8" s="43"/>
      <c r="C8" s="43"/>
      <c r="D8" s="43"/>
      <c r="E8" s="43"/>
      <c r="F8" s="43"/>
      <c r="G8" s="43"/>
    </row>
    <row r="9" spans="1:10" ht="13.5" customHeight="1">
      <c r="A9" s="61" t="s">
        <v>265</v>
      </c>
      <c r="B9" s="32">
        <v>119174.53518</v>
      </c>
      <c r="C9" s="32">
        <v>112.19675393203707</v>
      </c>
      <c r="D9" s="32">
        <v>24.362300497748762</v>
      </c>
      <c r="E9" s="32">
        <v>25.050877957192885</v>
      </c>
      <c r="F9" s="32">
        <v>11.509273836529454</v>
      </c>
      <c r="G9" s="32">
        <v>2.97140984389386</v>
      </c>
      <c r="J9" s="19"/>
    </row>
    <row r="10" spans="1:10" s="9" customFormat="1" ht="13.5" customHeight="1">
      <c r="A10" s="33" t="s">
        <v>26</v>
      </c>
      <c r="B10" s="34">
        <v>381.44435</v>
      </c>
      <c r="C10" s="34">
        <v>14.060664595551147</v>
      </c>
      <c r="D10" s="34">
        <v>0.6222149746499858</v>
      </c>
      <c r="E10" s="34">
        <v>0.08018085277092303</v>
      </c>
      <c r="F10" s="34">
        <v>0.709235905597462</v>
      </c>
      <c r="G10" s="34">
        <v>-0.5347274140011576</v>
      </c>
      <c r="J10" s="19"/>
    </row>
    <row r="11" spans="1:10" s="9" customFormat="1" ht="14.25" customHeight="1">
      <c r="A11" s="33" t="s">
        <v>266</v>
      </c>
      <c r="B11" s="34">
        <v>1122.81027</v>
      </c>
      <c r="C11" s="34">
        <v>102.86705486500878</v>
      </c>
      <c r="D11" s="34">
        <v>0.2503486140908518</v>
      </c>
      <c r="E11" s="34">
        <v>0.23601839940360983</v>
      </c>
      <c r="F11" s="34">
        <v>-0.01266718899048599</v>
      </c>
      <c r="G11" s="34">
        <v>0.007177632119773824</v>
      </c>
      <c r="J11" s="19"/>
    </row>
    <row r="12" spans="1:10" s="9" customFormat="1" ht="15.75">
      <c r="A12" s="33" t="s">
        <v>267</v>
      </c>
      <c r="B12" s="34">
        <v>1881.18203</v>
      </c>
      <c r="C12" s="34">
        <v>76.76175281628286</v>
      </c>
      <c r="D12" s="34">
        <v>0.5620837883763815</v>
      </c>
      <c r="E12" s="34">
        <v>0.39543062935061457</v>
      </c>
      <c r="F12" s="34">
        <v>0.05821005995822314</v>
      </c>
      <c r="G12" s="34">
        <v>-0.13061842012250502</v>
      </c>
      <c r="J12" s="19"/>
    </row>
    <row r="13" spans="1:10" s="9" customFormat="1" ht="15.75">
      <c r="A13" s="33" t="s">
        <v>268</v>
      </c>
      <c r="B13" s="34">
        <v>11.38514</v>
      </c>
      <c r="C13" s="34" t="s">
        <v>269</v>
      </c>
      <c r="D13" s="34">
        <v>0.0004634810764200135</v>
      </c>
      <c r="E13" s="34">
        <v>0.002393193749275213</v>
      </c>
      <c r="F13" s="34">
        <v>0.00010679250056907968</v>
      </c>
      <c r="G13" s="34">
        <v>0.00214779924860092</v>
      </c>
      <c r="J13" s="19"/>
    </row>
    <row r="14" spans="1:10" s="9" customFormat="1" ht="15" customHeight="1">
      <c r="A14" s="33" t="s">
        <v>270</v>
      </c>
      <c r="B14" s="34">
        <v>51748.82395</v>
      </c>
      <c r="C14" s="34">
        <v>139.79816127341968</v>
      </c>
      <c r="D14" s="34">
        <v>8.490126209075331</v>
      </c>
      <c r="E14" s="34">
        <v>10.877772430508841</v>
      </c>
      <c r="F14" s="34">
        <v>5.8996907184678555</v>
      </c>
      <c r="G14" s="34">
        <v>3.378914121004674</v>
      </c>
      <c r="J14" s="19"/>
    </row>
    <row r="15" spans="1:10" s="9" customFormat="1" ht="15.75" customHeight="1">
      <c r="A15" s="33" t="s">
        <v>271</v>
      </c>
      <c r="B15" s="34">
        <v>53971.12158</v>
      </c>
      <c r="C15" s="34">
        <v>102.93221757001068</v>
      </c>
      <c r="D15" s="34">
        <v>12.02611174966832</v>
      </c>
      <c r="E15" s="34">
        <v>11.344906677179953</v>
      </c>
      <c r="F15" s="34">
        <v>4.469754249994037</v>
      </c>
      <c r="G15" s="34">
        <v>0.352631761712893</v>
      </c>
      <c r="J15" s="19"/>
    </row>
    <row r="16" spans="1:10" s="9" customFormat="1" ht="15.75">
      <c r="A16" s="33" t="s">
        <v>32</v>
      </c>
      <c r="B16" s="34">
        <v>2107.16711</v>
      </c>
      <c r="C16" s="34">
        <v>52.30153010623785</v>
      </c>
      <c r="D16" s="34">
        <v>0.9240590090474338</v>
      </c>
      <c r="E16" s="34">
        <v>0.44293343396131407</v>
      </c>
      <c r="F16" s="34">
        <v>0.003964348466152564</v>
      </c>
      <c r="G16" s="34">
        <v>-0.4407620082310871</v>
      </c>
      <c r="J16" s="19"/>
    </row>
    <row r="17" spans="1:10" s="9" customFormat="1" ht="25.5">
      <c r="A17" s="33" t="s">
        <v>272</v>
      </c>
      <c r="B17" s="34">
        <v>1777.67753</v>
      </c>
      <c r="C17" s="34">
        <v>108.24227449284744</v>
      </c>
      <c r="D17" s="34">
        <v>0.3766788141838818</v>
      </c>
      <c r="E17" s="34">
        <v>0.37367364415571525</v>
      </c>
      <c r="F17" s="34">
        <v>0.07022819809199293</v>
      </c>
      <c r="G17" s="34">
        <v>0.03104690182143829</v>
      </c>
      <c r="J17" s="19"/>
    </row>
    <row r="18" spans="1:10" s="9" customFormat="1" ht="25.5">
      <c r="A18" s="33" t="s">
        <v>34</v>
      </c>
      <c r="B18" s="34">
        <v>5673.77221</v>
      </c>
      <c r="C18" s="34">
        <v>125.04710634712318</v>
      </c>
      <c r="D18" s="34">
        <v>1.0406708038378487</v>
      </c>
      <c r="E18" s="34">
        <v>1.1926455175591526</v>
      </c>
      <c r="F18" s="34">
        <v>0.2918814987311951</v>
      </c>
      <c r="G18" s="34">
        <v>0.2606579229607275</v>
      </c>
      <c r="J18" s="19"/>
    </row>
    <row r="19" spans="1:7" s="9" customFormat="1" ht="15.75">
      <c r="A19" s="33" t="s">
        <v>273</v>
      </c>
      <c r="B19" s="34">
        <v>499.15101</v>
      </c>
      <c r="C19" s="34" t="s">
        <v>169</v>
      </c>
      <c r="D19" s="34">
        <v>0.06954305374230699</v>
      </c>
      <c r="E19" s="34">
        <v>0.1049231785534837</v>
      </c>
      <c r="F19" s="34">
        <v>0.01886925371245231</v>
      </c>
      <c r="G19" s="34">
        <v>0.044941547380501094</v>
      </c>
    </row>
    <row r="20" spans="1:7" s="9" customFormat="1" ht="15.75">
      <c r="A20" s="61" t="s">
        <v>274</v>
      </c>
      <c r="B20" s="32">
        <v>31254.29754</v>
      </c>
      <c r="C20" s="32">
        <v>94.97814249315513</v>
      </c>
      <c r="D20" s="32">
        <v>7.547466459036636</v>
      </c>
      <c r="E20" s="32">
        <v>6.569755796653855</v>
      </c>
      <c r="F20" s="32">
        <v>2.9764953402679732</v>
      </c>
      <c r="G20" s="32">
        <v>-0.3790230109497304</v>
      </c>
    </row>
    <row r="21" spans="1:7" s="9" customFormat="1" ht="15.75">
      <c r="A21" s="33" t="s">
        <v>337</v>
      </c>
      <c r="B21" s="34">
        <v>27081.13789</v>
      </c>
      <c r="C21" s="34">
        <v>91.53772192191695</v>
      </c>
      <c r="D21" s="34">
        <v>6.785501168017083</v>
      </c>
      <c r="E21" s="34">
        <v>5.6925439583183115</v>
      </c>
      <c r="F21" s="34">
        <v>2.597962514781809</v>
      </c>
      <c r="G21" s="34">
        <v>-0.5742079778291783</v>
      </c>
    </row>
    <row r="22" spans="1:7" s="9" customFormat="1" ht="15.75">
      <c r="A22" s="33" t="s">
        <v>275</v>
      </c>
      <c r="B22" s="34">
        <v>4173.15965</v>
      </c>
      <c r="C22" s="34">
        <v>125.61599185420636</v>
      </c>
      <c r="D22" s="34">
        <v>0.7619652910195535</v>
      </c>
      <c r="E22" s="34">
        <v>0.8772118383355441</v>
      </c>
      <c r="F22" s="34">
        <v>0.37853282548616407</v>
      </c>
      <c r="G22" s="34">
        <v>0.1951849668794486</v>
      </c>
    </row>
    <row r="23" spans="1:8" s="9" customFormat="1" ht="25.5">
      <c r="A23" s="61" t="s">
        <v>38</v>
      </c>
      <c r="B23" s="32">
        <v>58172.38311</v>
      </c>
      <c r="C23" s="32">
        <v>99.84990931747669</v>
      </c>
      <c r="D23" s="32">
        <v>13.362394888190513</v>
      </c>
      <c r="E23" s="32">
        <v>12.228025622811401</v>
      </c>
      <c r="F23" s="32">
        <v>5.406738908796734</v>
      </c>
      <c r="G23" s="32">
        <v>-0.02005570968914425</v>
      </c>
      <c r="H23" s="7"/>
    </row>
    <row r="24" spans="1:8" s="9" customFormat="1" ht="15.75">
      <c r="A24" s="33" t="s">
        <v>276</v>
      </c>
      <c r="B24" s="34">
        <v>182.30469</v>
      </c>
      <c r="C24" s="34">
        <v>22.015993344215936</v>
      </c>
      <c r="D24" s="34">
        <v>0.18992173864741585</v>
      </c>
      <c r="E24" s="34">
        <v>0.03832104344536435</v>
      </c>
      <c r="F24" s="34">
        <v>0.1102284234291365</v>
      </c>
      <c r="G24" s="34">
        <v>-0.14810858130758156</v>
      </c>
      <c r="H24" s="8"/>
    </row>
    <row r="25" spans="1:8" s="9" customFormat="1" ht="15.75">
      <c r="A25" s="33" t="s">
        <v>277</v>
      </c>
      <c r="B25" s="34">
        <v>53055.30089</v>
      </c>
      <c r="C25" s="34">
        <v>101.58164733907017</v>
      </c>
      <c r="D25" s="34">
        <v>11.979223052865812</v>
      </c>
      <c r="E25" s="34">
        <v>11.15239816601848</v>
      </c>
      <c r="F25" s="34">
        <v>5.085717886801647</v>
      </c>
      <c r="G25" s="34">
        <v>0.1894690626569328</v>
      </c>
      <c r="H25" s="8"/>
    </row>
    <row r="26" spans="1:8" s="9" customFormat="1" ht="15.75">
      <c r="A26" s="33" t="s">
        <v>279</v>
      </c>
      <c r="B26" s="34">
        <v>93.69413</v>
      </c>
      <c r="C26" s="34">
        <v>95.43277195587817</v>
      </c>
      <c r="D26" s="34">
        <v>0.022518007810352264</v>
      </c>
      <c r="E26" s="34">
        <v>0.01969481326182895</v>
      </c>
      <c r="F26" s="34">
        <v>0.026464572509481483</v>
      </c>
      <c r="G26" s="34">
        <v>-0.0010284487676919536</v>
      </c>
      <c r="H26" s="8"/>
    </row>
    <row r="27" spans="1:8" s="9" customFormat="1" ht="15.75">
      <c r="A27" s="33" t="s">
        <v>280</v>
      </c>
      <c r="B27" s="34">
        <v>421.67116</v>
      </c>
      <c r="C27" s="34">
        <v>83.35385068151623</v>
      </c>
      <c r="D27" s="34">
        <v>0.11602814583721087</v>
      </c>
      <c r="E27" s="34">
        <v>0.08863666009918439</v>
      </c>
      <c r="F27" s="34">
        <v>0.03966669533269983</v>
      </c>
      <c r="G27" s="34">
        <v>-0.019314218407530236</v>
      </c>
      <c r="H27" s="8"/>
    </row>
    <row r="28" spans="1:8" s="9" customFormat="1" ht="14.25" customHeight="1">
      <c r="A28" s="33" t="s">
        <v>281</v>
      </c>
      <c r="B28" s="34">
        <v>30.42986</v>
      </c>
      <c r="C28" s="34">
        <v>72.25340237209747</v>
      </c>
      <c r="D28" s="34">
        <v>0.009659547286200203</v>
      </c>
      <c r="E28" s="34">
        <v>0.006396456323182661</v>
      </c>
      <c r="F28" s="34">
        <v>0.00020994014110629458</v>
      </c>
      <c r="G28" s="34">
        <v>-0.0026801957181789484</v>
      </c>
      <c r="H28" s="8"/>
    </row>
    <row r="29" spans="1:8" s="9" customFormat="1" ht="38.25">
      <c r="A29" s="33" t="s">
        <v>282</v>
      </c>
      <c r="B29" s="34">
        <v>1417.51097</v>
      </c>
      <c r="C29" s="34">
        <v>104.92057089435143</v>
      </c>
      <c r="D29" s="34">
        <v>0.30987097929956336</v>
      </c>
      <c r="E29" s="34">
        <v>0.2979654525928574</v>
      </c>
      <c r="F29" s="34">
        <v>0.11590861190287696</v>
      </c>
      <c r="G29" s="34">
        <v>0.015247421217456066</v>
      </c>
      <c r="H29" s="8"/>
    </row>
    <row r="30" spans="1:8" s="9" customFormat="1" ht="15.75">
      <c r="A30" s="33" t="s">
        <v>283</v>
      </c>
      <c r="B30" s="34">
        <v>2383.00358</v>
      </c>
      <c r="C30" s="34">
        <v>93.75762106576273</v>
      </c>
      <c r="D30" s="34">
        <v>0.5829525905300738</v>
      </c>
      <c r="E30" s="34">
        <v>0.5009151641663129</v>
      </c>
      <c r="F30" s="34">
        <v>-0.0672141582888016</v>
      </c>
      <c r="G30" s="34">
        <v>-0.036390109707839784</v>
      </c>
      <c r="H30" s="8"/>
    </row>
    <row r="31" spans="1:8" s="9" customFormat="1" ht="25.5">
      <c r="A31" s="33" t="s">
        <v>45</v>
      </c>
      <c r="B31" s="34">
        <v>588.46768</v>
      </c>
      <c r="C31" s="34">
        <v>88.67172540651062</v>
      </c>
      <c r="D31" s="34">
        <v>0.1522132914822766</v>
      </c>
      <c r="E31" s="34">
        <v>0.12369783537369643</v>
      </c>
      <c r="F31" s="34">
        <v>0.09586274548350586</v>
      </c>
      <c r="G31" s="34">
        <v>-0.01724313962690068</v>
      </c>
      <c r="H31" s="8"/>
    </row>
    <row r="32" spans="1:7" s="9" customFormat="1" ht="27" customHeight="1">
      <c r="A32" s="61" t="s">
        <v>284</v>
      </c>
      <c r="B32" s="32">
        <v>2416.4725</v>
      </c>
      <c r="C32" s="32" t="s">
        <v>169</v>
      </c>
      <c r="D32" s="32">
        <v>0.35492084130188656</v>
      </c>
      <c r="E32" s="32">
        <v>0.5079504408637441</v>
      </c>
      <c r="F32" s="32">
        <v>-0.06568144085840483</v>
      </c>
      <c r="G32" s="32">
        <v>0.1993180257831161</v>
      </c>
    </row>
    <row r="33" spans="1:7" s="9" customFormat="1" ht="25.5">
      <c r="A33" s="33" t="s">
        <v>285</v>
      </c>
      <c r="B33" s="34">
        <v>2415.18787</v>
      </c>
      <c r="C33" s="34" t="s">
        <v>169</v>
      </c>
      <c r="D33" s="34">
        <v>0.3494642912520848</v>
      </c>
      <c r="E33" s="34">
        <v>0.5076804074266383</v>
      </c>
      <c r="F33" s="34">
        <v>-0.07287346158800177</v>
      </c>
      <c r="G33" s="34">
        <v>0.20447993483211066</v>
      </c>
    </row>
    <row r="34" spans="1:7" s="9" customFormat="1" ht="15.75">
      <c r="A34" s="33" t="s">
        <v>50</v>
      </c>
      <c r="B34" s="34">
        <v>1.28463</v>
      </c>
      <c r="C34" s="34">
        <v>92.34368934830425</v>
      </c>
      <c r="D34" s="34">
        <v>0.00031906999047439223</v>
      </c>
      <c r="E34" s="34">
        <v>0.00027003343710586055</v>
      </c>
      <c r="F34" s="34">
        <v>0.00010500487390414526</v>
      </c>
      <c r="G34" s="34">
        <v>-2.442898966705547E-05</v>
      </c>
    </row>
    <row r="35" spans="1:7" s="9" customFormat="1" ht="25.5">
      <c r="A35" s="61" t="s">
        <v>286</v>
      </c>
      <c r="B35" s="32">
        <v>11637.73059</v>
      </c>
      <c r="C35" s="32">
        <v>80.60730770021175</v>
      </c>
      <c r="D35" s="32">
        <v>3.3113798705827167</v>
      </c>
      <c r="E35" s="32">
        <v>2.4462891193026115</v>
      </c>
      <c r="F35" s="32">
        <v>0.5738302349892311</v>
      </c>
      <c r="G35" s="32">
        <v>-0.6421657091792327</v>
      </c>
    </row>
    <row r="36" spans="1:7" s="9" customFormat="1" ht="25.5">
      <c r="A36" s="33" t="s">
        <v>287</v>
      </c>
      <c r="B36" s="34">
        <v>11637.73059</v>
      </c>
      <c r="C36" s="34">
        <v>80.65330270334867</v>
      </c>
      <c r="D36" s="34">
        <v>3.309491455323453</v>
      </c>
      <c r="E36" s="34">
        <v>2.4462891193026115</v>
      </c>
      <c r="F36" s="34">
        <v>0.5713043786265569</v>
      </c>
      <c r="G36" s="34">
        <v>-0.6402772939199693</v>
      </c>
    </row>
    <row r="37" spans="1:7" s="9" customFormat="1" ht="25.5">
      <c r="A37" s="61" t="s">
        <v>288</v>
      </c>
      <c r="B37" s="32">
        <v>20064.36507</v>
      </c>
      <c r="C37" s="32">
        <v>91.78903967019919</v>
      </c>
      <c r="D37" s="32">
        <v>5.013600398137696</v>
      </c>
      <c r="E37" s="32">
        <v>4.217595310088407</v>
      </c>
      <c r="F37" s="32">
        <v>1.7617963866607875</v>
      </c>
      <c r="G37" s="32">
        <v>-0.4116647397858217</v>
      </c>
    </row>
    <row r="38" spans="1:7" s="9" customFormat="1" ht="15.75">
      <c r="A38" s="33" t="s">
        <v>55</v>
      </c>
      <c r="B38" s="34">
        <v>3464.8381</v>
      </c>
      <c r="C38" s="34">
        <v>109.76473906470041</v>
      </c>
      <c r="D38" s="34">
        <v>0.7239944185693953</v>
      </c>
      <c r="E38" s="34">
        <v>0.7283203265985843</v>
      </c>
      <c r="F38" s="34">
        <v>-0.20193508878583796</v>
      </c>
      <c r="G38" s="34">
        <v>0.07069616581629634</v>
      </c>
    </row>
    <row r="39" spans="1:7" s="9" customFormat="1" ht="15.75">
      <c r="A39" s="33" t="s">
        <v>56</v>
      </c>
      <c r="B39" s="34">
        <v>153.00088</v>
      </c>
      <c r="C39" s="34" t="s">
        <v>148</v>
      </c>
      <c r="D39" s="34">
        <v>0.01637636806422426</v>
      </c>
      <c r="E39" s="34">
        <v>0.03216128652345135</v>
      </c>
      <c r="F39" s="34">
        <v>-0.026893897155578723</v>
      </c>
      <c r="G39" s="34">
        <v>0.018715707013894134</v>
      </c>
    </row>
    <row r="40" spans="1:7" s="9" customFormat="1" ht="15.75">
      <c r="A40" s="33" t="s">
        <v>289</v>
      </c>
      <c r="B40" s="34">
        <v>95.57144</v>
      </c>
      <c r="C40" s="34">
        <v>68.7684141797945</v>
      </c>
      <c r="D40" s="34">
        <v>0.031875297095023666</v>
      </c>
      <c r="E40" s="34">
        <v>0.02008942997778078</v>
      </c>
      <c r="F40" s="34">
        <v>0.026266914787336736</v>
      </c>
      <c r="G40" s="34">
        <v>-0.009955160767677787</v>
      </c>
    </row>
    <row r="41" spans="1:7" s="9" customFormat="1" ht="15.75">
      <c r="A41" s="33" t="s">
        <v>290</v>
      </c>
      <c r="B41" s="34">
        <v>12881.06037</v>
      </c>
      <c r="C41" s="34">
        <v>102.02780762824575</v>
      </c>
      <c r="D41" s="34">
        <v>2.895664102013915</v>
      </c>
      <c r="E41" s="34">
        <v>2.7076411147794985</v>
      </c>
      <c r="F41" s="34">
        <v>1.7037468017900785</v>
      </c>
      <c r="G41" s="34">
        <v>0.05871849754901208</v>
      </c>
    </row>
    <row r="42" spans="1:7" s="9" customFormat="1" ht="38.25">
      <c r="A42" s="33" t="s">
        <v>291</v>
      </c>
      <c r="B42" s="34">
        <v>2634.325</v>
      </c>
      <c r="C42" s="34">
        <v>55.14388950002067</v>
      </c>
      <c r="D42" s="34">
        <v>1.0956884390399384</v>
      </c>
      <c r="E42" s="34">
        <v>0.5537437504992846</v>
      </c>
      <c r="F42" s="34">
        <v>0.2073439092039592</v>
      </c>
      <c r="G42" s="34">
        <v>-0.4914832169512534</v>
      </c>
    </row>
    <row r="43" spans="1:7" s="9" customFormat="1" ht="15.75">
      <c r="A43" s="33" t="s">
        <v>61</v>
      </c>
      <c r="B43" s="34">
        <v>204.59246</v>
      </c>
      <c r="C43" s="34">
        <v>46.778094853696345</v>
      </c>
      <c r="D43" s="34">
        <v>0.10031415408233758</v>
      </c>
      <c r="E43" s="34">
        <v>0.04300600576021367</v>
      </c>
      <c r="F43" s="34">
        <v>0.0942166545552603</v>
      </c>
      <c r="G43" s="34">
        <v>-0.053389103934018606</v>
      </c>
    </row>
    <row r="44" spans="1:7" s="9" customFormat="1" ht="15.75">
      <c r="A44" s="33" t="s">
        <v>62</v>
      </c>
      <c r="B44" s="34">
        <v>303.21335</v>
      </c>
      <c r="C44" s="34">
        <v>109.31205403988496</v>
      </c>
      <c r="D44" s="34">
        <v>0.06362025196360951</v>
      </c>
      <c r="E44" s="34">
        <v>0.06373644012430216</v>
      </c>
      <c r="F44" s="34">
        <v>-0.054306107961817424</v>
      </c>
      <c r="G44" s="34">
        <v>0.005924352243162292</v>
      </c>
    </row>
    <row r="45" spans="1:7" s="9" customFormat="1" ht="15.75">
      <c r="A45" s="33" t="s">
        <v>292</v>
      </c>
      <c r="B45" s="34">
        <v>327.76347</v>
      </c>
      <c r="C45" s="34">
        <v>87.34481941791007</v>
      </c>
      <c r="D45" s="34">
        <v>0.08606736730925246</v>
      </c>
      <c r="E45" s="34">
        <v>0.06889695582529101</v>
      </c>
      <c r="F45" s="34">
        <v>0.01335720022738664</v>
      </c>
      <c r="G45" s="34">
        <v>-0.010891980755236527</v>
      </c>
    </row>
    <row r="46" spans="1:7" s="9" customFormat="1" ht="25.5">
      <c r="A46" s="61" t="s">
        <v>64</v>
      </c>
      <c r="B46" s="32">
        <v>25238.02179</v>
      </c>
      <c r="C46" s="32">
        <v>91.77530182577239</v>
      </c>
      <c r="D46" s="32">
        <v>6.307316300835803</v>
      </c>
      <c r="E46" s="32">
        <v>5.305114912236443</v>
      </c>
      <c r="F46" s="32">
        <v>1.3909244336652287</v>
      </c>
      <c r="G46" s="32">
        <v>-0.5187577286376035</v>
      </c>
    </row>
    <row r="47" spans="1:7" s="9" customFormat="1" ht="15.75">
      <c r="A47" s="33" t="s">
        <v>293</v>
      </c>
      <c r="B47" s="34">
        <v>39.58275</v>
      </c>
      <c r="C47" s="34">
        <v>31.477528729201758</v>
      </c>
      <c r="D47" s="34">
        <v>0.028841673460803477</v>
      </c>
      <c r="E47" s="34">
        <v>0.008320423804988207</v>
      </c>
      <c r="F47" s="34">
        <v>-0.048548263720175795</v>
      </c>
      <c r="G47" s="34">
        <v>-0.019763027411196506</v>
      </c>
    </row>
    <row r="48" spans="1:7" s="9" customFormat="1" ht="15.75">
      <c r="A48" s="33" t="s">
        <v>66</v>
      </c>
      <c r="B48" s="34">
        <v>61.98275</v>
      </c>
      <c r="C48" s="34">
        <v>34.39299146544543</v>
      </c>
      <c r="D48" s="34">
        <v>0.041334816116568605</v>
      </c>
      <c r="E48" s="34">
        <v>0.013028977233735221</v>
      </c>
      <c r="F48" s="34">
        <v>-0.07156534600130483</v>
      </c>
      <c r="G48" s="34">
        <v>-0.0271185363373396</v>
      </c>
    </row>
    <row r="49" spans="1:7" s="9" customFormat="1" ht="15.75">
      <c r="A49" s="33" t="s">
        <v>67</v>
      </c>
      <c r="B49" s="34">
        <v>3239.03567</v>
      </c>
      <c r="C49" s="34">
        <v>134.20248532227757</v>
      </c>
      <c r="D49" s="34">
        <v>0.5535671283556141</v>
      </c>
      <c r="E49" s="34">
        <v>0.6808559156166242</v>
      </c>
      <c r="F49" s="34">
        <v>0.33930031461293725</v>
      </c>
      <c r="G49" s="34">
        <v>0.1893337158247823</v>
      </c>
    </row>
    <row r="50" spans="1:7" s="9" customFormat="1" ht="25.5">
      <c r="A50" s="33" t="s">
        <v>294</v>
      </c>
      <c r="B50" s="34">
        <v>1476.33665</v>
      </c>
      <c r="C50" s="34">
        <v>98.34457344444954</v>
      </c>
      <c r="D50" s="34">
        <v>0.34431038452634144</v>
      </c>
      <c r="E50" s="34">
        <v>0.3103308033634991</v>
      </c>
      <c r="F50" s="34">
        <v>0.1889703311443129</v>
      </c>
      <c r="G50" s="34">
        <v>-0.005699805538966989</v>
      </c>
    </row>
    <row r="51" spans="1:7" s="9" customFormat="1" ht="25.5">
      <c r="A51" s="33" t="s">
        <v>295</v>
      </c>
      <c r="B51" s="34">
        <v>9889.25609</v>
      </c>
      <c r="C51" s="34">
        <v>78.09132857159605</v>
      </c>
      <c r="D51" s="34">
        <v>2.9045304445239917</v>
      </c>
      <c r="E51" s="34">
        <v>2.078754047782446</v>
      </c>
      <c r="F51" s="34">
        <v>-0.04014412453775917</v>
      </c>
      <c r="G51" s="34">
        <v>-0.6363440316287219</v>
      </c>
    </row>
    <row r="52" spans="1:7" s="9" customFormat="1" ht="15.75">
      <c r="A52" s="33" t="s">
        <v>69</v>
      </c>
      <c r="B52" s="34">
        <v>6554.59212</v>
      </c>
      <c r="C52" s="34">
        <v>104.22875072271951</v>
      </c>
      <c r="D52" s="34">
        <v>1.4423586396561006</v>
      </c>
      <c r="E52" s="34">
        <v>1.37779675002965</v>
      </c>
      <c r="F52" s="34">
        <v>0.7986375291978132</v>
      </c>
      <c r="G52" s="34">
        <v>0.060993751398664614</v>
      </c>
    </row>
    <row r="53" spans="1:7" s="9" customFormat="1" ht="14.25" customHeight="1">
      <c r="A53" s="33" t="s">
        <v>296</v>
      </c>
      <c r="B53" s="34">
        <v>324.08591</v>
      </c>
      <c r="C53" s="34">
        <v>129.85015418022286</v>
      </c>
      <c r="D53" s="34">
        <v>0.057244372816794536</v>
      </c>
      <c r="E53" s="34">
        <v>0.06812392065799536</v>
      </c>
      <c r="F53" s="34">
        <v>0.014638694414510612</v>
      </c>
      <c r="G53" s="34">
        <v>0.017087533545314757</v>
      </c>
    </row>
    <row r="54" spans="1:7" s="9" customFormat="1" ht="15.75">
      <c r="A54" s="33" t="s">
        <v>71</v>
      </c>
      <c r="B54" s="34">
        <v>71.8188</v>
      </c>
      <c r="C54" s="34">
        <v>23.312857148421827</v>
      </c>
      <c r="D54" s="34">
        <v>0.07065741796619443</v>
      </c>
      <c r="E54" s="34">
        <v>0.015096547186986428</v>
      </c>
      <c r="F54" s="34">
        <v>-0.07542784404273002</v>
      </c>
      <c r="G54" s="34">
        <v>-0.05418515505097219</v>
      </c>
    </row>
    <row r="55" spans="1:7" s="9" customFormat="1" ht="15.75">
      <c r="A55" s="33" t="s">
        <v>72</v>
      </c>
      <c r="B55" s="34">
        <v>3581.33105</v>
      </c>
      <c r="C55" s="34">
        <v>95.01867010604755</v>
      </c>
      <c r="D55" s="34">
        <v>0.8644714234133938</v>
      </c>
      <c r="E55" s="34">
        <v>0.7528075265605197</v>
      </c>
      <c r="F55" s="34">
        <v>0.28506314259762533</v>
      </c>
      <c r="G55" s="34">
        <v>-0.04306217343916762</v>
      </c>
    </row>
    <row r="56" spans="1:7" s="9" customFormat="1" ht="15" customHeight="1">
      <c r="A56" s="61" t="s">
        <v>297</v>
      </c>
      <c r="B56" s="32">
        <v>123035.92945</v>
      </c>
      <c r="C56" s="32" t="s">
        <v>169</v>
      </c>
      <c r="D56" s="32">
        <v>17.445664311363316</v>
      </c>
      <c r="E56" s="32">
        <v>25.86255569066398</v>
      </c>
      <c r="F56" s="32">
        <v>7.155741099547419</v>
      </c>
      <c r="G56" s="32">
        <v>10.773690201927575</v>
      </c>
    </row>
    <row r="57" spans="1:7" s="9" customFormat="1" ht="25.5">
      <c r="A57" s="33" t="s">
        <v>298</v>
      </c>
      <c r="B57" s="34">
        <v>859.6833</v>
      </c>
      <c r="C57" s="34" t="s">
        <v>170</v>
      </c>
      <c r="D57" s="34">
        <v>0.106532000533064</v>
      </c>
      <c r="E57" s="34">
        <v>0.1807082477612298</v>
      </c>
      <c r="F57" s="34">
        <v>0.054395644328173134</v>
      </c>
      <c r="G57" s="34">
        <v>0.0906437994166133</v>
      </c>
    </row>
    <row r="58" spans="1:7" s="9" customFormat="1" ht="27" customHeight="1">
      <c r="A58" s="33" t="s">
        <v>299</v>
      </c>
      <c r="B58" s="34">
        <v>2103.64748</v>
      </c>
      <c r="C58" s="34">
        <v>93.83358643802525</v>
      </c>
      <c r="D58" s="34">
        <v>0.514197273653707</v>
      </c>
      <c r="E58" s="34">
        <v>0.44219359619772386</v>
      </c>
      <c r="F58" s="34">
        <v>0.4788069146924039</v>
      </c>
      <c r="G58" s="34">
        <v>-0.0317075304178866</v>
      </c>
    </row>
    <row r="59" spans="1:7" s="9" customFormat="1" ht="25.5">
      <c r="A59" s="33" t="s">
        <v>300</v>
      </c>
      <c r="B59" s="34">
        <v>398.11786</v>
      </c>
      <c r="C59" s="34">
        <v>139.1262202964342</v>
      </c>
      <c r="D59" s="34">
        <v>0.06563232593828898</v>
      </c>
      <c r="E59" s="34">
        <v>0.08368567922984034</v>
      </c>
      <c r="F59" s="34">
        <v>0.024071661783682335</v>
      </c>
      <c r="G59" s="34">
        <v>0.025679448432288688</v>
      </c>
    </row>
    <row r="60" spans="1:7" s="9" customFormat="1" ht="40.5" customHeight="1">
      <c r="A60" s="33" t="s">
        <v>301</v>
      </c>
      <c r="B60" s="34">
        <v>3042.36455</v>
      </c>
      <c r="C60" s="34">
        <v>111.70414363425698</v>
      </c>
      <c r="D60" s="34">
        <v>0.6246792636042638</v>
      </c>
      <c r="E60" s="34">
        <v>0.63951500149111</v>
      </c>
      <c r="F60" s="34">
        <v>-0.23592529112788524</v>
      </c>
      <c r="G60" s="34">
        <v>0.07311335826566186</v>
      </c>
    </row>
    <row r="61" spans="1:7" s="9" customFormat="1" ht="25.5">
      <c r="A61" s="33" t="s">
        <v>302</v>
      </c>
      <c r="B61" s="34">
        <v>138.06338</v>
      </c>
      <c r="C61" s="34">
        <v>142.46863852496662</v>
      </c>
      <c r="D61" s="34">
        <v>0.02222666728049891</v>
      </c>
      <c r="E61" s="34">
        <v>0.029021375057294727</v>
      </c>
      <c r="F61" s="34">
        <v>-0.0031959126236876783</v>
      </c>
      <c r="G61" s="34">
        <v>0.009439362983502115</v>
      </c>
    </row>
    <row r="62" spans="1:7" s="9" customFormat="1" ht="38.25">
      <c r="A62" s="33" t="s">
        <v>303</v>
      </c>
      <c r="B62" s="34">
        <v>784.59968</v>
      </c>
      <c r="C62" s="34" t="s">
        <v>154</v>
      </c>
      <c r="D62" s="34">
        <v>0.08322103336034187</v>
      </c>
      <c r="E62" s="34">
        <v>0.16492542470793792</v>
      </c>
      <c r="F62" s="34">
        <v>-0.018485951752139386</v>
      </c>
      <c r="G62" s="34">
        <v>0.0967336889708478</v>
      </c>
    </row>
    <row r="63" spans="1:7" s="9" customFormat="1" ht="39.75" customHeight="1">
      <c r="A63" s="33" t="s">
        <v>304</v>
      </c>
      <c r="B63" s="34">
        <v>108987.83537</v>
      </c>
      <c r="C63" s="34" t="s">
        <v>169</v>
      </c>
      <c r="D63" s="34">
        <v>15.423125485952834</v>
      </c>
      <c r="E63" s="34">
        <v>22.909600264425382</v>
      </c>
      <c r="F63" s="34">
        <v>7.49635287719663</v>
      </c>
      <c r="G63" s="34">
        <v>9.574177153127723</v>
      </c>
    </row>
    <row r="64" spans="1:7" s="9" customFormat="1" ht="25.5">
      <c r="A64" s="33" t="s">
        <v>78</v>
      </c>
      <c r="B64" s="34">
        <v>4287.92373</v>
      </c>
      <c r="C64" s="34" t="s">
        <v>169</v>
      </c>
      <c r="D64" s="34">
        <v>0.5960521597464397</v>
      </c>
      <c r="E64" s="34">
        <v>0.9013356241561243</v>
      </c>
      <c r="F64" s="34">
        <v>-0.5700282030242544</v>
      </c>
      <c r="G64" s="34">
        <v>0.3874202324542162</v>
      </c>
    </row>
    <row r="65" spans="1:7" s="9" customFormat="1" ht="15.75">
      <c r="A65" s="33" t="s">
        <v>79</v>
      </c>
      <c r="B65" s="34">
        <v>2433.6941</v>
      </c>
      <c r="C65" s="34" t="s">
        <v>305</v>
      </c>
      <c r="D65" s="34">
        <v>0.00999810129387689</v>
      </c>
      <c r="E65" s="34">
        <v>0.5115704776373383</v>
      </c>
      <c r="F65" s="34">
        <v>-0.07025063992550509</v>
      </c>
      <c r="G65" s="34">
        <v>0.5481906886946106</v>
      </c>
    </row>
    <row r="66" spans="1:7" s="9" customFormat="1" ht="15.75">
      <c r="A66" s="61" t="s">
        <v>80</v>
      </c>
      <c r="B66" s="32">
        <v>84636.67903</v>
      </c>
      <c r="C66" s="32">
        <v>87.29755483003171</v>
      </c>
      <c r="D66" s="32">
        <v>22.236767531254138</v>
      </c>
      <c r="E66" s="32">
        <v>17.790907376985132</v>
      </c>
      <c r="F66" s="32">
        <v>7.179186449718351</v>
      </c>
      <c r="G66" s="32">
        <v>-2.824613203230868</v>
      </c>
    </row>
    <row r="67" spans="1:7" s="9" customFormat="1" ht="38.25">
      <c r="A67" s="33" t="s">
        <v>306</v>
      </c>
      <c r="B67" s="34">
        <v>1428.16323</v>
      </c>
      <c r="C67" s="34">
        <v>129.14406316093994</v>
      </c>
      <c r="D67" s="34">
        <v>0.25364045427888815</v>
      </c>
      <c r="E67" s="34">
        <v>0.30020459256370136</v>
      </c>
      <c r="F67" s="34">
        <v>-0.16552449372646658</v>
      </c>
      <c r="G67" s="34">
        <v>0.07392113419673417</v>
      </c>
    </row>
    <row r="68" spans="1:7" s="9" customFormat="1" ht="14.25" customHeight="1">
      <c r="A68" s="33" t="s">
        <v>307</v>
      </c>
      <c r="B68" s="34">
        <v>23954.70511</v>
      </c>
      <c r="C68" s="34">
        <v>92.19964646005823</v>
      </c>
      <c r="D68" s="34">
        <v>5.959045401623582</v>
      </c>
      <c r="E68" s="34">
        <v>5.035357539299737</v>
      </c>
      <c r="F68" s="34">
        <v>2.399862451537694</v>
      </c>
      <c r="G68" s="34">
        <v>-0.46482660893228267</v>
      </c>
    </row>
    <row r="69" spans="1:7" ht="15.75">
      <c r="A69" s="33" t="s">
        <v>308</v>
      </c>
      <c r="B69" s="34">
        <v>1657.31496</v>
      </c>
      <c r="C69" s="34">
        <v>71.92825235263763</v>
      </c>
      <c r="D69" s="34">
        <v>0.5284703953868294</v>
      </c>
      <c r="E69" s="34">
        <v>0.34837303738489817</v>
      </c>
      <c r="F69" s="34">
        <v>0.08877117671671411</v>
      </c>
      <c r="G69" s="34">
        <v>-0.1483508757840089</v>
      </c>
    </row>
    <row r="70" spans="1:7" ht="15.75">
      <c r="A70" s="33" t="s">
        <v>309</v>
      </c>
      <c r="B70" s="34">
        <v>39372.21572</v>
      </c>
      <c r="C70" s="34">
        <v>79.98924328948286</v>
      </c>
      <c r="D70" s="34">
        <v>11.289465708497708</v>
      </c>
      <c r="E70" s="34">
        <v>8.276168809186297</v>
      </c>
      <c r="F70" s="34">
        <v>3.180297831327117</v>
      </c>
      <c r="G70" s="34">
        <v>-2.259107516844736</v>
      </c>
    </row>
    <row r="71" spans="1:7" ht="15.75">
      <c r="A71" s="33" t="s">
        <v>310</v>
      </c>
      <c r="B71" s="34">
        <v>4639.49208</v>
      </c>
      <c r="C71" s="34">
        <v>75.79459731332582</v>
      </c>
      <c r="D71" s="34">
        <v>1.403935994888536</v>
      </c>
      <c r="E71" s="34">
        <v>0.975236443791456</v>
      </c>
      <c r="F71" s="34">
        <v>0.43305304366332564</v>
      </c>
      <c r="G71" s="34">
        <v>-0.33982836102593544</v>
      </c>
    </row>
    <row r="72" spans="1:7" ht="25.5">
      <c r="A72" s="33" t="s">
        <v>311</v>
      </c>
      <c r="B72" s="34">
        <v>2834.9836</v>
      </c>
      <c r="C72" s="34">
        <v>82.66252524727858</v>
      </c>
      <c r="D72" s="34">
        <v>0.7866055452314613</v>
      </c>
      <c r="E72" s="34">
        <v>0.5959228459920336</v>
      </c>
      <c r="F72" s="34">
        <v>0.3205630763387052</v>
      </c>
      <c r="G72" s="34">
        <v>-0.13637753780801132</v>
      </c>
    </row>
    <row r="73" spans="1:7" ht="25.5">
      <c r="A73" s="33" t="s">
        <v>312</v>
      </c>
      <c r="B73" s="34">
        <v>617.74324</v>
      </c>
      <c r="C73" s="34">
        <v>122.56760949950936</v>
      </c>
      <c r="D73" s="34">
        <v>0.11559722451455233</v>
      </c>
      <c r="E73" s="34">
        <v>0.129851654053004</v>
      </c>
      <c r="F73" s="34">
        <v>0.06188390168964824</v>
      </c>
      <c r="G73" s="34">
        <v>0.026087530220715277</v>
      </c>
    </row>
    <row r="74" spans="1:7" ht="15.75">
      <c r="A74" s="33" t="s">
        <v>86</v>
      </c>
      <c r="B74" s="34">
        <v>10132.06109</v>
      </c>
      <c r="C74" s="34">
        <v>122.3088165380455</v>
      </c>
      <c r="D74" s="34">
        <v>1.9000068068325797</v>
      </c>
      <c r="E74" s="34">
        <v>2.1297924547140044</v>
      </c>
      <c r="F74" s="34">
        <v>0.8602794621716136</v>
      </c>
      <c r="G74" s="34">
        <v>0.423869032746657</v>
      </c>
    </row>
    <row r="75" spans="1:7" ht="25.5">
      <c r="A75" s="64" t="s">
        <v>313</v>
      </c>
      <c r="B75" s="65">
        <v>99.55969</v>
      </c>
      <c r="C75" s="65">
        <v>39.24266543982371</v>
      </c>
      <c r="D75" s="65">
        <v>0.0581889015485342</v>
      </c>
      <c r="E75" s="65">
        <v>0.020927773201539723</v>
      </c>
      <c r="F75" s="65">
        <v>0.059010824949824715</v>
      </c>
      <c r="G75" s="65">
        <v>-0.03535402559073453</v>
      </c>
    </row>
    <row r="76" ht="15.75">
      <c r="A76" s="42" t="s">
        <v>22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81"/>
  <sheetViews>
    <sheetView zoomScalePageLayoutView="0" workbookViewId="0" topLeftCell="A1">
      <selection activeCell="K17" sqref="K17"/>
    </sheetView>
  </sheetViews>
  <sheetFormatPr defaultColWidth="9.00390625" defaultRowHeight="15.75"/>
  <cols>
    <col min="1" max="1" width="28.25390625" style="0" customWidth="1"/>
    <col min="2" max="2" width="11.50390625" style="0" customWidth="1"/>
    <col min="3" max="3" width="10.50390625" style="0" customWidth="1"/>
    <col min="4" max="5" width="8.125" style="0" customWidth="1"/>
    <col min="6" max="6" width="10.125" style="0" customWidth="1"/>
    <col min="7" max="7" width="9.50390625" style="0" customWidth="1"/>
  </cols>
  <sheetData>
    <row r="1" spans="1:7" ht="15.75">
      <c r="A1" s="96" t="s">
        <v>202</v>
      </c>
      <c r="B1" s="96"/>
      <c r="C1" s="96"/>
      <c r="D1" s="96"/>
      <c r="E1" s="96"/>
      <c r="F1" s="96"/>
      <c r="G1" s="96"/>
    </row>
    <row r="2" spans="1:7" ht="15.75">
      <c r="A2" s="96" t="s">
        <v>24</v>
      </c>
      <c r="B2" s="96"/>
      <c r="C2" s="96"/>
      <c r="D2" s="96"/>
      <c r="E2" s="96"/>
      <c r="F2" s="96"/>
      <c r="G2" s="96"/>
    </row>
    <row r="3" ht="15.75">
      <c r="A3" s="5"/>
    </row>
    <row r="4" spans="1:7" ht="57" customHeight="1">
      <c r="A4" s="104"/>
      <c r="B4" s="107" t="s">
        <v>207</v>
      </c>
      <c r="C4" s="102"/>
      <c r="D4" s="107" t="s">
        <v>0</v>
      </c>
      <c r="E4" s="102"/>
      <c r="F4" s="99" t="s">
        <v>205</v>
      </c>
      <c r="G4" s="108"/>
    </row>
    <row r="5" spans="1:7" ht="26.25" customHeight="1">
      <c r="A5" s="105"/>
      <c r="B5" s="109" t="s">
        <v>181</v>
      </c>
      <c r="C5" s="97" t="s">
        <v>208</v>
      </c>
      <c r="D5" s="111" t="s">
        <v>179</v>
      </c>
      <c r="E5" s="111"/>
      <c r="F5" s="111" t="s">
        <v>179</v>
      </c>
      <c r="G5" s="107"/>
    </row>
    <row r="6" spans="1:7" ht="26.25" customHeight="1">
      <c r="A6" s="106"/>
      <c r="B6" s="110"/>
      <c r="C6" s="98"/>
      <c r="D6" s="27">
        <v>2018</v>
      </c>
      <c r="E6" s="27">
        <v>2019</v>
      </c>
      <c r="F6" s="27" t="s">
        <v>178</v>
      </c>
      <c r="G6" s="23" t="s">
        <v>209</v>
      </c>
    </row>
    <row r="7" spans="1:7" ht="15.75">
      <c r="A7" s="62" t="s">
        <v>237</v>
      </c>
      <c r="B7" s="30">
        <v>831837.78281</v>
      </c>
      <c r="C7" s="30">
        <v>103.73564295739888</v>
      </c>
      <c r="D7" s="30">
        <v>100</v>
      </c>
      <c r="E7" s="30">
        <v>100</v>
      </c>
      <c r="F7" s="30">
        <v>33.758185712663526</v>
      </c>
      <c r="G7" s="30">
        <v>3.735642957398873</v>
      </c>
    </row>
    <row r="8" spans="1:7" ht="12" customHeight="1">
      <c r="A8" s="60" t="s">
        <v>258</v>
      </c>
      <c r="B8" s="63"/>
      <c r="C8" s="63"/>
      <c r="D8" s="63"/>
      <c r="E8" s="63"/>
      <c r="F8" s="63"/>
      <c r="G8" s="63"/>
    </row>
    <row r="9" spans="1:7" ht="12.75" customHeight="1">
      <c r="A9" s="61" t="s">
        <v>265</v>
      </c>
      <c r="B9" s="32">
        <f>IF(95263.14681="","-",95263.14681)</f>
        <v>95263.14681</v>
      </c>
      <c r="C9" s="32">
        <f>IF(89034.52549="","-",95263.14681/89034.52549*100)</f>
        <v>106.9957370870692</v>
      </c>
      <c r="D9" s="32">
        <f>IF(89034.52549="","-",89034.52549/801882.32231*100)</f>
        <v>11.10319095618872</v>
      </c>
      <c r="E9" s="32">
        <f>IF(95263.14681="","-",95263.14681/831837.78281*100)</f>
        <v>11.452130304564328</v>
      </c>
      <c r="F9" s="32">
        <f>IF(599501.49446="","-",(89034.52549-71185.695)/599501.49446*100)</f>
        <v>2.9772787315696854</v>
      </c>
      <c r="G9" s="32">
        <f>IF(801882.32231="","-",(95263.14681-89034.52549)/801882.32231*100)</f>
        <v>0.776750047570207</v>
      </c>
    </row>
    <row r="10" spans="1:7" ht="14.25" customHeight="1">
      <c r="A10" s="33" t="s">
        <v>26</v>
      </c>
      <c r="B10" s="34">
        <f>IF(480.87361="","-",480.87361)</f>
        <v>480.87361</v>
      </c>
      <c r="C10" s="34">
        <f>IF(OR(776.13211="",480.87361=""),"-",480.87361/776.13211*100)</f>
        <v>61.95770073216015</v>
      </c>
      <c r="D10" s="34">
        <f>IF(776.13211="","-",776.13211/801882.32231*100)</f>
        <v>0.09678877915205553</v>
      </c>
      <c r="E10" s="34">
        <f>IF(480.87361="","-",480.87361/831837.78281*100)</f>
        <v>0.057808579982455095</v>
      </c>
      <c r="F10" s="34">
        <f>IF(OR(599501.49446="",547.24997="",776.13211=""),"-",(776.13211-547.24997)/599501.49446*100)</f>
        <v>0.03817874385887316</v>
      </c>
      <c r="G10" s="34">
        <f>IF(OR(801882.32231="",480.87361="",776.13211=""),"-",(480.87361-776.13211)/801882.32231*100)</f>
        <v>-0.036820677022713556</v>
      </c>
    </row>
    <row r="11" spans="1:7" s="9" customFormat="1" ht="13.5" customHeight="1">
      <c r="A11" s="33" t="s">
        <v>266</v>
      </c>
      <c r="B11" s="34">
        <f>IF(6334.16845="","-",6334.16845)</f>
        <v>6334.16845</v>
      </c>
      <c r="C11" s="34">
        <f>IF(OR(4982.40354="",6334.16845=""),"-",6334.16845/4982.40354*100)</f>
        <v>127.13077933466626</v>
      </c>
      <c r="D11" s="34">
        <f>IF(4982.40354="","-",4982.40354/801882.32231*100)</f>
        <v>0.621338493364847</v>
      </c>
      <c r="E11" s="34">
        <f>IF(6334.16845="","-",6334.16845/831837.78281*100)</f>
        <v>0.7614667884647873</v>
      </c>
      <c r="F11" s="34">
        <f>IF(OR(599501.49446="",2937.59115="",4982.40354=""),"-",(4982.40354-2937.59115)/599501.49446*100)</f>
        <v>0.34108545331348367</v>
      </c>
      <c r="G11" s="34">
        <f>IF(OR(801882.32231="",6334.16845="",4982.40354=""),"-",(6334.16845-4982.40354)/801882.32231*100)</f>
        <v>0.16857397555615655</v>
      </c>
    </row>
    <row r="12" spans="1:7" s="9" customFormat="1" ht="13.5" customHeight="1">
      <c r="A12" s="33" t="s">
        <v>267</v>
      </c>
      <c r="B12" s="34">
        <f>IF(10202.02429="","-",10202.02429)</f>
        <v>10202.02429</v>
      </c>
      <c r="C12" s="34">
        <f>IF(OR(8727.21606="",10202.02429=""),"-",10202.02429/8727.21606*100)</f>
        <v>116.8989540291042</v>
      </c>
      <c r="D12" s="34">
        <f>IF(8727.21606="","-",8727.21606/801882.32231*100)</f>
        <v>1.0883412462391389</v>
      </c>
      <c r="E12" s="34">
        <f>IF(10202.02429="","-",10202.02429/831837.78281*100)</f>
        <v>1.2264439654973263</v>
      </c>
      <c r="F12" s="34">
        <f>IF(OR(599501.49446="",8224.00336="",8727.21606=""),"-",(8727.21606-8224.00336)/599501.49446*100)</f>
        <v>0.08393852303125085</v>
      </c>
      <c r="G12" s="34">
        <f>IF(OR(801882.32231="",10202.02429="",8727.21606=""),"-",(10202.02429-8727.21606)/801882.32231*100)</f>
        <v>0.18391828688173179</v>
      </c>
    </row>
    <row r="13" spans="1:7" s="9" customFormat="1" ht="14.25" customHeight="1">
      <c r="A13" s="33" t="s">
        <v>268</v>
      </c>
      <c r="B13" s="34">
        <f>IF(7923.36155="","-",7923.36155)</f>
        <v>7923.36155</v>
      </c>
      <c r="C13" s="34">
        <f>IF(OR(8163.0248="",7923.36155=""),"-",7923.36155/8163.0248*100)</f>
        <v>97.06403868820782</v>
      </c>
      <c r="D13" s="34">
        <f>IF(8163.0248="","-",8163.0248/801882.32231*100)</f>
        <v>1.0179828851301518</v>
      </c>
      <c r="E13" s="34">
        <f>IF(7923.36155="","-",7923.36155/831837.78281*100)</f>
        <v>0.9525128232615726</v>
      </c>
      <c r="F13" s="34">
        <f>IF(OR(599501.49446="",5649.01499="",8163.0248=""),"-",(8163.0248-5649.01499)/599501.49446*100)</f>
        <v>0.4193500488709358</v>
      </c>
      <c r="G13" s="34">
        <f>IF(OR(801882.32231="",7923.36155="",8163.0248=""),"-",(7923.36155-8163.0248)/801882.32231*100)</f>
        <v>-0.029887583668087025</v>
      </c>
    </row>
    <row r="14" spans="1:7" s="9" customFormat="1" ht="15.75" customHeight="1">
      <c r="A14" s="33" t="s">
        <v>270</v>
      </c>
      <c r="B14" s="34">
        <f>IF(13282.04615="","-",13282.04615)</f>
        <v>13282.04615</v>
      </c>
      <c r="C14" s="34">
        <f>IF(OR(14055.92858="",13282.04615=""),"-",13282.04615/14055.92858*100)</f>
        <v>94.49426321715131</v>
      </c>
      <c r="D14" s="34">
        <f>IF(14055.92858="","-",14055.92858/801882.32231*100)</f>
        <v>1.7528667472689483</v>
      </c>
      <c r="E14" s="34">
        <f>IF(13282.04615="","-",13282.04615/831837.78281*100)</f>
        <v>1.596711092532058</v>
      </c>
      <c r="F14" s="34">
        <f>IF(OR(599501.49446="",8785.21198="",14055.92858=""),"-",(14055.92858-8785.21198)/599501.49446*100)</f>
        <v>0.8791832295176494</v>
      </c>
      <c r="G14" s="34">
        <f>IF(OR(801882.32231="",13282.04615="",14055.92858=""),"-",(13282.04615-14055.92858)/801882.32231*100)</f>
        <v>-0.09650822925870962</v>
      </c>
    </row>
    <row r="15" spans="1:7" s="9" customFormat="1" ht="14.25" customHeight="1">
      <c r="A15" s="33" t="s">
        <v>271</v>
      </c>
      <c r="B15" s="34">
        <f>IF(31812.87478="","-",31812.87478)</f>
        <v>31812.87478</v>
      </c>
      <c r="C15" s="34">
        <f>IF(OR(27055.99734="",31812.87478=""),"-",31812.87478/27055.99734*100)</f>
        <v>117.58160078234245</v>
      </c>
      <c r="D15" s="34">
        <f>IF(27055.99734="","-",27055.99734/801882.32231*100)</f>
        <v>3.374060830030421</v>
      </c>
      <c r="E15" s="34">
        <f>IF(31812.87478="","-",31812.87478/831837.78281*100)</f>
        <v>3.8244084889404903</v>
      </c>
      <c r="F15" s="34">
        <f>IF(OR(599501.49446="",17348.55442="",27055.99734=""),"-",(27055.99734-17348.55442)/599501.49446*100)</f>
        <v>1.6192524972342173</v>
      </c>
      <c r="G15" s="34">
        <f>IF(OR(801882.32231="",31812.87478="",27055.99734=""),"-",(31812.87478-27055.99734)/801882.32231*100)</f>
        <v>0.5932139052893391</v>
      </c>
    </row>
    <row r="16" spans="1:7" s="9" customFormat="1" ht="14.25" customHeight="1">
      <c r="A16" s="33" t="s">
        <v>32</v>
      </c>
      <c r="B16" s="34">
        <f>IF(3232.40112="","-",3232.40112)</f>
        <v>3232.40112</v>
      </c>
      <c r="C16" s="34">
        <f>IF(OR(3515.09728="",3232.40112=""),"-",3232.40112/3515.09728*100)</f>
        <v>91.95765757014838</v>
      </c>
      <c r="D16" s="34">
        <f>IF(3515.09728="","-",3515.09728/801882.32231*100)</f>
        <v>0.438355751486575</v>
      </c>
      <c r="E16" s="34">
        <f>IF(3232.40112="","-",3232.40112/831837.78281*100)</f>
        <v>0.3885855135217286</v>
      </c>
      <c r="F16" s="34">
        <f>IF(OR(599501.49446="",9586.41007="",3515.09728=""),"-",(3515.09728-9586.41007)/599501.49446*100)</f>
        <v>-1.0127268816016424</v>
      </c>
      <c r="G16" s="34">
        <f>IF(OR(801882.32231="",3232.40112="",3515.09728=""),"-",(3232.40112-3515.09728)/801882.32231*100)</f>
        <v>-0.03525407059549972</v>
      </c>
    </row>
    <row r="17" spans="1:7" s="9" customFormat="1" ht="25.5">
      <c r="A17" s="33" t="s">
        <v>272</v>
      </c>
      <c r="B17" s="34">
        <f>IF(7185.34363="","-",7185.34363)</f>
        <v>7185.34363</v>
      </c>
      <c r="C17" s="34">
        <f>IF(OR(6915.77641="",7185.34363=""),"-",7185.34363/6915.77641*100)</f>
        <v>103.89785909807921</v>
      </c>
      <c r="D17" s="34">
        <f>IF(6915.77641="","-",6915.77641/801882.32231*100)</f>
        <v>0.8624428070789204</v>
      </c>
      <c r="E17" s="34">
        <f>IF(7185.34363="","-",7185.34363/831837.78281*100)</f>
        <v>0.8637914481027131</v>
      </c>
      <c r="F17" s="34">
        <f>IF(OR(599501.49446="",5078.13932="",6915.77641=""),"-",(6915.77641-5078.13932)/599501.49446*100)</f>
        <v>0.3065275244485001</v>
      </c>
      <c r="G17" s="34">
        <f>IF(OR(801882.32231="",7185.34363="",6915.77641=""),"-",(7185.34363-6915.77641)/801882.32231*100)</f>
        <v>0.03361680542145532</v>
      </c>
    </row>
    <row r="18" spans="1:7" s="9" customFormat="1" ht="25.5">
      <c r="A18" s="33" t="s">
        <v>34</v>
      </c>
      <c r="B18" s="34">
        <f>IF(4500.0176="","-",4500.0176)</f>
        <v>4500.0176</v>
      </c>
      <c r="C18" s="34">
        <f>IF(OR(5263.53674="",4500.0176=""),"-",4500.0176/5263.53674*100)</f>
        <v>85.49418047759274</v>
      </c>
      <c r="D18" s="34">
        <f>IF(5263.53674="","-",5263.53674/801882.32231*100)</f>
        <v>0.6563976525679247</v>
      </c>
      <c r="E18" s="34">
        <f>IF(4500.0176="","-",4500.0176/831837.78281*100)</f>
        <v>0.540972974898863</v>
      </c>
      <c r="F18" s="34">
        <f>IF(OR(599501.49446="",4022.75787="",5263.53674=""),"-",(5263.53674-4022.75787)/599501.49446*100)</f>
        <v>0.20696843652035085</v>
      </c>
      <c r="G18" s="34">
        <f>IF(OR(801882.32231="",4500.0176="",5263.53674=""),"-",(4500.0176-5263.53674)/801882.32231*100)</f>
        <v>-0.09521585883082109</v>
      </c>
    </row>
    <row r="19" spans="1:7" s="9" customFormat="1" ht="13.5" customHeight="1">
      <c r="A19" s="33" t="s">
        <v>273</v>
      </c>
      <c r="B19" s="34">
        <f>IF(10310.03563="","-",10310.03563)</f>
        <v>10310.03563</v>
      </c>
      <c r="C19" s="34">
        <f>IF(OR(9579.41263="",10310.03563=""),"-",10310.03563/9579.41263*100)</f>
        <v>107.62701251339666</v>
      </c>
      <c r="D19" s="34">
        <f>IF(9579.41263="","-",9579.41263/801882.32231*100)</f>
        <v>1.1946157638697381</v>
      </c>
      <c r="E19" s="34">
        <f>IF(10310.03563="","-",10310.03563/831837.78281*100)</f>
        <v>1.2394286293623327</v>
      </c>
      <c r="F19" s="34">
        <f>IF(OR(599501.49446="",9006.76187="",9579.41263=""),"-",(9579.41263-9006.76187)/599501.49446*100)</f>
        <v>0.09552115637606787</v>
      </c>
      <c r="G19" s="34">
        <f>IF(OR(801882.32231="",10310.03563="",9579.41263=""),"-",(10310.03563-9579.41263)/801882.32231*100)</f>
        <v>0.09111349379735394</v>
      </c>
    </row>
    <row r="20" spans="1:7" s="9" customFormat="1" ht="13.5" customHeight="1">
      <c r="A20" s="61" t="s">
        <v>274</v>
      </c>
      <c r="B20" s="32">
        <f>IF(11662.58975="","-",11662.58975)</f>
        <v>11662.58975</v>
      </c>
      <c r="C20" s="32">
        <f>IF(8369.83856="","-",11662.58975/8369.83856*100)</f>
        <v>139.34067743834711</v>
      </c>
      <c r="D20" s="32">
        <f>IF(8369.83856="","-",8369.83856/801882.32231*100)</f>
        <v>1.0437739213266135</v>
      </c>
      <c r="E20" s="32">
        <f>IF(11662.58975="","-",11662.58975/831837.78281*100)</f>
        <v>1.4020269325352164</v>
      </c>
      <c r="F20" s="32">
        <f>IF(599501.49446="","-",(8369.83856-10117.62682)/599501.49446*100)</f>
        <v>-0.29154026739738437</v>
      </c>
      <c r="G20" s="32">
        <f>IF(801882.32231="","-",(11662.58975-8369.83856)/801882.32231*100)</f>
        <v>0.4106277315746903</v>
      </c>
    </row>
    <row r="21" spans="1:7" s="9" customFormat="1" ht="15" customHeight="1">
      <c r="A21" s="33" t="s">
        <v>337</v>
      </c>
      <c r="B21" s="34">
        <f>IF(5851.16134="","-",5851.16134)</f>
        <v>5851.16134</v>
      </c>
      <c r="C21" s="34">
        <f>IF(OR(5836.88636="",5851.16134=""),"-",5851.16134/5836.88636*100)</f>
        <v>100.24456498070316</v>
      </c>
      <c r="D21" s="34">
        <f>IF(5836.88636="","-",5836.88636/801882.32231*100)</f>
        <v>0.7278981214083327</v>
      </c>
      <c r="E21" s="34">
        <f>IF(5851.16134="","-",5851.16134/831837.78281*100)</f>
        <v>0.7034017281872448</v>
      </c>
      <c r="F21" s="34">
        <f>IF(OR(599501.49446="",4619.61641="",5836.88636=""),"-",(5836.88636-4619.61641)/599501.49446*100)</f>
        <v>0.2030470251114978</v>
      </c>
      <c r="G21" s="34">
        <f>IF(OR(801882.32231="",5851.16134="",5836.88636=""),"-",(5851.16134-5836.88636)/801882.32231*100)</f>
        <v>0.0017801839001609346</v>
      </c>
    </row>
    <row r="22" spans="1:7" s="9" customFormat="1" ht="14.25" customHeight="1">
      <c r="A22" s="33" t="s">
        <v>275</v>
      </c>
      <c r="B22" s="34">
        <f>IF(5811.42841="","-",5811.42841)</f>
        <v>5811.42841</v>
      </c>
      <c r="C22" s="34" t="s">
        <v>176</v>
      </c>
      <c r="D22" s="34">
        <f>IF(2532.9522="","-",2532.9522/801882.32231*100)</f>
        <v>0.3158757999182809</v>
      </c>
      <c r="E22" s="34">
        <f>IF(5811.42841="","-",5811.42841/831837.78281*100)</f>
        <v>0.6986252043479718</v>
      </c>
      <c r="F22" s="34">
        <f>IF(OR(599501.49446="",5498.01041="",2532.9522=""),"-",(2532.9522-5498.01041)/599501.49446*100)</f>
        <v>-0.4945872925088821</v>
      </c>
      <c r="G22" s="34">
        <f>IF(OR(801882.32231="",5811.42841="",2532.9522=""),"-",(5811.42841-2532.9522)/801882.32231*100)</f>
        <v>0.40884754767452935</v>
      </c>
    </row>
    <row r="23" spans="1:7" s="9" customFormat="1" ht="25.5">
      <c r="A23" s="61" t="s">
        <v>38</v>
      </c>
      <c r="B23" s="32">
        <f>IF(24103.3813="","-",24103.3813)</f>
        <v>24103.3813</v>
      </c>
      <c r="C23" s="32">
        <f>IF(26401.15916="","-",24103.3813/26401.15916*100)</f>
        <v>91.29667812661299</v>
      </c>
      <c r="D23" s="32">
        <f>IF(26401.15916="","-",26401.15916/801882.32231*100)</f>
        <v>3.2923982017642692</v>
      </c>
      <c r="E23" s="32">
        <f>IF(24103.3813="","-",24103.3813/831837.78281*100)</f>
        <v>2.8976059753594354</v>
      </c>
      <c r="F23" s="32">
        <f>IF(599501.49446="","-",(26401.15916-18900.16452)/599501.49446*100)</f>
        <v>1.251205327979459</v>
      </c>
      <c r="G23" s="32">
        <f>IF(801882.32231="","-",(24103.3813-26401.15916)/801882.32231*100)</f>
        <v>-0.28654801285315024</v>
      </c>
    </row>
    <row r="24" spans="1:7" s="9" customFormat="1" ht="14.25" customHeight="1">
      <c r="A24" s="33" t="s">
        <v>277</v>
      </c>
      <c r="B24" s="34">
        <f>IF(9823.67676="","-",9823.67676)</f>
        <v>9823.67676</v>
      </c>
      <c r="C24" s="34">
        <f>IF(OR(14185.04938="",9823.67676=""),"-",9823.67676/14185.04938*100)</f>
        <v>69.25373678184545</v>
      </c>
      <c r="D24" s="34">
        <f>IF(14185.04938="","-",14185.04938/801882.32231*100)</f>
        <v>1.768968960325353</v>
      </c>
      <c r="E24" s="34">
        <f>IF(9823.67676="","-",9823.67676/831837.78281*100)</f>
        <v>1.1809606347544117</v>
      </c>
      <c r="F24" s="34">
        <f>IF(OR(599501.49446="",10283.81792="",14185.04938=""),"-",(14185.04938-10283.81792)/599501.49446*100)</f>
        <v>0.6507459107360573</v>
      </c>
      <c r="G24" s="34">
        <f>IF(OR(801882.32231="",9823.67676="",14185.04938=""),"-",(9823.67676-14185.04938)/801882.32231*100)</f>
        <v>-0.5438918527890849</v>
      </c>
    </row>
    <row r="25" spans="1:7" s="9" customFormat="1" ht="25.5">
      <c r="A25" s="33" t="s">
        <v>278</v>
      </c>
      <c r="B25" s="34">
        <f>IF(179.36828="","-",179.36828)</f>
        <v>179.36828</v>
      </c>
      <c r="C25" s="34">
        <f>IF(OR(136.1416="",179.36828=""),"-",179.36828/136.1416*100)</f>
        <v>131.7512648595286</v>
      </c>
      <c r="D25" s="34">
        <f>IF(136.1416="","-",136.1416/801882.32231*100)</f>
        <v>0.016977752995952566</v>
      </c>
      <c r="E25" s="34">
        <f>IF(179.36828="","-",179.36828/831837.78281*100)</f>
        <v>0.021562891672710843</v>
      </c>
      <c r="F25" s="34">
        <f>IF(OR(599501.49446="",80.32898="",136.1416=""),"-",(136.1416-80.32898)/599501.49446*100)</f>
        <v>0.00930983834331775</v>
      </c>
      <c r="G25" s="34">
        <f>IF(OR(801882.32231="",179.36828="",136.1416=""),"-",(179.36828-136.1416)/801882.32231*100)</f>
        <v>0.00539065132094145</v>
      </c>
    </row>
    <row r="26" spans="1:7" s="9" customFormat="1" ht="13.5" customHeight="1">
      <c r="A26" s="33" t="s">
        <v>279</v>
      </c>
      <c r="B26" s="34">
        <f>IF(3658.35673="","-",3658.35673)</f>
        <v>3658.35673</v>
      </c>
      <c r="C26" s="34">
        <f>IF(OR(3455.90521="",3658.35673=""),"-",3658.35673/3455.90521*100)</f>
        <v>105.8581328971115</v>
      </c>
      <c r="D26" s="34">
        <f>IF(3455.90521="","-",3455.90521/801882.32231*100)</f>
        <v>0.4309741110197439</v>
      </c>
      <c r="E26" s="34">
        <f>IF(3658.35673="","-",3658.35673/831837.78281*100)</f>
        <v>0.43979208513970625</v>
      </c>
      <c r="F26" s="34">
        <f>IF(OR(599501.49446="",2776.64379="",3455.90521=""),"-",(3455.90521-2776.64379)/599501.49446*100)</f>
        <v>0.11330437476421029</v>
      </c>
      <c r="G26" s="34">
        <f>IF(OR(801882.32231="",3658.35673="",3455.90521=""),"-",(3658.35673-3455.90521)/801882.32231*100)</f>
        <v>0.02524703617568143</v>
      </c>
    </row>
    <row r="27" spans="1:7" s="9" customFormat="1" ht="15" customHeight="1">
      <c r="A27" s="33" t="s">
        <v>280</v>
      </c>
      <c r="B27" s="34">
        <f>IF(52.70321="","-",52.70321)</f>
        <v>52.70321</v>
      </c>
      <c r="C27" s="34">
        <f>IF(OR(69.17872="",52.70321=""),"-",52.70321/69.17872*100)</f>
        <v>76.18413581517554</v>
      </c>
      <c r="D27" s="34">
        <f>IF(69.17872="","-",69.17872/801882.32231*100)</f>
        <v>0.008627041409357342</v>
      </c>
      <c r="E27" s="34">
        <f>IF(52.70321="","-",52.70321/831837.78281*100)</f>
        <v>0.006335755731359696</v>
      </c>
      <c r="F27" s="34">
        <f>IF(OR(599501.49446="",66.46133="",69.17872=""),"-",(69.17872-66.46133)/599501.49446*100)</f>
        <v>0.00045327493344243943</v>
      </c>
      <c r="G27" s="34">
        <f>IF(OR(801882.32231="",52.70321="",69.17872=""),"-",(52.70321-69.17872)/801882.32231*100)</f>
        <v>-0.002054604465221111</v>
      </c>
    </row>
    <row r="28" spans="1:7" s="9" customFormat="1" ht="38.25">
      <c r="A28" s="33" t="s">
        <v>281</v>
      </c>
      <c r="B28" s="34">
        <f>IF(1233.32056="","-",1233.32056)</f>
        <v>1233.32056</v>
      </c>
      <c r="C28" s="34">
        <f>IF(OR(1402.39628="",1233.32056=""),"-",1233.32056/1402.39628*100)</f>
        <v>87.94379859592895</v>
      </c>
      <c r="D28" s="34">
        <f>IF(1402.39628="","-",1402.39628/801882.32231*100)</f>
        <v>0.17488804042469552</v>
      </c>
      <c r="E28" s="34">
        <f>IF(1233.32056="","-",1233.32056/831837.78281*100)</f>
        <v>0.14826455175356018</v>
      </c>
      <c r="F28" s="34">
        <f>IF(OR(599501.49446="",1140.16096="",1402.39628=""),"-",(1402.39628-1140.16096)/599501.49446*100)</f>
        <v>0.04374222957295679</v>
      </c>
      <c r="G28" s="34">
        <f>IF(OR(801882.32231="",1233.32056="",1402.39628=""),"-",(1233.32056-1402.39628)/801882.32231*100)</f>
        <v>-0.021084854385234473</v>
      </c>
    </row>
    <row r="29" spans="1:7" s="9" customFormat="1" ht="38.25">
      <c r="A29" s="33" t="s">
        <v>282</v>
      </c>
      <c r="B29" s="34">
        <f>IF(2989.78285="","-",2989.78285)</f>
        <v>2989.78285</v>
      </c>
      <c r="C29" s="34" t="s">
        <v>154</v>
      </c>
      <c r="D29" s="34">
        <f>IF(1352.64222="","-",1352.64222/801882.32231*100)</f>
        <v>0.1686833818836926</v>
      </c>
      <c r="E29" s="34">
        <f>IF(2989.78285="","-",2989.78285/831837.78281*100)</f>
        <v>0.35941897708713433</v>
      </c>
      <c r="F29" s="34">
        <f>IF(OR(599501.49446="",747.49297="",1352.64222=""),"-",(1352.64222-747.49297)/599501.49446*100)</f>
        <v>0.10094207530626546</v>
      </c>
      <c r="G29" s="34">
        <f>IF(OR(801882.32231="",2989.78285="",1352.64222=""),"-",(2989.78285-1352.64222)/801882.32231*100)</f>
        <v>0.20416220490855233</v>
      </c>
    </row>
    <row r="30" spans="1:7" s="9" customFormat="1" ht="14.25" customHeight="1">
      <c r="A30" s="33" t="s">
        <v>283</v>
      </c>
      <c r="B30" s="34">
        <f>IF(272.74842="","-",272.74842)</f>
        <v>272.74842</v>
      </c>
      <c r="C30" s="34" t="s">
        <v>154</v>
      </c>
      <c r="D30" s="34">
        <f>IF(122.39358="","-",122.39358/801882.32231*100)</f>
        <v>0.015263284473888654</v>
      </c>
      <c r="E30" s="34">
        <f>IF(272.74842="","-",272.74842/831837.78281*100)</f>
        <v>0.03278865490800848</v>
      </c>
      <c r="F30" s="34">
        <f>IF(OR(599501.49446="",108.97577="",122.39358=""),"-",(122.39358-108.97577)/599501.49446*100)</f>
        <v>0.0022381612262845274</v>
      </c>
      <c r="G30" s="34">
        <f>IF(OR(801882.32231="",272.74842="",122.39358=""),"-",(272.74842-122.39358)/801882.32231*100)</f>
        <v>0.018750237512016668</v>
      </c>
    </row>
    <row r="31" spans="1:7" s="9" customFormat="1" ht="25.5">
      <c r="A31" s="33" t="s">
        <v>45</v>
      </c>
      <c r="B31" s="34">
        <f>IF(5893.42449="","-",5893.42449)</f>
        <v>5893.42449</v>
      </c>
      <c r="C31" s="34">
        <f>IF(OR(5677.45217="",5893.42449=""),"-",5893.42449/5677.45217*100)</f>
        <v>103.80403592197945</v>
      </c>
      <c r="D31" s="34">
        <f>IF(5677.45217="","-",5677.45217/801882.32231*100)</f>
        <v>0.7080156292315859</v>
      </c>
      <c r="E31" s="34">
        <f>IF(5893.42449="","-",5893.42449/831837.78281*100)</f>
        <v>0.7084824243125437</v>
      </c>
      <c r="F31" s="34">
        <f>IF(OR(599501.49446="",3696.2828="",5677.45217=""),"-",(5677.45217-3696.2828)/599501.49446*100)</f>
        <v>0.3304694630969244</v>
      </c>
      <c r="G31" s="34">
        <f>IF(OR(801882.32231="",5893.42449="",5677.45217=""),"-",(5893.42449-5677.45217)/801882.32231*100)</f>
        <v>0.026933168869198235</v>
      </c>
    </row>
    <row r="32" spans="1:7" s="9" customFormat="1" ht="25.5">
      <c r="A32" s="61" t="s">
        <v>284</v>
      </c>
      <c r="B32" s="32">
        <f>IF(164497.15207="","-",164497.15207)</f>
        <v>164497.15207</v>
      </c>
      <c r="C32" s="32">
        <f>IF(144848.6279="","-",164497.15207/144848.6279*100)</f>
        <v>113.56486730655459</v>
      </c>
      <c r="D32" s="32">
        <f>IF(144848.6279="","-",144848.6279/801882.32231*100)</f>
        <v>18.0635766458514</v>
      </c>
      <c r="E32" s="32">
        <f>IF(164497.15207="","-",164497.15207/831837.78281*100)</f>
        <v>19.775147927798898</v>
      </c>
      <c r="F32" s="32">
        <f>IF(599501.49446="","-",(144848.6279-117738.16088)/599501.49446*100)</f>
        <v>4.522168379983724</v>
      </c>
      <c r="G32" s="32">
        <f>IF(801882.32231="","-",(164497.15207-144848.6279)/801882.32231*100)</f>
        <v>2.4503002028275276</v>
      </c>
    </row>
    <row r="33" spans="1:7" s="9" customFormat="1" ht="14.25" customHeight="1">
      <c r="A33" s="33" t="s">
        <v>314</v>
      </c>
      <c r="B33" s="34">
        <f>IF(2431.17642="","-",2431.17642)</f>
        <v>2431.17642</v>
      </c>
      <c r="C33" s="34" t="s">
        <v>21</v>
      </c>
      <c r="D33" s="34">
        <f>IF(1189.63922="","-",1189.63922/801882.32231*100)</f>
        <v>0.14835583562597818</v>
      </c>
      <c r="E33" s="34">
        <f>IF(2431.17642="","-",2431.17642/831837.78281*100)</f>
        <v>0.2922656881233904</v>
      </c>
      <c r="F33" s="34">
        <f>IF(OR(599501.49446="",2647.72063="",1189.63922=""),"-",(1189.63922-2647.72063)/599501.49446*100)</f>
        <v>-0.243215642241787</v>
      </c>
      <c r="G33" s="34">
        <f>IF(OR(801882.32231="",2431.17642="",1189.63922=""),"-",(2431.17642-1189.63922)/801882.32231*100)</f>
        <v>0.15482785509268696</v>
      </c>
    </row>
    <row r="34" spans="1:7" s="9" customFormat="1" ht="25.5">
      <c r="A34" s="33" t="s">
        <v>285</v>
      </c>
      <c r="B34" s="34">
        <f>IF(65258.43414="","-",65258.43414)</f>
        <v>65258.43414</v>
      </c>
      <c r="C34" s="34">
        <f>IF(OR(67810.22705="",65258.43414=""),"-",65258.43414/67810.22705*100)</f>
        <v>96.23686128035166</v>
      </c>
      <c r="D34" s="34">
        <f>IF(67810.22705="","-",67810.22705/801882.32231*100)</f>
        <v>8.45638133718394</v>
      </c>
      <c r="E34" s="34">
        <f>IF(65258.43414="","-",65258.43414/831837.78281*100)</f>
        <v>7.845091373410923</v>
      </c>
      <c r="F34" s="34">
        <f>IF(OR(599501.49446="",56592.30309="",67810.22705=""),"-",(67810.22705-56592.30309)/599501.49446*100)</f>
        <v>1.8712086731501025</v>
      </c>
      <c r="G34" s="34">
        <f>IF(OR(801882.32231="",65258.43414="",67810.22705=""),"-",(65258.43414-67810.22705)/801882.32231*100)</f>
        <v>-0.31822536038068505</v>
      </c>
    </row>
    <row r="35" spans="1:7" s="9" customFormat="1" ht="25.5">
      <c r="A35" s="33" t="s">
        <v>315</v>
      </c>
      <c r="B35" s="34">
        <f>IF(87925.95446="","-",87925.95446)</f>
        <v>87925.95446</v>
      </c>
      <c r="C35" s="34">
        <f>IF(OR(70510.21321="",87925.95446=""),"-",87925.95446/70510.21321*100)</f>
        <v>124.69960089062677</v>
      </c>
      <c r="D35" s="34">
        <f>IF(70510.21321="","-",70510.21321/801882.32231*100)</f>
        <v>8.79308737058571</v>
      </c>
      <c r="E35" s="34">
        <f>IF(87925.95446="","-",87925.95446/831837.78281*100)</f>
        <v>10.570084249236746</v>
      </c>
      <c r="F35" s="34">
        <f>IF(OR(599501.49446="",58497.52273="",70510.21321=""),"-",(70510.21321-58497.52273)/599501.49446*100)</f>
        <v>2.0037799056398375</v>
      </c>
      <c r="G35" s="34">
        <f>IF(OR(801882.32231="",87925.95446="",70510.21321=""),"-",(87925.95446-70510.21321)/801882.32231*100)</f>
        <v>2.171857486498778</v>
      </c>
    </row>
    <row r="36" spans="1:7" s="9" customFormat="1" ht="13.5" customHeight="1">
      <c r="A36" s="33" t="s">
        <v>50</v>
      </c>
      <c r="B36" s="34">
        <f>IF(8881.58705="","-",8881.58705)</f>
        <v>8881.58705</v>
      </c>
      <c r="C36" s="34" t="s">
        <v>168</v>
      </c>
      <c r="D36" s="34">
        <f>IF(5338.54842="","-",5338.54842/801882.32231*100)</f>
        <v>0.6657521024557727</v>
      </c>
      <c r="E36" s="34">
        <f>IF(8881.58705="","-",8881.58705/831837.78281*100)</f>
        <v>1.0677066170278349</v>
      </c>
      <c r="F36" s="34">
        <f>IF(OR(599501.49446="",0.61443="",5338.54842=""),"-",(5338.54842-0.61443)/599501.49446*100)</f>
        <v>0.8903954434355725</v>
      </c>
      <c r="G36" s="34">
        <f>IF(OR(801882.32231="",8881.58705="",5338.54842=""),"-",(8881.58705-5338.54842)/801882.32231*100)</f>
        <v>0.44184022161674436</v>
      </c>
    </row>
    <row r="37" spans="1:7" s="9" customFormat="1" ht="28.5" customHeight="1">
      <c r="A37" s="61" t="s">
        <v>286</v>
      </c>
      <c r="B37" s="32">
        <f>IF(1611.30851="","-",1611.30851)</f>
        <v>1611.30851</v>
      </c>
      <c r="C37" s="32">
        <f>IF(1775.4448="","-",1611.30851/1775.4448*100)</f>
        <v>90.75520173874175</v>
      </c>
      <c r="D37" s="32">
        <f>IF(1775.4448="","-",1775.4448/801882.32231*100)</f>
        <v>0.22140964460788176</v>
      </c>
      <c r="E37" s="32">
        <f>IF(1611.30851="","-",1611.30851/831837.78281*100)</f>
        <v>0.19370465531836017</v>
      </c>
      <c r="F37" s="32">
        <f>IF(599501.49446="","-",(1775.4448-1559.60435)/599501.49446*100)</f>
        <v>0.03600332142531485</v>
      </c>
      <c r="G37" s="32">
        <f>IF(801882.32231="","-",(1611.30851-1775.4448)/801882.32231*100)</f>
        <v>-0.02046887497496751</v>
      </c>
    </row>
    <row r="38" spans="1:7" s="9" customFormat="1" ht="15" customHeight="1">
      <c r="A38" s="33" t="s">
        <v>316</v>
      </c>
      <c r="B38" s="34">
        <f>IF(168.63198="","-",168.63198)</f>
        <v>168.63198</v>
      </c>
      <c r="C38" s="34">
        <f>IF(OR(200.97129="",168.63198=""),"-",168.63198/200.97129*100)</f>
        <v>83.90849260110734</v>
      </c>
      <c r="D38" s="34">
        <f>IF(200.97129="","-",200.97129/801882.32231*100)</f>
        <v>0.025062441758418815</v>
      </c>
      <c r="E38" s="34">
        <f>IF(168.63198="","-",168.63198/831837.78281*100)</f>
        <v>0.020272219353916654</v>
      </c>
      <c r="F38" s="34">
        <f>IF(OR(599501.49446="",129.76376="",200.97129=""),"-",(200.97129-129.76376)/599501.49446*100)</f>
        <v>0.01187779024039633</v>
      </c>
      <c r="G38" s="34">
        <f>IF(OR(801882.32231="",168.63198="",200.97129=""),"-",(168.63198-200.97129)/801882.32231*100)</f>
        <v>-0.004032924669899126</v>
      </c>
    </row>
    <row r="39" spans="1:7" s="9" customFormat="1" ht="25.5">
      <c r="A39" s="33" t="s">
        <v>287</v>
      </c>
      <c r="B39" s="34">
        <f>IF(877.14305="","-",877.14305)</f>
        <v>877.14305</v>
      </c>
      <c r="C39" s="34">
        <f>IF(OR(1089.24863="",877.14305=""),"-",877.14305/1089.24863*100)</f>
        <v>80.52734938945942</v>
      </c>
      <c r="D39" s="34">
        <f>IF(1089.24863="","-",1089.24863/801882.32231*100)</f>
        <v>0.13583646873049623</v>
      </c>
      <c r="E39" s="34">
        <f>IF(877.14305="","-",877.14305/831837.78281*100)</f>
        <v>0.10544640651413499</v>
      </c>
      <c r="F39" s="34">
        <f>IF(OR(599501.49446="",1109.09901="",1089.24863=""),"-",(1089.24863-1109.09901)/599501.49446*100)</f>
        <v>-0.0033111477091279074</v>
      </c>
      <c r="G39" s="34">
        <f>IF(OR(801882.32231="",877.14305="",1089.24863=""),"-",(877.14305-1089.24863)/801882.32231*100)</f>
        <v>-0.026450960957585753</v>
      </c>
    </row>
    <row r="40" spans="1:7" s="9" customFormat="1" ht="63.75">
      <c r="A40" s="33" t="s">
        <v>317</v>
      </c>
      <c r="B40" s="34">
        <f>IF(565.53348="","-",565.53348)</f>
        <v>565.53348</v>
      </c>
      <c r="C40" s="34">
        <f>IF(OR(485.22488="",565.53348=""),"-",565.53348/485.22488*100)</f>
        <v>116.55080011560828</v>
      </c>
      <c r="D40" s="34">
        <f>IF(485.22488="","-",485.22488/801882.32231*100)</f>
        <v>0.060510734118966736</v>
      </c>
      <c r="E40" s="34">
        <f>IF(565.53348="","-",565.53348/831837.78281*100)</f>
        <v>0.06798602945030853</v>
      </c>
      <c r="F40" s="34">
        <f>IF(OR(599501.49446="",320.74158="",485.22488=""),"-",(485.22488-320.74158)/599501.49446*100)</f>
        <v>0.02743667889404647</v>
      </c>
      <c r="G40" s="34">
        <f>IF(OR(801882.32231="",565.53348="",485.22488=""),"-",(565.53348-485.22488)/801882.32231*100)</f>
        <v>0.010015010652517357</v>
      </c>
    </row>
    <row r="41" spans="1:7" s="9" customFormat="1" ht="27" customHeight="1">
      <c r="A41" s="61" t="s">
        <v>288</v>
      </c>
      <c r="B41" s="32">
        <f>IF(108938.90507="","-",108938.90507)</f>
        <v>108938.90507</v>
      </c>
      <c r="C41" s="32">
        <f>IF(112680.06645="","-",108938.90507/112680.06645*100)</f>
        <v>96.67983743898475</v>
      </c>
      <c r="D41" s="32">
        <f>IF(112680.06645="","-",112680.06645/801882.32231*100)</f>
        <v>14.051945443241603</v>
      </c>
      <c r="E41" s="32">
        <f>IF(108938.90507="","-",108938.90507/831837.78281*100)</f>
        <v>13.096171792293152</v>
      </c>
      <c r="F41" s="32">
        <f>IF(599501.49446="","-",(112680.06645-82378.48838)/599501.49446*100)</f>
        <v>5.0544624742418875</v>
      </c>
      <c r="G41" s="32">
        <f>IF(801882.32231="","-",(108938.90507-112680.06645)/801882.32231*100)</f>
        <v>-0.46654743170079616</v>
      </c>
    </row>
    <row r="42" spans="1:7" s="9" customFormat="1" ht="14.25" customHeight="1">
      <c r="A42" s="33" t="s">
        <v>55</v>
      </c>
      <c r="B42" s="34">
        <f>IF(3065.53133="","-",3065.53133)</f>
        <v>3065.53133</v>
      </c>
      <c r="C42" s="34">
        <f>IF(OR(3119.70718="",3065.53133=""),"-",3065.53133/3119.70718*100)</f>
        <v>98.26343156988214</v>
      </c>
      <c r="D42" s="34">
        <f>IF(3119.70718="","-",3119.70718/801882.32231*100)</f>
        <v>0.389048005324895</v>
      </c>
      <c r="E42" s="34">
        <f>IF(3065.53133="","-",3065.53133/831837.78281*100)</f>
        <v>0.3685251371540787</v>
      </c>
      <c r="F42" s="34">
        <f>IF(OR(599501.49446="",2617.2658="",3119.70718=""),"-",(3119.70718-2617.2658)/599501.49446*100)</f>
        <v>0.08380986280152196</v>
      </c>
      <c r="G42" s="34">
        <f>IF(OR(801882.32231="",3065.53133="",3119.70718=""),"-",(3065.53133-3119.70718)/801882.32231*100)</f>
        <v>-0.006756084838475367</v>
      </c>
    </row>
    <row r="43" spans="1:7" s="9" customFormat="1" ht="14.25" customHeight="1">
      <c r="A43" s="33" t="s">
        <v>56</v>
      </c>
      <c r="B43" s="34">
        <f>IF(2009.16676="","-",2009.16676)</f>
        <v>2009.16676</v>
      </c>
      <c r="C43" s="34">
        <f>IF(OR(1639.67114="",2009.16676=""),"-",2009.16676/1639.67114*100)</f>
        <v>122.53473949660419</v>
      </c>
      <c r="D43" s="34">
        <f>IF(1639.67114="","-",1639.67114/801882.32231*100)</f>
        <v>0.2044777761500669</v>
      </c>
      <c r="E43" s="34">
        <f>IF(2009.16676="","-",2009.16676/831837.78281*100)</f>
        <v>0.24153348183018442</v>
      </c>
      <c r="F43" s="34">
        <f>IF(OR(599501.49446="",1690.21643="",1639.67114=""),"-",(1639.67114-1690.21643)/599501.49446*100)</f>
        <v>-0.008431220016478627</v>
      </c>
      <c r="G43" s="34">
        <f>IF(OR(801882.32231="",2009.16676="",1639.67114=""),"-",(2009.16676-1639.67114)/801882.32231*100)</f>
        <v>0.04607853418386704</v>
      </c>
    </row>
    <row r="44" spans="1:7" s="9" customFormat="1" ht="15" customHeight="1">
      <c r="A44" s="33" t="s">
        <v>289</v>
      </c>
      <c r="B44" s="34">
        <f>IF(3233.3075="","-",3233.3075)</f>
        <v>3233.3075</v>
      </c>
      <c r="C44" s="34">
        <f>IF(OR(3337.65012="",3233.3075=""),"-",3233.3075/3337.65012*100)</f>
        <v>96.87376998041964</v>
      </c>
      <c r="D44" s="34">
        <f>IF(3337.65012="","-",3337.65012/801882.32231*100)</f>
        <v>0.41622692346991236</v>
      </c>
      <c r="E44" s="34">
        <f>IF(3233.3075="","-",3233.3075/831837.78281*100)</f>
        <v>0.3886944746700114</v>
      </c>
      <c r="F44" s="34">
        <f>IF(OR(599501.49446="",2121.24247="",3337.65012=""),"-",(3337.65012-2121.24247)/599501.49446*100)</f>
        <v>0.2029031889396167</v>
      </c>
      <c r="G44" s="34">
        <f>IF(OR(801882.32231="",3233.3075="",3337.65012=""),"-",(3233.3075-3337.65012)/801882.32231*100)</f>
        <v>-0.01301221103109217</v>
      </c>
    </row>
    <row r="45" spans="1:7" s="9" customFormat="1" ht="15" customHeight="1">
      <c r="A45" s="33" t="s">
        <v>290</v>
      </c>
      <c r="B45" s="34">
        <f>IF(39545.54047="","-",39545.54047)</f>
        <v>39545.54047</v>
      </c>
      <c r="C45" s="34">
        <f>IF(OR(34290.15627="",39545.54047=""),"-",39545.54047/34290.15627*100)</f>
        <v>115.32621828439396</v>
      </c>
      <c r="D45" s="34">
        <f>IF(34290.15627="","-",34290.15627/801882.32231*100)</f>
        <v>4.276208031525075</v>
      </c>
      <c r="E45" s="34">
        <f>IF(39545.54047="","-",39545.54047/831837.78281*100)</f>
        <v>4.753996667043987</v>
      </c>
      <c r="F45" s="34">
        <f>IF(OR(599501.49446="",28447.40532="",34290.15627=""),"-",(34290.15627-28447.40532)/599501.49446*100)</f>
        <v>0.9746015654661289</v>
      </c>
      <c r="G45" s="34">
        <f>IF(OR(801882.32231="",39545.54047="",34290.15627=""),"-",(39545.54047-34290.15627)/801882.32231*100)</f>
        <v>0.6553809772063187</v>
      </c>
    </row>
    <row r="46" spans="1:7" s="9" customFormat="1" ht="38.25">
      <c r="A46" s="33" t="s">
        <v>291</v>
      </c>
      <c r="B46" s="34">
        <f>IF(15656.41168="","-",15656.41168)</f>
        <v>15656.41168</v>
      </c>
      <c r="C46" s="34">
        <f>IF(OR(16672.43412="",15656.41168=""),"-",15656.41168/16672.43412*100)</f>
        <v>93.90597418057153</v>
      </c>
      <c r="D46" s="34">
        <f>IF(16672.43412="","-",16672.43412/801882.32231*100)</f>
        <v>2.0791621982601334</v>
      </c>
      <c r="E46" s="34">
        <f>IF(15656.41168="","-",15656.41168/831837.78281*100)</f>
        <v>1.882147217106641</v>
      </c>
      <c r="F46" s="34">
        <f>IF(OR(599501.49446="",14089.98054="",16672.43412=""),"-",(16672.43412-14089.98054)/599501.49446*100)</f>
        <v>0.4307668294181889</v>
      </c>
      <c r="G46" s="34">
        <f>IF(OR(801882.32231="",15656.41168="",16672.43412=""),"-",(15656.41168-16672.43412)/801882.32231*100)</f>
        <v>-0.12670468118976913</v>
      </c>
    </row>
    <row r="47" spans="1:7" s="9" customFormat="1" ht="15.75">
      <c r="A47" s="33" t="s">
        <v>318</v>
      </c>
      <c r="B47" s="34">
        <f>IF(9663.04047="","-",9663.04047)</f>
        <v>9663.04047</v>
      </c>
      <c r="C47" s="34">
        <f>IF(OR(17390.42168="",9663.04047=""),"-",9663.04047/17390.42168*100)</f>
        <v>55.56530283054069</v>
      </c>
      <c r="D47" s="34">
        <f>IF(17390.42168="","-",17390.42168/801882.32231*100)</f>
        <v>2.168699969579455</v>
      </c>
      <c r="E47" s="34">
        <f>IF(9663.04047="","-",9663.04047/831837.78281*100)</f>
        <v>1.161649623242364</v>
      </c>
      <c r="F47" s="34">
        <f>IF(OR(599501.49446="",10518.05913="",17390.42168=""),"-",(17390.42168-10518.05913)/599501.49446*100)</f>
        <v>1.1463461915454056</v>
      </c>
      <c r="G47" s="34">
        <f>IF(OR(801882.32231="",9663.04047="",17390.42168=""),"-",(9663.04047-17390.42168)/801882.32231*100)</f>
        <v>-0.9636552639967874</v>
      </c>
    </row>
    <row r="48" spans="1:7" s="9" customFormat="1" ht="14.25" customHeight="1">
      <c r="A48" s="33" t="s">
        <v>61</v>
      </c>
      <c r="B48" s="34">
        <f>IF(6278.5685="","-",6278.5685)</f>
        <v>6278.5685</v>
      </c>
      <c r="C48" s="34">
        <f>IF(OR(6847.39515="",6278.5685=""),"-",6278.5685/6847.39515*100)</f>
        <v>91.69280233520625</v>
      </c>
      <c r="D48" s="34">
        <f>IF(6847.39515="","-",6847.39515/801882.32231*100)</f>
        <v>0.8539152141768831</v>
      </c>
      <c r="E48" s="34">
        <f>IF(6278.5685="","-",6278.5685/831837.78281*100)</f>
        <v>0.7547827989720067</v>
      </c>
      <c r="F48" s="34">
        <f>IF(OR(599501.49446="",4630.41928="",6847.39515=""),"-",(6847.39515-4630.41928)/599501.49446*100)</f>
        <v>0.3698032265952794</v>
      </c>
      <c r="G48" s="34">
        <f>IF(OR(801882.32231="",6278.5685="",6847.39515=""),"-",(6278.5685-6847.39515)/801882.32231*100)</f>
        <v>-0.0709364247314205</v>
      </c>
    </row>
    <row r="49" spans="1:7" s="9" customFormat="1" ht="13.5" customHeight="1">
      <c r="A49" s="33" t="s">
        <v>62</v>
      </c>
      <c r="B49" s="34">
        <f>IF(14542.05994="","-",14542.05994)</f>
        <v>14542.05994</v>
      </c>
      <c r="C49" s="34">
        <f>IF(OR(13447.66192="",14542.05994=""),"-",14542.05994/13447.66192*100)</f>
        <v>108.13820295684529</v>
      </c>
      <c r="D49" s="34">
        <f>IF(13447.66192="","-",13447.66192/801882.32231*100)</f>
        <v>1.6770118938725356</v>
      </c>
      <c r="E49" s="34">
        <f>IF(14542.05994="","-",14542.05994/831837.78281*100)</f>
        <v>1.7481845908556848</v>
      </c>
      <c r="F49" s="34">
        <f>IF(OR(599501.49446="",9791.05958="",13447.66192=""),"-",(13447.66192-9791.05958)/599501.49446*100)</f>
        <v>0.609940487853776</v>
      </c>
      <c r="G49" s="34">
        <f>IF(OR(801882.32231="",14542.05994="",13447.66192=""),"-",(14542.05994-13447.66192)/801882.32231*100)</f>
        <v>0.13647863153378195</v>
      </c>
    </row>
    <row r="50" spans="1:7" s="9" customFormat="1" ht="16.5" customHeight="1">
      <c r="A50" s="33" t="s">
        <v>292</v>
      </c>
      <c r="B50" s="34">
        <f>IF(14945.27842="","-",14945.27842)</f>
        <v>14945.27842</v>
      </c>
      <c r="C50" s="34">
        <f>IF(OR(15934.96887="",14945.27842=""),"-",14945.27842/15934.96887*100)</f>
        <v>93.78919119281592</v>
      </c>
      <c r="D50" s="34">
        <f>IF(15934.96887="","-",15934.96887/801882.32231*100)</f>
        <v>1.9871954308826496</v>
      </c>
      <c r="E50" s="34">
        <f>IF(14945.27842="","-",14945.27842/831837.78281*100)</f>
        <v>1.7966578014181944</v>
      </c>
      <c r="F50" s="34">
        <f>IF(OR(599501.49446="",8472.83983="",15934.96887=""),"-",(15934.96887-8472.83983)/599501.49446*100)</f>
        <v>1.2447223416384476</v>
      </c>
      <c r="G50" s="34">
        <f>IF(OR(801882.32231="",14945.27842="",15934.96887=""),"-",(14945.27842-15934.96887)/801882.32231*100)</f>
        <v>-0.12342090883721904</v>
      </c>
    </row>
    <row r="51" spans="1:7" s="9" customFormat="1" ht="27.75" customHeight="1">
      <c r="A51" s="61" t="s">
        <v>319</v>
      </c>
      <c r="B51" s="32">
        <f>IF(141011.24633="","-",141011.24633)</f>
        <v>141011.24633</v>
      </c>
      <c r="C51" s="32">
        <f>IF(157827.48982="","-",141011.24633/157827.48982*100)</f>
        <v>89.34517458956061</v>
      </c>
      <c r="D51" s="32">
        <f>IF(157827.48982="","-",157827.48982/801882.32231*100)</f>
        <v>19.682126096176166</v>
      </c>
      <c r="E51" s="32">
        <f>IF(141011.24633="","-",141011.24633/831837.78281*100)</f>
        <v>16.95177223781002</v>
      </c>
      <c r="F51" s="32">
        <f>IF(599501.49446="","-",(157827.48982-108553.73089)/599501.49446*100)</f>
        <v>8.219121951377826</v>
      </c>
      <c r="G51" s="32">
        <f>IF(801882.32231="","-",(141011.24633-157827.48982)/801882.32231*100)</f>
        <v>-2.0970961726101</v>
      </c>
    </row>
    <row r="52" spans="1:7" s="9" customFormat="1" ht="15.75">
      <c r="A52" s="33" t="s">
        <v>293</v>
      </c>
      <c r="B52" s="34">
        <f>IF(8154.90847="","-",8154.90847)</f>
        <v>8154.90847</v>
      </c>
      <c r="C52" s="34">
        <f>IF(OR(10747.26086="",8154.90847=""),"-",8154.90847/10747.26086*100)</f>
        <v>75.87894791268704</v>
      </c>
      <c r="D52" s="34">
        <f>IF(10747.26086="","-",10747.26086/801882.32231*100)</f>
        <v>1.3402541197117466</v>
      </c>
      <c r="E52" s="34">
        <f>IF(8154.90847="","-",8154.90847/831837.78281*100)</f>
        <v>0.980348409091519</v>
      </c>
      <c r="F52" s="34">
        <f>IF(OR(599501.49446="",6116.71242="",10747.26086=""),"-",(10747.26086-6116.71242)/599501.49446*100)</f>
        <v>0.7723998159789343</v>
      </c>
      <c r="G52" s="34">
        <f>IF(OR(801882.32231="",8154.90847="",10747.26086=""),"-",(8154.90847-10747.26086)/801882.32231*100)</f>
        <v>-0.3232833943180283</v>
      </c>
    </row>
    <row r="53" spans="1:7" s="9" customFormat="1" ht="15" customHeight="1">
      <c r="A53" s="33" t="s">
        <v>66</v>
      </c>
      <c r="B53" s="34">
        <f>IF(9210.24513="","-",9210.24513)</f>
        <v>9210.24513</v>
      </c>
      <c r="C53" s="34">
        <f>IF(OR(8888.8179="",9210.24513=""),"-",9210.24513/8888.8179*100)</f>
        <v>103.61608521646055</v>
      </c>
      <c r="D53" s="34">
        <f>IF(8888.8179="","-",8888.8179/801882.32231*100)</f>
        <v>1.108494058628676</v>
      </c>
      <c r="E53" s="34">
        <f>IF(9210.24513="","-",9210.24513/831837.78281*100)</f>
        <v>1.1072164934474624</v>
      </c>
      <c r="F53" s="34">
        <f>IF(OR(599501.49446="",6716.27765="",8888.8179=""),"-",(8888.8179-6716.27765)/599501.49446*100)</f>
        <v>0.36239113164461956</v>
      </c>
      <c r="G53" s="34">
        <f>IF(OR(801882.32231="",9210.24513="",8888.8179=""),"-",(9210.24513-8888.8179)/801882.32231*100)</f>
        <v>0.04008408977941512</v>
      </c>
    </row>
    <row r="54" spans="1:7" s="9" customFormat="1" ht="13.5" customHeight="1">
      <c r="A54" s="33" t="s">
        <v>67</v>
      </c>
      <c r="B54" s="34">
        <f>IF(10434.14727="","-",10434.14727)</f>
        <v>10434.14727</v>
      </c>
      <c r="C54" s="34">
        <f>IF(OR(10270.4479="",10434.14727=""),"-",10434.14727/10270.4479*100)</f>
        <v>101.59388735130041</v>
      </c>
      <c r="D54" s="34">
        <f>IF(10270.4479="","-",10270.4479/801882.32231*100)</f>
        <v>1.2807924073464663</v>
      </c>
      <c r="E54" s="34">
        <f>IF(10434.14727="","-",10434.14727/831837.78281*100)</f>
        <v>1.2543488028101824</v>
      </c>
      <c r="F54" s="34">
        <f>IF(OR(599501.49446="",6456.74302="",10270.4479=""),"-",(10270.4479-6456.74302)/599501.49446*100)</f>
        <v>0.6361460171896965</v>
      </c>
      <c r="G54" s="34">
        <f>IF(OR(801882.32231="",10434.14727="",10270.4479=""),"-",(10434.14727-10270.4479)/801882.32231*100)</f>
        <v>0.020414388177111564</v>
      </c>
    </row>
    <row r="55" spans="1:7" s="9" customFormat="1" ht="25.5">
      <c r="A55" s="33" t="s">
        <v>294</v>
      </c>
      <c r="B55" s="34">
        <f>IF(15491.88382="","-",15491.88382)</f>
        <v>15491.88382</v>
      </c>
      <c r="C55" s="34">
        <f>IF(OR(14574.07364="",15491.88382=""),"-",15491.88382/14574.07364*100)</f>
        <v>106.29755415452944</v>
      </c>
      <c r="D55" s="34">
        <f>IF(14574.07364="","-",14574.07364/801882.32231*100)</f>
        <v>1.8174828443675062</v>
      </c>
      <c r="E55" s="34">
        <f>IF(15491.88382="","-",15491.88382/831837.78281*100)</f>
        <v>1.8623683776021145</v>
      </c>
      <c r="F55" s="34">
        <f>IF(OR(599501.49446="",11002.93364="",14574.07364=""),"-",(14574.07364-11002.93364)/599501.49446*100)</f>
        <v>0.5956849203881802</v>
      </c>
      <c r="G55" s="34">
        <f>IF(OR(801882.32231="",15491.88382="",14574.07364=""),"-",(15491.88382-14574.07364)/801882.32231*100)</f>
        <v>0.11445696637332554</v>
      </c>
    </row>
    <row r="56" spans="1:7" s="9" customFormat="1" ht="25.5">
      <c r="A56" s="33" t="s">
        <v>295</v>
      </c>
      <c r="B56" s="34">
        <f>IF(39525.88844="","-",39525.88844)</f>
        <v>39525.88844</v>
      </c>
      <c r="C56" s="34">
        <f>IF(OR(48455.41867="",39525.88844=""),"-",39525.88844/48455.41867*100)</f>
        <v>81.57165808263153</v>
      </c>
      <c r="D56" s="34">
        <f>IF(48455.41867="","-",48455.41867/801882.32231*100)</f>
        <v>6.0427094252949</v>
      </c>
      <c r="E56" s="34">
        <f>IF(39525.88844="","-",39525.88844/831837.78281*100)</f>
        <v>4.751634183587945</v>
      </c>
      <c r="F56" s="34">
        <f>IF(OR(599501.49446="",37817.98673="",48455.41867=""),"-",(48455.41867-37817.98673)/599501.49446*100)</f>
        <v>1.774379553395718</v>
      </c>
      <c r="G56" s="34">
        <f>IF(OR(801882.32231="",39525.88844="",48455.41867=""),"-",(39525.88844-48455.41867)/801882.32231*100)</f>
        <v>-1.1135711539663953</v>
      </c>
    </row>
    <row r="57" spans="1:7" s="9" customFormat="1" ht="13.5" customHeight="1">
      <c r="A57" s="33" t="s">
        <v>69</v>
      </c>
      <c r="B57" s="34">
        <f>IF(14958.13758="","-",14958.13758)</f>
        <v>14958.13758</v>
      </c>
      <c r="C57" s="34">
        <f>IF(OR(14358.53043="",14958.13758=""),"-",14958.13758/14358.53043*100)</f>
        <v>104.17596461506402</v>
      </c>
      <c r="D57" s="34">
        <f>IF(14358.53043="","-",14358.53043/801882.32231*100)</f>
        <v>1.7906031883377935</v>
      </c>
      <c r="E57" s="34">
        <f>IF(14958.13758="","-",14958.13758/831837.78281*100)</f>
        <v>1.7982036749365338</v>
      </c>
      <c r="F57" s="34">
        <f>IF(OR(599501.49446="",9582.75484="",14358.53043=""),"-",(14358.53043-9582.75484)/599501.49446*100)</f>
        <v>0.7966244678508723</v>
      </c>
      <c r="G57" s="34">
        <f>IF(OR(801882.32231="",14958.13758="",14358.53043=""),"-",(14958.13758-14358.53043)/801882.32231*100)</f>
        <v>0.07477495554119443</v>
      </c>
    </row>
    <row r="58" spans="1:7" s="9" customFormat="1" ht="14.25" customHeight="1">
      <c r="A58" s="33" t="s">
        <v>296</v>
      </c>
      <c r="B58" s="34">
        <f>IF(11348.28395="","-",11348.28395)</f>
        <v>11348.28395</v>
      </c>
      <c r="C58" s="34">
        <f>IF(OR(13518.37899="",11348.28395=""),"-",11348.28395/13518.37899*100)</f>
        <v>83.94707648302143</v>
      </c>
      <c r="D58" s="34">
        <f>IF(13518.37899="","-",13518.37899/801882.32231*100)</f>
        <v>1.6858307776454418</v>
      </c>
      <c r="E58" s="34">
        <f>IF(11348.28395="","-",11348.28395/831837.78281*100)</f>
        <v>1.3642424261692931</v>
      </c>
      <c r="F58" s="34">
        <f>IF(OR(599501.49446="",9285.34296="",13518.37899=""),"-",(13518.37899-9285.34296)/599501.49446*100)</f>
        <v>0.7060926568353095</v>
      </c>
      <c r="G58" s="34">
        <f>IF(OR(801882.32231="",11348.28395="",13518.37899=""),"-",(11348.28395-13518.37899)/801882.32231*100)</f>
        <v>-0.27062512536110783</v>
      </c>
    </row>
    <row r="59" spans="1:7" s="9" customFormat="1" ht="14.25" customHeight="1">
      <c r="A59" s="33" t="s">
        <v>71</v>
      </c>
      <c r="B59" s="34">
        <f>IF(13776.33928="","-",13776.33928)</f>
        <v>13776.33928</v>
      </c>
      <c r="C59" s="34">
        <f>IF(OR(15815.47557="",13776.33928=""),"-",13776.33928/15815.47557*100)</f>
        <v>87.10670266616586</v>
      </c>
      <c r="D59" s="34">
        <f>IF(15815.47557="","-",15815.47557/801882.32231*100)</f>
        <v>1.97229383040145</v>
      </c>
      <c r="E59" s="34">
        <f>IF(13776.33928="","-",13776.33928/831837.78281*100)</f>
        <v>1.6561329101285427</v>
      </c>
      <c r="F59" s="34">
        <f>IF(OR(599501.49446="",7918.62059="",15815.47557=""),"-",(15815.47557-7918.62059)/599501.49446*100)</f>
        <v>1.3172369131645085</v>
      </c>
      <c r="G59" s="34">
        <f>IF(OR(801882.32231="",13776.33928="",15815.47557=""),"-",(13776.33928-15815.47557)/801882.32231*100)</f>
        <v>-0.25429370785052546</v>
      </c>
    </row>
    <row r="60" spans="1:7" s="9" customFormat="1" ht="15" customHeight="1">
      <c r="A60" s="33" t="s">
        <v>72</v>
      </c>
      <c r="B60" s="34">
        <f>IF(18111.41239="","-",18111.41239)</f>
        <v>18111.41239</v>
      </c>
      <c r="C60" s="34">
        <f>IF(OR(21199.08586="",18111.41239=""),"-",18111.41239/21199.08586*100)</f>
        <v>85.43487445453462</v>
      </c>
      <c r="D60" s="34">
        <f>IF(21199.08586="","-",21199.08586/801882.32231*100)</f>
        <v>2.6436654444421883</v>
      </c>
      <c r="E60" s="34">
        <f>IF(18111.41239="","-",18111.41239/831837.78281*100)</f>
        <v>2.177276960036429</v>
      </c>
      <c r="F60" s="34">
        <f>IF(OR(599501.49446="",13656.35904="",21199.08586=""),"-",(21199.08586-13656.35904)/599501.49446*100)</f>
        <v>1.2581664749299915</v>
      </c>
      <c r="G60" s="34">
        <f>IF(OR(801882.32231="",18111.41239="",21199.08586=""),"-",(18111.41239-21199.08586)/801882.32231*100)</f>
        <v>-0.38505319098508983</v>
      </c>
    </row>
    <row r="61" spans="1:7" s="9" customFormat="1" ht="15" customHeight="1">
      <c r="A61" s="61" t="s">
        <v>297</v>
      </c>
      <c r="B61" s="32">
        <f>IF(196364.19235="","-",196364.19235)</f>
        <v>196364.19235</v>
      </c>
      <c r="C61" s="32">
        <f>IF(180720.20382="","-",196364.19235/180720.20382*100)</f>
        <v>108.65646906063789</v>
      </c>
      <c r="D61" s="32">
        <f>IF(180720.20382="","-",180720.20382/801882.32231*100)</f>
        <v>22.536998109572405</v>
      </c>
      <c r="E61" s="32">
        <f>IF(196364.19235="","-",196364.19235/831837.78281*100)</f>
        <v>23.606067962754647</v>
      </c>
      <c r="F61" s="32">
        <f>IF(599501.49446="","-",(180720.20382-122820.02265)/599501.49446*100)</f>
        <v>9.65805451780458</v>
      </c>
      <c r="G61" s="32">
        <f>IF(801882.32231="","-",(196364.19235-180720.20382)/801882.32231*100)</f>
        <v>1.9509082685516776</v>
      </c>
    </row>
    <row r="62" spans="1:7" s="9" customFormat="1" ht="25.5">
      <c r="A62" s="33" t="s">
        <v>298</v>
      </c>
      <c r="B62" s="34">
        <f>IF(2203.14394="","-",2203.14394)</f>
        <v>2203.14394</v>
      </c>
      <c r="C62" s="34">
        <f>IF(OR(3670.10649="",2203.14394=""),"-",2203.14394/3670.10649*100)</f>
        <v>60.02942819242283</v>
      </c>
      <c r="D62" s="34">
        <f>IF(3670.10649="","-",3670.10649/801882.32231*100)</f>
        <v>0.4576864195518669</v>
      </c>
      <c r="E62" s="34">
        <f>IF(2203.14394="","-",2203.14394/831837.78281*100)</f>
        <v>0.26485259332145766</v>
      </c>
      <c r="F62" s="34">
        <f>IF(OR(599501.49446="",2296.98043="",3670.10649=""),"-",(3670.10649-2296.98043)/599501.49446*100)</f>
        <v>0.22904464337271438</v>
      </c>
      <c r="G62" s="34">
        <f>IF(OR(801882.32231="",2203.14394="",3670.10649=""),"-",(2203.14394-3670.10649)/801882.32231*100)</f>
        <v>-0.1829398789805079</v>
      </c>
    </row>
    <row r="63" spans="1:7" s="9" customFormat="1" ht="25.5">
      <c r="A63" s="33" t="s">
        <v>299</v>
      </c>
      <c r="B63" s="34">
        <f>IF(25700.98079="","-",25700.98079)</f>
        <v>25700.98079</v>
      </c>
      <c r="C63" s="34">
        <f>IF(OR(24406.50155="",25700.98079=""),"-",25700.98079/24406.50155*100)</f>
        <v>105.3038295445502</v>
      </c>
      <c r="D63" s="34">
        <f>IF(24406.50155="","-",24406.50155/801882.32231*100)</f>
        <v>3.0436512778697575</v>
      </c>
      <c r="E63" s="34">
        <f>IF(25700.98079="","-",25700.98079/831837.78281*100)</f>
        <v>3.0896625906051636</v>
      </c>
      <c r="F63" s="34">
        <f>IF(OR(599501.49446="",14258.78583="",24406.50155=""),"-",(24406.50155-14258.78583)/599501.49446*100)</f>
        <v>1.6926923141602073</v>
      </c>
      <c r="G63" s="34">
        <f>IF(OR(801882.32231="",25700.98079="",24406.50155=""),"-",(25700.98079-24406.50155)/801882.32231*100)</f>
        <v>0.16143007570873566</v>
      </c>
    </row>
    <row r="64" spans="1:7" s="9" customFormat="1" ht="25.5">
      <c r="A64" s="33" t="s">
        <v>300</v>
      </c>
      <c r="B64" s="34">
        <f>IF(1212.12309="","-",1212.12309)</f>
        <v>1212.12309</v>
      </c>
      <c r="C64" s="34">
        <f>IF(OR(1596.32965="",1212.12309=""),"-",1212.12309/1596.32965*100)</f>
        <v>75.93187848136506</v>
      </c>
      <c r="D64" s="34">
        <f>IF(1596.32965="","-",1596.32965/801882.32231*100)</f>
        <v>0.19907280726695883</v>
      </c>
      <c r="E64" s="34">
        <f>IF(1212.12309="","-",1212.12309/831837.78281*100)</f>
        <v>0.1457162820742973</v>
      </c>
      <c r="F64" s="34">
        <f>IF(OR(599501.49446="",1102.00211="",1596.32965=""),"-",(1596.32965-1102.00211)/599501.49446*100)</f>
        <v>0.08245643164664081</v>
      </c>
      <c r="G64" s="34">
        <f>IF(OR(801882.32231="",1212.12309="",1596.32965=""),"-",(1212.12309-1596.32965)/801882.32231*100)</f>
        <v>-0.04791308516356958</v>
      </c>
    </row>
    <row r="65" spans="1:7" s="9" customFormat="1" ht="38.25">
      <c r="A65" s="33" t="s">
        <v>301</v>
      </c>
      <c r="B65" s="34">
        <f>IF(23697.26662="","-",23697.26662)</f>
        <v>23697.26662</v>
      </c>
      <c r="C65" s="34">
        <f>IF(OR(19876.56319="",23697.26662=""),"-",23697.26662/19876.56319*100)</f>
        <v>119.2221532137015</v>
      </c>
      <c r="D65" s="34">
        <f>IF(19876.56319="","-",19876.56319/801882.32231*100)</f>
        <v>2.4787381685558487</v>
      </c>
      <c r="E65" s="34">
        <f>IF(23697.26662="","-",23697.26662/831837.78281*100)</f>
        <v>2.848784595952008</v>
      </c>
      <c r="F65" s="34">
        <f>IF(OR(599501.49446="",15357.74598="",19876.56319=""),"-",(19876.56319-15357.74598)/599501.49446*100)</f>
        <v>0.7537624596032607</v>
      </c>
      <c r="G65" s="34">
        <f>IF(OR(801882.32231="",23697.26662="",19876.56319=""),"-",(23697.26662-19876.56319)/801882.32231*100)</f>
        <v>0.4764668485263042</v>
      </c>
    </row>
    <row r="66" spans="1:7" s="9" customFormat="1" ht="25.5">
      <c r="A66" s="33" t="s">
        <v>302</v>
      </c>
      <c r="B66" s="34">
        <f>IF(7693.85036="","-",7693.85036)</f>
        <v>7693.85036</v>
      </c>
      <c r="C66" s="34">
        <f>IF(OR(9292.71957="",7693.85036=""),"-",7693.85036/9292.71957*100)</f>
        <v>82.79438868292462</v>
      </c>
      <c r="D66" s="34">
        <f>IF(9292.71957="","-",9292.71957/801882.32231*100)</f>
        <v>1.158863253554494</v>
      </c>
      <c r="E66" s="34">
        <f>IF(7693.85036="","-",7693.85036/831837.78281*100)</f>
        <v>0.9249219642331817</v>
      </c>
      <c r="F66" s="34">
        <f>IF(OR(599501.49446="",5819.1333="",9292.71957=""),"-",(9292.71957-5819.1333)/599501.49446*100)</f>
        <v>0.5794124455233971</v>
      </c>
      <c r="G66" s="34">
        <f>IF(OR(801882.32231="",7693.85036="",9292.71957=""),"-",(7693.85036-9292.71957)/801882.32231*100)</f>
        <v>-0.19938950710300002</v>
      </c>
    </row>
    <row r="67" spans="1:7" s="9" customFormat="1" ht="38.25">
      <c r="A67" s="33" t="s">
        <v>303</v>
      </c>
      <c r="B67" s="34">
        <f>IF(21788.18774="","-",21788.18774)</f>
        <v>21788.18774</v>
      </c>
      <c r="C67" s="34">
        <f>IF(OR(21016.08504="",21788.18774=""),"-",21788.18774/21016.08504*100)</f>
        <v>103.6738655107764</v>
      </c>
      <c r="D67" s="34">
        <f>IF(21016.08504="","-",21016.08504/801882.32231*100)</f>
        <v>2.6208440384941403</v>
      </c>
      <c r="E67" s="34">
        <f>IF(21788.18774="","-",21788.18774/831837.78281*100)</f>
        <v>2.6192832533283283</v>
      </c>
      <c r="F67" s="34">
        <f>IF(OR(599501.49446="",13545.96155="",21016.08504=""),"-",(21016.08504-13545.96155)/599501.49446*100)</f>
        <v>1.2460558579138663</v>
      </c>
      <c r="G67" s="34">
        <f>IF(OR(801882.32231="",21788.18774="",21016.08504=""),"-",(21788.18774-21016.08504)/801882.32231*100)</f>
        <v>0.09628628522147567</v>
      </c>
    </row>
    <row r="68" spans="1:7" s="9" customFormat="1" ht="38.25" customHeight="1">
      <c r="A68" s="33" t="s">
        <v>304</v>
      </c>
      <c r="B68" s="34">
        <f>IF(62629.36683="","-",62629.36683)</f>
        <v>62629.36683</v>
      </c>
      <c r="C68" s="34">
        <f>IF(OR(61374.97093="",62629.36683=""),"-",62629.36683/61374.97093*100)</f>
        <v>102.04382320837378</v>
      </c>
      <c r="D68" s="34">
        <f>IF(61374.97093="","-",61374.97093/801882.32231*100)</f>
        <v>7.653862570906387</v>
      </c>
      <c r="E68" s="34">
        <f>IF(62629.36683="","-",62629.36683/831837.78281*100)</f>
        <v>7.529036084227153</v>
      </c>
      <c r="F68" s="34">
        <f>IF(OR(599501.49446="",39519.58868="",61374.97093=""),"-",(61374.97093-39519.58868)/599501.49446*100)</f>
        <v>3.6455926218643047</v>
      </c>
      <c r="G68" s="34">
        <f>IF(OR(801882.32231="",62629.36683="",61374.97093=""),"-",(62629.36683-61374.97093)/801882.32231*100)</f>
        <v>0.1564314195612182</v>
      </c>
    </row>
    <row r="69" spans="1:7" s="9" customFormat="1" ht="25.5">
      <c r="A69" s="33" t="s">
        <v>78</v>
      </c>
      <c r="B69" s="34">
        <f>IF(49948.71414="","-",49948.71414)</f>
        <v>49948.71414</v>
      </c>
      <c r="C69" s="34">
        <f>IF(OR(39246.26446="",49948.71414=""),"-",49948.71414/39246.26446*100)</f>
        <v>127.26998308567174</v>
      </c>
      <c r="D69" s="34">
        <f>IF(39246.26446="","-",39246.26446/801882.32231*100)</f>
        <v>4.894267321786372</v>
      </c>
      <c r="E69" s="34">
        <f>IF(49948.71414="","-",49948.71414/831837.78281*100)</f>
        <v>6.004621955409397</v>
      </c>
      <c r="F69" s="34">
        <f>IF(OR(599501.49446="",30524.37189="",39246.26446=""),"-",(39246.26446-30524.37189)/599501.49446*100)</f>
        <v>1.4548575192220716</v>
      </c>
      <c r="G69" s="34">
        <f>IF(OR(801882.32231="",49948.71414="",39246.26446=""),"-",(49948.71414-39246.26446)/801882.32231*100)</f>
        <v>1.3346658708187027</v>
      </c>
    </row>
    <row r="70" spans="1:7" s="9" customFormat="1" ht="14.25" customHeight="1">
      <c r="A70" s="33" t="s">
        <v>79</v>
      </c>
      <c r="B70" s="34">
        <f>IF(1490.55884="","-",1490.55884)</f>
        <v>1490.55884</v>
      </c>
      <c r="C70" s="34" t="s">
        <v>320</v>
      </c>
      <c r="D70" s="34">
        <f>IF(240.66294="","-",240.66294/801882.32231*100)</f>
        <v>0.030012251586581554</v>
      </c>
      <c r="E70" s="34">
        <f>IF(1490.55884="","-",1490.55884/831837.78281*100)</f>
        <v>0.17918864360366019</v>
      </c>
      <c r="F70" s="34">
        <f>IF(OR(599501.49446="",395.45288="",240.66294=""),"-",(240.66294-395.45288)/599501.49446*100)</f>
        <v>-0.025819775501882077</v>
      </c>
      <c r="G70" s="34">
        <f>IF(OR(801882.32231="",1490.55884="",240.66294=""),"-",(1490.55884-240.66294)/801882.32231*100)</f>
        <v>0.15587023996231736</v>
      </c>
    </row>
    <row r="71" spans="1:7" s="9" customFormat="1" ht="13.5" customHeight="1">
      <c r="A71" s="61" t="s">
        <v>80</v>
      </c>
      <c r="B71" s="32">
        <f>IF(88293.41343="","-",88293.41343)</f>
        <v>88293.41343</v>
      </c>
      <c r="C71" s="32">
        <f>IF(80116.45365="","-",88293.41343/80116.45365*100)</f>
        <v>110.20634265181309</v>
      </c>
      <c r="D71" s="32">
        <f>IF(80116.45365="","-",80116.45365/801882.32231*100)</f>
        <v>9.991048738823268</v>
      </c>
      <c r="E71" s="32">
        <f>IF(88293.41343="","-",88293.41343/831837.78281*100)</f>
        <v>10.614258603611312</v>
      </c>
      <c r="F71" s="32">
        <f>IF(599501.49446="","-",(80116.45365-66168.97889)/599501.49446*100)</f>
        <v>2.326512091944519</v>
      </c>
      <c r="G71" s="32">
        <f>IF(801882.32231="","-",(88293.41343-80116.45365)/801882.32231*100)</f>
        <v>1.019720668793952</v>
      </c>
    </row>
    <row r="72" spans="1:7" s="9" customFormat="1" ht="38.25">
      <c r="A72" s="33" t="s">
        <v>306</v>
      </c>
      <c r="B72" s="34">
        <f>IF(5000.55404="","-",5000.55404)</f>
        <v>5000.55404</v>
      </c>
      <c r="C72" s="34">
        <f>IF(OR(5234.89591="",5000.55404=""),"-",5000.55404/5234.89591*100)</f>
        <v>95.52346648283213</v>
      </c>
      <c r="D72" s="34">
        <f>IF(5234.89591="","-",5234.89591/801882.32231*100)</f>
        <v>0.6528259526809023</v>
      </c>
      <c r="E72" s="34">
        <f>IF(5000.55404="","-",5000.55404/831837.78281*100)</f>
        <v>0.6011453366674229</v>
      </c>
      <c r="F72" s="34">
        <f>IF(OR(599501.49446="",4539.18764="",5234.89591=""),"-",(5234.89591-4539.18764)/599501.49446*100)</f>
        <v>0.11604779578183674</v>
      </c>
      <c r="G72" s="34">
        <f>IF(OR(801882.32231="",5000.55404="",5234.89591=""),"-",(5000.55404-5234.89591)/801882.32231*100)</f>
        <v>-0.029223972580531072</v>
      </c>
    </row>
    <row r="73" spans="1:7" s="9" customFormat="1" ht="14.25" customHeight="1">
      <c r="A73" s="33" t="s">
        <v>307</v>
      </c>
      <c r="B73" s="34">
        <f>IF(7925.59624="","-",7925.59624)</f>
        <v>7925.59624</v>
      </c>
      <c r="C73" s="34">
        <f>IF(OR(7211.11286="",7925.59624=""),"-",7925.59624/7211.11286*100)</f>
        <v>109.9080876124299</v>
      </c>
      <c r="D73" s="34">
        <f>IF(7211.11286="","-",7211.11286/801882.32231*100)</f>
        <v>0.8992732049793528</v>
      </c>
      <c r="E73" s="34">
        <f>IF(7925.59624="","-",7925.59624/831837.78281*100)</f>
        <v>0.9527814681880451</v>
      </c>
      <c r="F73" s="34">
        <f>IF(OR(599501.49446="",6295.39825="",7211.11286=""),"-",(7211.11286-6295.39825)/599501.49446*100)</f>
        <v>0.15274600955329204</v>
      </c>
      <c r="G73" s="34">
        <f>IF(OR(801882.32231="",7925.59624="",7211.11286=""),"-",(7925.59624-7211.11286)/801882.32231*100)</f>
        <v>0.08910077702446062</v>
      </c>
    </row>
    <row r="74" spans="1:7" s="9" customFormat="1" ht="15.75">
      <c r="A74" s="33" t="s">
        <v>308</v>
      </c>
      <c r="B74" s="34">
        <f>IF(1549.50131="","-",1549.50131)</f>
        <v>1549.50131</v>
      </c>
      <c r="C74" s="34">
        <f>IF(OR(1229.27709="",1549.50131=""),"-",1549.50131/1229.27709*100)</f>
        <v>126.04979972416146</v>
      </c>
      <c r="D74" s="34">
        <f>IF(1229.27709="","-",1229.27709/801882.32231*100)</f>
        <v>0.15329893873440115</v>
      </c>
      <c r="E74" s="34">
        <f>IF(1549.50131="","-",1549.50131/831837.78281*100)</f>
        <v>0.18627445663332193</v>
      </c>
      <c r="F74" s="34">
        <f>IF(OR(599501.49446="",4532.96274="",1229.27709=""),"-",(1229.27709-4532.96274)/599501.49446*100)</f>
        <v>-0.5510721291822283</v>
      </c>
      <c r="G74" s="34">
        <f>IF(OR(801882.32231="",1549.50131="",1229.27709=""),"-",(1549.50131-1229.27709)/801882.32231*100)</f>
        <v>0.03993406651957648</v>
      </c>
    </row>
    <row r="75" spans="1:7" s="9" customFormat="1" ht="14.25" customHeight="1">
      <c r="A75" s="33" t="s">
        <v>309</v>
      </c>
      <c r="B75" s="34">
        <f>IF(20134.8357="","-",20134.8357)</f>
        <v>20134.8357</v>
      </c>
      <c r="C75" s="34">
        <f>IF(OR(21406.45716="",20134.8357=""),"-",20134.8357/21406.45716*100)</f>
        <v>94.05963606917567</v>
      </c>
      <c r="D75" s="34">
        <f>IF(21406.45716="","-",21406.45716/801882.32231*100)</f>
        <v>2.669526009543888</v>
      </c>
      <c r="E75" s="34">
        <f>IF(20134.8357="","-",20134.8357/831837.78281*100)</f>
        <v>2.4205243036669084</v>
      </c>
      <c r="F75" s="34">
        <f>IF(OR(599501.49446="",17114.18824="",21406.45716=""),"-",(21406.45716-17114.18824)/599501.49446*100)</f>
        <v>0.7159730141901075</v>
      </c>
      <c r="G75" s="34">
        <f>IF(OR(801882.32231="",20134.8357="",21406.45716=""),"-",(20134.8357-21406.45716)/801882.32231*100)</f>
        <v>-0.15857956019491917</v>
      </c>
    </row>
    <row r="76" spans="1:7" s="9" customFormat="1" ht="15" customHeight="1">
      <c r="A76" s="33" t="s">
        <v>310</v>
      </c>
      <c r="B76" s="34">
        <f>IF(7634.06085="","-",7634.06085)</f>
        <v>7634.06085</v>
      </c>
      <c r="C76" s="34">
        <f>IF(OR(6602.98645="",7634.06085=""),"-",7634.06085/6602.98645*100)</f>
        <v>115.61527360093248</v>
      </c>
      <c r="D76" s="34">
        <f>IF(6602.98645="","-",6602.98645/801882.32231*100)</f>
        <v>0.8234358416804392</v>
      </c>
      <c r="E76" s="34">
        <f>IF(7634.06085="","-",7634.06085/831837.78281*100)</f>
        <v>0.9177343236576325</v>
      </c>
      <c r="F76" s="34">
        <f>IF(OR(599501.49446="",4645.10437="",6602.98645=""),"-",(6602.98645-4645.10437)/599501.49446*100)</f>
        <v>0.32658502073686396</v>
      </c>
      <c r="G76" s="34">
        <f>IF(OR(801882.32231="",7634.06085="",6602.98645=""),"-",(7634.06085-6602.98645)/801882.32231*100)</f>
        <v>0.1285817596065419</v>
      </c>
    </row>
    <row r="77" spans="1:7" s="9" customFormat="1" ht="25.5">
      <c r="A77" s="33" t="s">
        <v>311</v>
      </c>
      <c r="B77" s="34">
        <f>IF(8557.7372="","-",8557.7372)</f>
        <v>8557.7372</v>
      </c>
      <c r="C77" s="34">
        <f>IF(OR(8513.01201="",8557.7372=""),"-",8557.7372/8513.01201*100)</f>
        <v>100.52537444969491</v>
      </c>
      <c r="D77" s="34">
        <f>IF(8513.01201="","-",8513.01201/801882.32231*100)</f>
        <v>1.061628592269796</v>
      </c>
      <c r="E77" s="34">
        <f>IF(8557.7372="","-",8557.7372/831837.78281*100)</f>
        <v>1.0287747655668427</v>
      </c>
      <c r="F77" s="34">
        <f>IF(OR(599501.49446="",6167.72066="",8513.01201=""),"-",(8513.01201-6167.72066)/599501.49446*100)</f>
        <v>0.3912069230306954</v>
      </c>
      <c r="G77" s="34">
        <f>IF(OR(801882.32231="",8557.7372="",8513.01201=""),"-",(8557.7372-8513.01201)/801882.32231*100)</f>
        <v>0.005577525374441273</v>
      </c>
    </row>
    <row r="78" spans="1:7" ht="25.5">
      <c r="A78" s="33" t="s">
        <v>312</v>
      </c>
      <c r="B78" s="34">
        <f>IF(1830.75745="","-",1830.75745)</f>
        <v>1830.75745</v>
      </c>
      <c r="C78" s="34">
        <f>IF(OR(1541.96147="",1830.75745=""),"-",1830.75745/1541.96147*100)</f>
        <v>118.72913076096513</v>
      </c>
      <c r="D78" s="34">
        <f>IF(1541.96147="","-",1541.96147/801882.32231*100)</f>
        <v>0.19229273761242643</v>
      </c>
      <c r="E78" s="34">
        <f>IF(1830.75745="","-",1830.75745/831837.78281*100)</f>
        <v>0.22008587345186303</v>
      </c>
      <c r="F78" s="34">
        <f>IF(OR(599501.49446="",1412.53379="",1541.96147=""),"-",(1541.96147-1412.53379)/599501.49446*100)</f>
        <v>0.02158921724066456</v>
      </c>
      <c r="G78" s="34">
        <f>IF(OR(801882.32231="",1830.75745="",1541.96147=""),"-",(1830.75745-1541.96147)/801882.32231*100)</f>
        <v>0.03601475827127092</v>
      </c>
    </row>
    <row r="79" spans="1:7" ht="13.5" customHeight="1">
      <c r="A79" s="33" t="s">
        <v>86</v>
      </c>
      <c r="B79" s="34">
        <f>IF(35660.37064="","-",35660.37064)</f>
        <v>35660.37064</v>
      </c>
      <c r="C79" s="34">
        <f>IF(OR(28376.7507="",35660.37064=""),"-",35660.37064/28376.7507*100)</f>
        <v>125.66756150837242</v>
      </c>
      <c r="D79" s="34">
        <f>IF(28376.7507="","-",28376.7507/801882.32231*100)</f>
        <v>3.538767461322064</v>
      </c>
      <c r="E79" s="34">
        <f>IF(35660.37064="","-",35660.37064/831837.78281*100)</f>
        <v>4.286938075779275</v>
      </c>
      <c r="F79" s="34">
        <f>IF(OR(599501.49446="",21461.8832="",28376.7507=""),"-",(28376.7507-21461.8832)/599501.49446*100)</f>
        <v>1.1534362405932876</v>
      </c>
      <c r="G79" s="34">
        <f>IF(OR(801882.32231="",35660.37064="",28376.7507=""),"-",(35660.37064-28376.7507)/801882.32231*100)</f>
        <v>0.90831531477311</v>
      </c>
    </row>
    <row r="80" spans="1:7" ht="25.5">
      <c r="A80" s="64" t="s">
        <v>313</v>
      </c>
      <c r="B80" s="65">
        <f>IF(92.44719="","-",92.44719)</f>
        <v>92.44719</v>
      </c>
      <c r="C80" s="65">
        <f>IF(108.51266="","-",92.44719/108.51266*100)</f>
        <v>85.19484270314635</v>
      </c>
      <c r="D80" s="65">
        <f>IF(108.51266="","-",108.51266/801882.32231*100)</f>
        <v>0.013532242447670526</v>
      </c>
      <c r="E80" s="65">
        <f>IF(92.44719="","-",92.44719/831837.78281*100)</f>
        <v>0.011113607954631205</v>
      </c>
      <c r="F80" s="65">
        <f>IF(599501.49446="","-",(108.51266-79.02208)/599501.49446*100)</f>
        <v>0.004919183733906049</v>
      </c>
      <c r="G80" s="65">
        <f>IF(801882.32231="","-",(92.44719-108.51266)/801882.32231*100)</f>
        <v>-0.0020034697801692195</v>
      </c>
    </row>
    <row r="81" ht="15.75">
      <c r="A81" s="42" t="s">
        <v>22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84"/>
  <sheetViews>
    <sheetView zoomScalePageLayoutView="0" workbookViewId="0" topLeftCell="A1">
      <selection activeCell="F17" sqref="F17"/>
    </sheetView>
  </sheetViews>
  <sheetFormatPr defaultColWidth="9.00390625" defaultRowHeight="15.75"/>
  <cols>
    <col min="1" max="1" width="43.50390625" style="0" customWidth="1"/>
    <col min="2" max="3" width="12.25390625" style="0" customWidth="1"/>
    <col min="4" max="4" width="18.625" style="0" customWidth="1"/>
    <col min="6" max="6" width="12.125" style="0" bestFit="1" customWidth="1"/>
  </cols>
  <sheetData>
    <row r="1" spans="1:4" ht="15.75">
      <c r="A1" s="96" t="s">
        <v>203</v>
      </c>
      <c r="B1" s="96"/>
      <c r="C1" s="96"/>
      <c r="D1" s="96"/>
    </row>
    <row r="2" spans="1:4" ht="15.75">
      <c r="A2" s="96" t="s">
        <v>24</v>
      </c>
      <c r="B2" s="96"/>
      <c r="C2" s="96"/>
      <c r="D2" s="96"/>
    </row>
    <row r="3" ht="15.75">
      <c r="A3" s="5"/>
    </row>
    <row r="4" spans="1:5" ht="21.75" customHeight="1">
      <c r="A4" s="97"/>
      <c r="B4" s="101" t="s">
        <v>180</v>
      </c>
      <c r="C4" s="102"/>
      <c r="D4" s="99" t="s">
        <v>210</v>
      </c>
      <c r="E4" s="1"/>
    </row>
    <row r="5" spans="1:5" ht="20.25" customHeight="1">
      <c r="A5" s="98"/>
      <c r="B5" s="24">
        <v>2018</v>
      </c>
      <c r="C5" s="23">
        <v>2019</v>
      </c>
      <c r="D5" s="100"/>
      <c r="E5" s="1"/>
    </row>
    <row r="6" spans="1:6" ht="14.25" customHeight="1">
      <c r="A6" s="66" t="s">
        <v>321</v>
      </c>
      <c r="B6" s="67">
        <v>-365883.93903</v>
      </c>
      <c r="C6" s="67">
        <v>-356107.80886</v>
      </c>
      <c r="D6" s="79">
        <v>97.32807889957738</v>
      </c>
      <c r="F6" s="21"/>
    </row>
    <row r="7" spans="1:4" ht="15.75">
      <c r="A7" s="68" t="s">
        <v>258</v>
      </c>
      <c r="B7" s="63"/>
      <c r="C7" s="63"/>
      <c r="D7" s="72"/>
    </row>
    <row r="8" spans="1:4" ht="15.75">
      <c r="A8" s="61" t="s">
        <v>25</v>
      </c>
      <c r="B8" s="69">
        <v>17184.71081</v>
      </c>
      <c r="C8" s="69">
        <v>23911.38837</v>
      </c>
      <c r="D8" s="80">
        <v>139.14338527061892</v>
      </c>
    </row>
    <row r="9" spans="1:4" ht="15.75">
      <c r="A9" s="33" t="s">
        <v>26</v>
      </c>
      <c r="B9" s="70">
        <v>1936.71512</v>
      </c>
      <c r="C9" s="70">
        <v>-99.42926</v>
      </c>
      <c r="D9" s="81" t="s">
        <v>23</v>
      </c>
    </row>
    <row r="10" spans="1:4" ht="15.75">
      <c r="A10" s="33" t="s">
        <v>27</v>
      </c>
      <c r="B10" s="70">
        <v>-3890.88763</v>
      </c>
      <c r="C10" s="70">
        <v>-5211.35818</v>
      </c>
      <c r="D10" s="81">
        <v>133.93751440722025</v>
      </c>
    </row>
    <row r="11" spans="1:4" ht="15.75">
      <c r="A11" s="33" t="s">
        <v>28</v>
      </c>
      <c r="B11" s="70">
        <v>-6276.53983</v>
      </c>
      <c r="C11" s="70">
        <v>-8320.84226</v>
      </c>
      <c r="D11" s="81">
        <v>132.57053225773922</v>
      </c>
    </row>
    <row r="12" spans="1:4" ht="15.75">
      <c r="A12" s="33" t="s">
        <v>29</v>
      </c>
      <c r="B12" s="70">
        <v>-8161.00403</v>
      </c>
      <c r="C12" s="70">
        <v>-7911.97641</v>
      </c>
      <c r="D12" s="81">
        <v>96.94856638858931</v>
      </c>
    </row>
    <row r="13" spans="1:4" ht="15.75">
      <c r="A13" s="33" t="s">
        <v>30</v>
      </c>
      <c r="B13" s="70">
        <v>22960.88443</v>
      </c>
      <c r="C13" s="70">
        <v>38466.7778</v>
      </c>
      <c r="D13" s="81" t="s">
        <v>168</v>
      </c>
    </row>
    <row r="14" spans="1:4" ht="15.75">
      <c r="A14" s="33" t="s">
        <v>31</v>
      </c>
      <c r="B14" s="70">
        <v>25377.65546</v>
      </c>
      <c r="C14" s="70">
        <v>22158.2468</v>
      </c>
      <c r="D14" s="81">
        <v>87.31400280426062</v>
      </c>
    </row>
    <row r="15" spans="1:4" ht="15.75">
      <c r="A15" s="33" t="s">
        <v>32</v>
      </c>
      <c r="B15" s="70">
        <v>513.78506</v>
      </c>
      <c r="C15" s="70">
        <v>-1125.23401</v>
      </c>
      <c r="D15" s="81" t="s">
        <v>23</v>
      </c>
    </row>
    <row r="16" spans="1:4" ht="15.75">
      <c r="A16" s="33" t="s">
        <v>33</v>
      </c>
      <c r="B16" s="70">
        <v>-5273.46287</v>
      </c>
      <c r="C16" s="70">
        <v>-5407.6661</v>
      </c>
      <c r="D16" s="81">
        <v>102.54487863683394</v>
      </c>
    </row>
    <row r="17" spans="1:4" ht="15.75">
      <c r="A17" s="33" t="s">
        <v>34</v>
      </c>
      <c r="B17" s="70">
        <v>-726.22886</v>
      </c>
      <c r="C17" s="70">
        <v>1173.75461</v>
      </c>
      <c r="D17" s="81" t="s">
        <v>23</v>
      </c>
    </row>
    <row r="18" spans="1:4" ht="15.75">
      <c r="A18" s="33" t="s">
        <v>35</v>
      </c>
      <c r="B18" s="70">
        <v>-9276.20604</v>
      </c>
      <c r="C18" s="70">
        <v>-9810.88462</v>
      </c>
      <c r="D18" s="81">
        <v>105.76397912782886</v>
      </c>
    </row>
    <row r="19" spans="1:4" ht="15.75">
      <c r="A19" s="61" t="s">
        <v>36</v>
      </c>
      <c r="B19" s="69">
        <v>24536.99318</v>
      </c>
      <c r="C19" s="69">
        <v>19591.70779</v>
      </c>
      <c r="D19" s="80">
        <v>79.84559333035605</v>
      </c>
    </row>
    <row r="20" spans="1:4" ht="15.75">
      <c r="A20" s="33" t="s">
        <v>322</v>
      </c>
      <c r="B20" s="70">
        <v>23747.78903</v>
      </c>
      <c r="C20" s="70">
        <v>21229.97655</v>
      </c>
      <c r="D20" s="81">
        <v>89.39769728954847</v>
      </c>
    </row>
    <row r="21" spans="1:4" ht="15.75">
      <c r="A21" s="33" t="s">
        <v>37</v>
      </c>
      <c r="B21" s="70">
        <v>789.20415</v>
      </c>
      <c r="C21" s="70">
        <v>-1638.26876</v>
      </c>
      <c r="D21" s="81" t="s">
        <v>148</v>
      </c>
    </row>
    <row r="22" spans="1:4" ht="15.75">
      <c r="A22" s="61" t="s">
        <v>38</v>
      </c>
      <c r="B22" s="69">
        <v>31858.66652</v>
      </c>
      <c r="C22" s="69">
        <v>34069.00181</v>
      </c>
      <c r="D22" s="80">
        <v>106.93794038307414</v>
      </c>
    </row>
    <row r="23" spans="1:4" ht="15.75">
      <c r="A23" s="33" t="s">
        <v>39</v>
      </c>
      <c r="B23" s="70">
        <v>828.05571</v>
      </c>
      <c r="C23" s="70">
        <v>182.30469</v>
      </c>
      <c r="D23" s="81">
        <v>22.015993344215936</v>
      </c>
    </row>
    <row r="24" spans="1:4" ht="15.75">
      <c r="A24" s="33" t="s">
        <v>40</v>
      </c>
      <c r="B24" s="70">
        <v>38044.16946</v>
      </c>
      <c r="C24" s="70">
        <v>43231.62413</v>
      </c>
      <c r="D24" s="81">
        <v>113.63534739654165</v>
      </c>
    </row>
    <row r="25" spans="1:4" ht="15.75">
      <c r="A25" s="33" t="s">
        <v>41</v>
      </c>
      <c r="B25" s="70">
        <v>-136.10875</v>
      </c>
      <c r="C25" s="70">
        <v>-179.36813</v>
      </c>
      <c r="D25" s="81">
        <v>131.78295296959234</v>
      </c>
    </row>
    <row r="26" spans="1:4" ht="15.75">
      <c r="A26" s="33" t="s">
        <v>42</v>
      </c>
      <c r="B26" s="70">
        <v>-3357.72706</v>
      </c>
      <c r="C26" s="70">
        <v>-3564.6626</v>
      </c>
      <c r="D26" s="81">
        <v>106.16296489566368</v>
      </c>
    </row>
    <row r="27" spans="1:4" ht="15.75">
      <c r="A27" s="33" t="s">
        <v>323</v>
      </c>
      <c r="B27" s="70">
        <v>436.70212</v>
      </c>
      <c r="C27" s="70">
        <v>368.96795</v>
      </c>
      <c r="D27" s="81">
        <v>84.48961731626126</v>
      </c>
    </row>
    <row r="28" spans="1:4" ht="25.5">
      <c r="A28" s="33" t="s">
        <v>324</v>
      </c>
      <c r="B28" s="70">
        <v>-1360.28081</v>
      </c>
      <c r="C28" s="70">
        <v>-1202.8907</v>
      </c>
      <c r="D28" s="81">
        <v>88.42958682920771</v>
      </c>
    </row>
    <row r="29" spans="1:4" ht="25.5">
      <c r="A29" s="33" t="s">
        <v>43</v>
      </c>
      <c r="B29" s="70">
        <v>-1.60976</v>
      </c>
      <c r="C29" s="70">
        <v>-1572.27188</v>
      </c>
      <c r="D29" s="81" t="s">
        <v>325</v>
      </c>
    </row>
    <row r="30" spans="1:4" ht="15.75">
      <c r="A30" s="33" t="s">
        <v>44</v>
      </c>
      <c r="B30" s="70">
        <v>2419.27029</v>
      </c>
      <c r="C30" s="70">
        <v>2110.25516</v>
      </c>
      <c r="D30" s="81">
        <v>87.2269282486828</v>
      </c>
    </row>
    <row r="31" spans="1:4" ht="15.75">
      <c r="A31" s="33" t="s">
        <v>45</v>
      </c>
      <c r="B31" s="70">
        <v>-5013.80468</v>
      </c>
      <c r="C31" s="70">
        <v>-5304.95681</v>
      </c>
      <c r="D31" s="81">
        <v>105.80700981754238</v>
      </c>
    </row>
    <row r="32" spans="1:4" ht="15.75">
      <c r="A32" s="61" t="s">
        <v>46</v>
      </c>
      <c r="B32" s="69">
        <v>-143301.17877</v>
      </c>
      <c r="C32" s="69">
        <v>-162080.67957</v>
      </c>
      <c r="D32" s="80">
        <v>113.10491718295026</v>
      </c>
    </row>
    <row r="33" spans="1:4" ht="15.75">
      <c r="A33" s="33" t="s">
        <v>47</v>
      </c>
      <c r="B33" s="70">
        <v>-1176.62126</v>
      </c>
      <c r="C33" s="70">
        <v>-2431.17642</v>
      </c>
      <c r="D33" s="81" t="s">
        <v>148</v>
      </c>
    </row>
    <row r="34" spans="1:4" ht="15.75">
      <c r="A34" s="33" t="s">
        <v>48</v>
      </c>
      <c r="B34" s="70">
        <v>-66286.56839</v>
      </c>
      <c r="C34" s="70">
        <v>-62843.24627</v>
      </c>
      <c r="D34" s="81">
        <v>94.80539994205002</v>
      </c>
    </row>
    <row r="35" spans="1:4" ht="15.75">
      <c r="A35" s="33" t="s">
        <v>49</v>
      </c>
      <c r="B35" s="70">
        <v>-70500.83184</v>
      </c>
      <c r="C35" s="70">
        <v>-87925.95446</v>
      </c>
      <c r="D35" s="81">
        <v>124.71619435575725</v>
      </c>
    </row>
    <row r="36" spans="1:4" ht="15.75">
      <c r="A36" s="33" t="s">
        <v>50</v>
      </c>
      <c r="B36" s="70">
        <v>-5337.15728</v>
      </c>
      <c r="C36" s="70">
        <v>-8880.30242</v>
      </c>
      <c r="D36" s="81" t="s">
        <v>168</v>
      </c>
    </row>
    <row r="37" spans="1:4" ht="15.75">
      <c r="A37" s="61" t="s">
        <v>51</v>
      </c>
      <c r="B37" s="69">
        <v>12662.1179</v>
      </c>
      <c r="C37" s="69">
        <v>10026.42208</v>
      </c>
      <c r="D37" s="80">
        <v>79.18439994939553</v>
      </c>
    </row>
    <row r="38" spans="1:4" ht="15.75">
      <c r="A38" s="33" t="s">
        <v>52</v>
      </c>
      <c r="B38" s="70">
        <v>-200.97129</v>
      </c>
      <c r="C38" s="70">
        <v>-168.63198</v>
      </c>
      <c r="D38" s="81">
        <v>83.90849260110734</v>
      </c>
    </row>
    <row r="39" spans="1:4" ht="14.25" customHeight="1">
      <c r="A39" s="33" t="s">
        <v>53</v>
      </c>
      <c r="B39" s="70">
        <v>13340.08061</v>
      </c>
      <c r="C39" s="70">
        <v>10760.58754</v>
      </c>
      <c r="D39" s="81">
        <v>80.6635870845761</v>
      </c>
    </row>
    <row r="40" spans="1:4" ht="38.25">
      <c r="A40" s="33" t="s">
        <v>326</v>
      </c>
      <c r="B40" s="70">
        <v>-476.99142</v>
      </c>
      <c r="C40" s="70">
        <v>-565.53348</v>
      </c>
      <c r="D40" s="81">
        <v>118.56261062305902</v>
      </c>
    </row>
    <row r="41" spans="1:4" ht="15" customHeight="1">
      <c r="A41" s="61" t="s">
        <v>54</v>
      </c>
      <c r="B41" s="69">
        <v>-90820.84977</v>
      </c>
      <c r="C41" s="69">
        <v>-88874.54</v>
      </c>
      <c r="D41" s="80">
        <v>97.85697912436521</v>
      </c>
    </row>
    <row r="42" spans="1:4" ht="15.75">
      <c r="A42" s="33" t="s">
        <v>55</v>
      </c>
      <c r="B42" s="70">
        <v>36.89678</v>
      </c>
      <c r="C42" s="70">
        <v>399.30677</v>
      </c>
      <c r="D42" s="81" t="s">
        <v>327</v>
      </c>
    </row>
    <row r="43" spans="1:4" ht="15.75">
      <c r="A43" s="33" t="s">
        <v>56</v>
      </c>
      <c r="B43" s="70">
        <v>-1568.27044</v>
      </c>
      <c r="C43" s="70">
        <v>-1856.16588</v>
      </c>
      <c r="D43" s="81">
        <v>118.35751236884884</v>
      </c>
    </row>
    <row r="44" spans="1:4" ht="15.75">
      <c r="A44" s="33" t="s">
        <v>57</v>
      </c>
      <c r="B44" s="70">
        <v>-3198.67434</v>
      </c>
      <c r="C44" s="70">
        <v>-3137.73606</v>
      </c>
      <c r="D44" s="81">
        <v>98.09488952226378</v>
      </c>
    </row>
    <row r="45" spans="1:4" ht="15.75">
      <c r="A45" s="33" t="s">
        <v>58</v>
      </c>
      <c r="B45" s="70">
        <v>-21665.1076</v>
      </c>
      <c r="C45" s="70">
        <v>-26664.4801</v>
      </c>
      <c r="D45" s="81">
        <v>123.07568737853857</v>
      </c>
    </row>
    <row r="46" spans="1:4" ht="25.5">
      <c r="A46" s="33" t="s">
        <v>59</v>
      </c>
      <c r="B46" s="70">
        <v>-11895.25024</v>
      </c>
      <c r="C46" s="70">
        <v>-13022.08668</v>
      </c>
      <c r="D46" s="81">
        <v>109.47299482789192</v>
      </c>
    </row>
    <row r="47" spans="1:4" ht="15.75">
      <c r="A47" s="33" t="s">
        <v>60</v>
      </c>
      <c r="B47" s="70">
        <v>-17390.42168</v>
      </c>
      <c r="C47" s="70">
        <v>-9663.04047</v>
      </c>
      <c r="D47" s="81">
        <v>55.56530283054069</v>
      </c>
    </row>
    <row r="48" spans="1:4" ht="15.75">
      <c r="A48" s="33" t="s">
        <v>61</v>
      </c>
      <c r="B48" s="70">
        <v>-6410.02706</v>
      </c>
      <c r="C48" s="70">
        <v>-6073.97604</v>
      </c>
      <c r="D48" s="81">
        <v>94.75741651549282</v>
      </c>
    </row>
    <row r="49" spans="1:4" ht="15.75">
      <c r="A49" s="33" t="s">
        <v>62</v>
      </c>
      <c r="B49" s="70">
        <v>-13170.27865</v>
      </c>
      <c r="C49" s="70">
        <v>-14238.84659</v>
      </c>
      <c r="D49" s="81">
        <v>108.11348011987583</v>
      </c>
    </row>
    <row r="50" spans="1:4" ht="15.75">
      <c r="A50" s="33" t="s">
        <v>63</v>
      </c>
      <c r="B50" s="70">
        <v>-15559.71654</v>
      </c>
      <c r="C50" s="70">
        <v>-14617.51495</v>
      </c>
      <c r="D50" s="81">
        <v>93.94460954620965</v>
      </c>
    </row>
    <row r="51" spans="1:4" ht="25.5">
      <c r="A51" s="61" t="s">
        <v>328</v>
      </c>
      <c r="B51" s="69">
        <v>-130327.69272</v>
      </c>
      <c r="C51" s="69">
        <v>-115773.22454</v>
      </c>
      <c r="D51" s="80">
        <v>88.83240554924173</v>
      </c>
    </row>
    <row r="52" spans="1:4" ht="15.75">
      <c r="A52" s="33" t="s">
        <v>65</v>
      </c>
      <c r="B52" s="70">
        <v>-10621.51163</v>
      </c>
      <c r="C52" s="70">
        <v>-8115.32572</v>
      </c>
      <c r="D52" s="81">
        <v>76.40462113771652</v>
      </c>
    </row>
    <row r="53" spans="1:4" ht="15.75">
      <c r="A53" s="33" t="s">
        <v>66</v>
      </c>
      <c r="B53" s="70">
        <v>-8708.59877</v>
      </c>
      <c r="C53" s="70">
        <v>-9148.26238</v>
      </c>
      <c r="D53" s="81">
        <v>105.04861484162737</v>
      </c>
    </row>
    <row r="54" spans="1:4" ht="15.75">
      <c r="A54" s="33" t="s">
        <v>67</v>
      </c>
      <c r="B54" s="70">
        <v>-7856.90417</v>
      </c>
      <c r="C54" s="70">
        <v>-7195.1116</v>
      </c>
      <c r="D54" s="81">
        <v>91.57692959363153</v>
      </c>
    </row>
    <row r="55" spans="1:4" ht="25.5">
      <c r="A55" s="33" t="s">
        <v>329</v>
      </c>
      <c r="B55" s="70">
        <v>-13072.88593</v>
      </c>
      <c r="C55" s="70">
        <v>-14015.54717</v>
      </c>
      <c r="D55" s="81">
        <v>107.21081209648405</v>
      </c>
    </row>
    <row r="56" spans="1:4" ht="25.5">
      <c r="A56" s="33" t="s">
        <v>68</v>
      </c>
      <c r="B56" s="70">
        <v>-35791.71289</v>
      </c>
      <c r="C56" s="70">
        <v>-29636.63235</v>
      </c>
      <c r="D56" s="81">
        <v>82.80305678882527</v>
      </c>
    </row>
    <row r="57" spans="1:4" ht="15.75">
      <c r="A57" s="33" t="s">
        <v>69</v>
      </c>
      <c r="B57" s="70">
        <v>-8069.87008</v>
      </c>
      <c r="C57" s="70">
        <v>-8403.54546</v>
      </c>
      <c r="D57" s="81">
        <v>104.13482964028088</v>
      </c>
    </row>
    <row r="58" spans="1:4" ht="15.75">
      <c r="A58" s="33" t="s">
        <v>70</v>
      </c>
      <c r="B58" s="70">
        <v>-13268.79445</v>
      </c>
      <c r="C58" s="70">
        <v>-11024.19804</v>
      </c>
      <c r="D58" s="81">
        <v>83.08364472403143</v>
      </c>
    </row>
    <row r="59" spans="1:4" ht="15.75">
      <c r="A59" s="33" t="s">
        <v>71</v>
      </c>
      <c r="B59" s="70">
        <v>-15507.41037</v>
      </c>
      <c r="C59" s="70">
        <v>-13704.52048</v>
      </c>
      <c r="D59" s="81">
        <v>88.37401057311415</v>
      </c>
    </row>
    <row r="60" spans="1:4" ht="15.75">
      <c r="A60" s="33" t="s">
        <v>72</v>
      </c>
      <c r="B60" s="70">
        <v>-17430.00443</v>
      </c>
      <c r="C60" s="70">
        <v>-14530.08134</v>
      </c>
      <c r="D60" s="81">
        <v>83.36246498590248</v>
      </c>
    </row>
    <row r="61" spans="1:4" ht="15.75">
      <c r="A61" s="61" t="s">
        <v>330</v>
      </c>
      <c r="B61" s="69">
        <v>-104657.38947</v>
      </c>
      <c r="C61" s="69">
        <v>-73328.2629</v>
      </c>
      <c r="D61" s="80">
        <v>70.06506016569382</v>
      </c>
    </row>
    <row r="62" spans="1:4" ht="15.75">
      <c r="A62" s="33" t="s">
        <v>73</v>
      </c>
      <c r="B62" s="70">
        <v>-3205.62869</v>
      </c>
      <c r="C62" s="70">
        <v>-1343.46064</v>
      </c>
      <c r="D62" s="81">
        <v>41.909427757211645</v>
      </c>
    </row>
    <row r="63" spans="1:4" ht="15.75">
      <c r="A63" s="33" t="s">
        <v>331</v>
      </c>
      <c r="B63" s="70">
        <v>-22164.60975</v>
      </c>
      <c r="C63" s="70">
        <v>-23597.33331</v>
      </c>
      <c r="D63" s="81">
        <v>106.46401437318336</v>
      </c>
    </row>
    <row r="64" spans="1:4" ht="15.75">
      <c r="A64" s="33" t="s">
        <v>74</v>
      </c>
      <c r="B64" s="70">
        <v>-1310.17377</v>
      </c>
      <c r="C64" s="70">
        <v>-814.00523</v>
      </c>
      <c r="D64" s="81">
        <v>62.129562401482055</v>
      </c>
    </row>
    <row r="65" spans="1:4" ht="25.5">
      <c r="A65" s="33" t="s">
        <v>75</v>
      </c>
      <c r="B65" s="70">
        <v>-17152.9717</v>
      </c>
      <c r="C65" s="70">
        <v>-20654.90207</v>
      </c>
      <c r="D65" s="81">
        <v>120.41588146501753</v>
      </c>
    </row>
    <row r="66" spans="1:4" ht="25.5">
      <c r="A66" s="33" t="s">
        <v>76</v>
      </c>
      <c r="B66" s="70">
        <v>-9195.81166</v>
      </c>
      <c r="C66" s="70">
        <v>-7555.78698</v>
      </c>
      <c r="D66" s="81">
        <v>82.16552556057896</v>
      </c>
    </row>
    <row r="67" spans="1:4" ht="25.5">
      <c r="A67" s="33" t="s">
        <v>77</v>
      </c>
      <c r="B67" s="70">
        <v>-20653.24268</v>
      </c>
      <c r="C67" s="70">
        <v>-21003.58806</v>
      </c>
      <c r="D67" s="81">
        <v>101.69632142239466</v>
      </c>
    </row>
    <row r="68" spans="1:4" ht="26.25" customHeight="1">
      <c r="A68" s="33" t="s">
        <v>332</v>
      </c>
      <c r="B68" s="70">
        <v>5869.60684</v>
      </c>
      <c r="C68" s="70">
        <v>46358.46854</v>
      </c>
      <c r="D68" s="81" t="s">
        <v>333</v>
      </c>
    </row>
    <row r="69" spans="1:4" ht="15.75">
      <c r="A69" s="33" t="s">
        <v>78</v>
      </c>
      <c r="B69" s="70">
        <v>-36647.48668</v>
      </c>
      <c r="C69" s="70">
        <v>-45660.79041</v>
      </c>
      <c r="D69" s="81">
        <v>124.59460264956974</v>
      </c>
    </row>
    <row r="70" spans="1:4" ht="15.75">
      <c r="A70" s="33" t="s">
        <v>79</v>
      </c>
      <c r="B70" s="70">
        <v>-197.07138</v>
      </c>
      <c r="C70" s="70">
        <v>943.13526</v>
      </c>
      <c r="D70" s="81" t="s">
        <v>23</v>
      </c>
    </row>
    <row r="71" spans="1:4" ht="15.75">
      <c r="A71" s="61" t="s">
        <v>80</v>
      </c>
      <c r="B71" s="69">
        <v>16835.49328</v>
      </c>
      <c r="C71" s="69">
        <v>-3656.7344</v>
      </c>
      <c r="D71" s="80" t="s">
        <v>23</v>
      </c>
    </row>
    <row r="72" spans="1:4" ht="25.5">
      <c r="A72" s="33" t="s">
        <v>334</v>
      </c>
      <c r="B72" s="70">
        <v>-4129.02763</v>
      </c>
      <c r="C72" s="70">
        <v>-3572.39081</v>
      </c>
      <c r="D72" s="81">
        <v>86.51893690524905</v>
      </c>
    </row>
    <row r="73" spans="1:4" ht="15.75">
      <c r="A73" s="33" t="s">
        <v>81</v>
      </c>
      <c r="B73" s="70">
        <v>18770.22875</v>
      </c>
      <c r="C73" s="70">
        <v>16029.10887</v>
      </c>
      <c r="D73" s="81">
        <v>85.39644925744446</v>
      </c>
    </row>
    <row r="74" spans="1:4" ht="15.75">
      <c r="A74" s="33" t="s">
        <v>82</v>
      </c>
      <c r="B74" s="70">
        <v>1074.84529</v>
      </c>
      <c r="C74" s="70">
        <v>107.81365</v>
      </c>
      <c r="D74" s="81">
        <v>10.030620313738362</v>
      </c>
    </row>
    <row r="75" spans="1:4" ht="15.75">
      <c r="A75" s="33" t="s">
        <v>83</v>
      </c>
      <c r="B75" s="70">
        <v>27815.43081</v>
      </c>
      <c r="C75" s="70">
        <v>19237.38002</v>
      </c>
      <c r="D75" s="81">
        <v>69.16081994704865</v>
      </c>
    </row>
    <row r="76" spans="1:4" ht="15.75">
      <c r="A76" s="33" t="s">
        <v>84</v>
      </c>
      <c r="B76" s="70">
        <v>-481.84821</v>
      </c>
      <c r="C76" s="70">
        <v>-2994.56877</v>
      </c>
      <c r="D76" s="81" t="s">
        <v>320</v>
      </c>
    </row>
    <row r="77" spans="1:4" ht="15.75">
      <c r="A77" s="33" t="s">
        <v>335</v>
      </c>
      <c r="B77" s="70">
        <v>-5083.42455</v>
      </c>
      <c r="C77" s="70">
        <v>-5722.7536</v>
      </c>
      <c r="D77" s="81">
        <v>112.57673923772509</v>
      </c>
    </row>
    <row r="78" spans="1:4" ht="25.5">
      <c r="A78" s="33" t="s">
        <v>85</v>
      </c>
      <c r="B78" s="70">
        <v>-1037.95944</v>
      </c>
      <c r="C78" s="70">
        <v>-1213.01421</v>
      </c>
      <c r="D78" s="81">
        <v>116.86528040055207</v>
      </c>
    </row>
    <row r="79" spans="1:4" ht="15.75">
      <c r="A79" s="33" t="s">
        <v>86</v>
      </c>
      <c r="B79" s="70">
        <v>-20092.75174</v>
      </c>
      <c r="C79" s="70">
        <v>-25528.30955</v>
      </c>
      <c r="D79" s="81">
        <v>127.05233150907385</v>
      </c>
    </row>
    <row r="80" spans="1:4" ht="15.75">
      <c r="A80" s="64" t="s">
        <v>336</v>
      </c>
      <c r="B80" s="71">
        <v>145.19001</v>
      </c>
      <c r="C80" s="71">
        <v>7.1125</v>
      </c>
      <c r="D80" s="82">
        <v>4.89875302026634</v>
      </c>
    </row>
    <row r="81" spans="1:4" ht="15.75">
      <c r="A81" s="42" t="s">
        <v>22</v>
      </c>
      <c r="B81" s="11"/>
      <c r="C81" s="20"/>
      <c r="D81" s="12"/>
    </row>
    <row r="82" spans="2:4" ht="15.75">
      <c r="B82" s="11"/>
      <c r="C82" s="11"/>
      <c r="D82" s="12"/>
    </row>
    <row r="83" spans="2:4" ht="15.75">
      <c r="B83" s="11"/>
      <c r="C83" s="11"/>
      <c r="D83" s="12"/>
    </row>
    <row r="84" ht="15.75">
      <c r="C84" s="11"/>
    </row>
  </sheetData>
  <sheetProtection/>
  <mergeCells count="5">
    <mergeCell ref="A1:D1"/>
    <mergeCell ref="A2:D2"/>
    <mergeCell ref="A4:A5"/>
    <mergeCell ref="D4:D5"/>
    <mergeCell ref="B4:C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Eni</dc:creator>
  <cp:keywords/>
  <dc:description/>
  <cp:lastModifiedBy>Doina Vudvud</cp:lastModifiedBy>
  <cp:lastPrinted>2019-04-12T08:51:56Z</cp:lastPrinted>
  <dcterms:created xsi:type="dcterms:W3CDTF">2016-09-01T07:59:47Z</dcterms:created>
  <dcterms:modified xsi:type="dcterms:W3CDTF">2019-04-13T09:01:54Z</dcterms:modified>
  <cp:category/>
  <cp:version/>
  <cp:contentType/>
  <cp:contentStatus/>
</cp:coreProperties>
</file>