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tabRatio="800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<sst xmlns="http://schemas.openxmlformats.org/spreadsheetml/2006/main" count="782" uniqueCount="298">
  <si>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</si>
  <si>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</si>
  <si>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</si>
  <si>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</si>
  <si>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</si>
  <si>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</si>
  <si>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</si>
  <si>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</si>
  <si>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</si>
  <si>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</si>
  <si>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</si>
  <si>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</si>
  <si>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</si>
  <si>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</si>
  <si>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</si>
  <si>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</si>
  <si>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</si>
  <si>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</si>
  <si>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</si>
  <si>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</si>
  <si>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</si>
  <si>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</si>
  <si>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</si>
  <si>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</si>
  <si>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</si>
  <si>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Zahăr, preparate pe bază de zahăr; miere</t>
  </si>
  <si>
    <t>Hrană destinată animalelor (exclusiv cereale nemăcinate)</t>
  </si>
  <si>
    <t>Materiale brute necomestibile, exclusiv combustibili</t>
  </si>
  <si>
    <t>Alte materii brute de origine animală sau vegetală</t>
  </si>
  <si>
    <t>Energie electrică</t>
  </si>
  <si>
    <t>Produse chimice organice</t>
  </si>
  <si>
    <t>Produse chimice anorganice</t>
  </si>
  <si>
    <t>Materiale plastice sub forme primare</t>
  </si>
  <si>
    <t>Materiale plastice prelucrate</t>
  </si>
  <si>
    <t>Mărfuri manufacturate, clasificate mai ales după materia primă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</si>
  <si>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</si>
  <si>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</si>
  <si>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</si>
  <si>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</si>
  <si>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</si>
  <si>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Vehicule rutiere (inclusiv vehicule cu pernă de aer)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</si>
  <si>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</si>
  <si>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</si>
  <si>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</si>
  <si>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</si>
  <si>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</si>
  <si>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</si>
  <si>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</si>
  <si>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</si>
  <si>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</si>
  <si>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</si>
  <si>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</si>
  <si>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</si>
  <si>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</si>
  <si>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</si>
  <si>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</si>
  <si>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</si>
  <si>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</si>
  <si>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</si>
  <si>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</si>
  <si>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</si>
  <si>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</si>
  <si>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</si>
  <si>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</si>
  <si>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</si>
  <si>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</si>
  <si>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</si>
  <si>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</si>
  <si>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</si>
  <si>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</si>
  <si>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</si>
  <si>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</si>
  <si>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</si>
  <si>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</si>
  <si>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</si>
  <si>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</si>
  <si>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</si>
  <si>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</si>
  <si>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</si>
  <si>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</si>
  <si>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</si>
  <si>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</si>
  <si>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</si>
  <si>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</si>
  <si>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</si>
  <si>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</si>
  <si>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</si>
  <si>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</si>
  <si>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</si>
  <si>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</si>
  <si>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</si>
  <si>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</si>
  <si>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</si>
  <si>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</si>
  <si>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</si>
  <si>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</si>
  <si>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</si>
  <si>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</si>
  <si>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</si>
  <si>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</si>
  <si>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</si>
  <si>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</si>
  <si>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</si>
  <si>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</si>
  <si>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</si>
  <si>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</si>
  <si>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</si>
  <si>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</si>
  <si>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</si>
  <si>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</si>
  <si>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</si>
  <si>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</si>
  <si>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</si>
  <si>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</si>
  <si>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</si>
  <si>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</si>
  <si>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</si>
  <si>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</si>
  <si>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</si>
  <si>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 xml:space="preserve">. </t>
  </si>
  <si>
    <t>Ponderea, %</t>
  </si>
  <si>
    <t>Swaziland</t>
  </si>
  <si>
    <t>2018¹</t>
  </si>
  <si>
    <t>mii dolari         SUA</t>
  </si>
  <si>
    <t>Belize</t>
  </si>
  <si>
    <t>de 3,2 ori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</si>
  <si>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</si>
  <si>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</si>
  <si>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</si>
  <si>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</si>
  <si>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</si>
  <si>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</si>
  <si>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</si>
  <si>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</si>
  <si>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</si>
  <si>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</si>
  <si>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</si>
  <si>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</si>
  <si>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</si>
  <si>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</si>
  <si>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</si>
  <si>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</si>
  <si>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</si>
  <si>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</si>
  <si>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</si>
  <si>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</si>
  <si>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</si>
  <si>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</si>
  <si>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</si>
  <si>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</si>
  <si>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</si>
  <si>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</si>
  <si>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</si>
  <si>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</si>
  <si>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</si>
  <si>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</si>
  <si>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</si>
  <si>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</si>
  <si>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</si>
  <si>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</si>
  <si>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</si>
  <si>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</si>
  <si>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</si>
  <si>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</si>
  <si>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 xml:space="preserve">EXPORT - total      </t>
  </si>
  <si>
    <t>BALANŢA COMERCIALĂ - total, mii dolari SUA</t>
  </si>
  <si>
    <t>Cote D'Ivoire</t>
  </si>
  <si>
    <t>de 2,6 ori</t>
  </si>
  <si>
    <t>de 3,3 ori</t>
  </si>
  <si>
    <t>Madagascar</t>
  </si>
  <si>
    <t>de 2,5 ori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</si>
  <si>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</si>
  <si>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</si>
  <si>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</si>
  <si>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</si>
  <si>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</si>
  <si>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</si>
  <si>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</si>
  <si>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</si>
  <si>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Bosnia şi Herţegovina</t>
  </si>
  <si>
    <t>Mali</t>
  </si>
  <si>
    <t>Somalia</t>
  </si>
  <si>
    <t>de 2,7 ori</t>
  </si>
  <si>
    <t>Macedonia de Nord</t>
  </si>
  <si>
    <t>de 2,3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</si>
  <si>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</si>
  <si>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</si>
  <si>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</si>
  <si>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</si>
  <si>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</si>
  <si>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</si>
  <si>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</si>
  <si>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</si>
  <si>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</si>
  <si>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Tutun brut şi prelucrat</t>
  </si>
  <si>
    <t>Piei crude, piei tăbăcite şi blănuri brute</t>
  </si>
  <si>
    <t>Lemn şi plută</t>
  </si>
  <si>
    <t>Pasta de hârtie şi deşeuri de hârtie</t>
  </si>
  <si>
    <t>Îngrăşăminte naturale şi minerale naturale (exclusiv cărbune, petrol şi pietre preţioase)</t>
  </si>
  <si>
    <t>Minereuri metalifere şi deşeuri de metale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</si>
  <si>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</si>
  <si>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</si>
  <si>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</si>
  <si>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</si>
  <si>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</si>
  <si>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</si>
  <si>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</si>
  <si>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</si>
  <si>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</si>
  <si>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</si>
  <si>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</si>
  <si>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</si>
  <si>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</si>
  <si>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</si>
  <si>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</si>
  <si>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</si>
  <si>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</si>
  <si>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</si>
  <si>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</si>
  <si>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</si>
  <si>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</si>
  <si>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</si>
  <si>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</si>
  <si>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</si>
  <si>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</si>
  <si>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</si>
  <si>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</si>
  <si>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</si>
  <si>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Seminţe şi fructe oleaginoase</t>
  </si>
  <si>
    <t>Cauciuc brut (inclusiv cauciuc sintetic şi regenerat)</t>
  </si>
  <si>
    <t>Fibre textile (cu excepţia lânii în fuior şi a lânii pieptănate) şi deşeurile lor (neprelucrate în fire sau ţesături)</t>
  </si>
  <si>
    <t>Cărbune, cocs şi brichete</t>
  </si>
  <si>
    <t>Gaz şi produse industriale obţinute din gaz</t>
  </si>
  <si>
    <t>Uleiuri şi grăsimi de origine animală</t>
  </si>
  <si>
    <t>Alte uleiuri şi grăsimi animale sau vegetale prelucrate; ceară de origine animală sau vegetală, amestecuri sau preparate necomestibile din uleiuri animale sau vegetale</t>
  </si>
  <si>
    <t>Maşini şi aparate specializate pentru industriile specifice</t>
  </si>
  <si>
    <t>Maşini şi aparate electrice şi părţi ale acestora (inclusiv echivalente neelectrice ale maşinilor şi aparatelor de uz casnic)</t>
  </si>
  <si>
    <t>de 4,5 ori</t>
  </si>
  <si>
    <t>Niger</t>
  </si>
  <si>
    <t>de 14,7 ori</t>
  </si>
  <si>
    <t>de 2,2 ori</t>
  </si>
  <si>
    <t>de 63,1 ori</t>
  </si>
  <si>
    <t>de 7,2 ori</t>
  </si>
  <si>
    <t>de 38,5 ori</t>
  </si>
  <si>
    <t>de 14,3 ori</t>
  </si>
  <si>
    <t>de 3086,2 ori</t>
  </si>
  <si>
    <t>de 4,3 ori</t>
  </si>
  <si>
    <t>de 14,1 ori</t>
  </si>
  <si>
    <t>de 12,4 ori</t>
  </si>
  <si>
    <t>de 4,4 ori</t>
  </si>
  <si>
    <t>de 12,9 ori</t>
  </si>
  <si>
    <t>de 2358,0 ori</t>
  </si>
  <si>
    <t>de 482,8 ori</t>
  </si>
  <si>
    <t>de 2116,6 ori</t>
  </si>
  <si>
    <t>Băuturi (alcoolice şi nealcoolice)</t>
  </si>
  <si>
    <t>Pastă de hârtie şi deşeuri de hârtie</t>
  </si>
  <si>
    <t>Mobilă si părţile ei</t>
  </si>
  <si>
    <t>de 22,6 ori</t>
  </si>
  <si>
    <t>Piele, altă  piele şi blană prelucrate</t>
  </si>
  <si>
    <t>de 11,1 ori</t>
  </si>
  <si>
    <t>de 3,5 ori</t>
  </si>
  <si>
    <t>de 2,4 ori</t>
  </si>
  <si>
    <t>de 5,1 ori</t>
  </si>
  <si>
    <t>de 6,0 ori</t>
  </si>
  <si>
    <t>de 5,0 ori</t>
  </si>
  <si>
    <t>Celelalte ţări ale lumii - total</t>
  </si>
  <si>
    <t>de 4,0 ori</t>
  </si>
  <si>
    <t>Insulele Folkland</t>
  </si>
  <si>
    <t>Andorra</t>
  </si>
  <si>
    <t>Panama</t>
  </si>
  <si>
    <t>Republica Yemen</t>
  </si>
  <si>
    <t>de 12,0 ori</t>
  </si>
  <si>
    <t>de 12,2 ori</t>
  </si>
  <si>
    <t>de 25,5 ori</t>
  </si>
  <si>
    <t>de 14,4 ori</t>
  </si>
  <si>
    <t>de 13,3 ori</t>
  </si>
  <si>
    <t>de 35,8 ori</t>
  </si>
  <si>
    <t>de 28,4 ori</t>
  </si>
  <si>
    <t>de 34,5 ori</t>
  </si>
  <si>
    <t>de 6,1 ori</t>
  </si>
  <si>
    <t>de 2,8 ori</t>
  </si>
  <si>
    <t xml:space="preserve">   inclusiv:</t>
  </si>
  <si>
    <t>inclusiv:</t>
  </si>
  <si>
    <t>în % faţă de ianuarie - mai 2018¹</t>
  </si>
  <si>
    <t>ianuarie - mai</t>
  </si>
  <si>
    <t>Ţările Uniunii Europene (UE-28) - total</t>
  </si>
  <si>
    <t xml:space="preserve">Ţările CSI - total </t>
  </si>
  <si>
    <t xml:space="preserve">Celelalte ţări ale lumii - total </t>
  </si>
  <si>
    <t>Ţările Uniunii Europene (UE -28) - total</t>
  </si>
  <si>
    <t>Ianuarie - mai 2019</t>
  </si>
  <si>
    <t>Ianuarie - mai</t>
  </si>
  <si>
    <t>Ianuarie - mai 2019            în % faţă de                          ianuarie - mai 2018¹</t>
  </si>
  <si>
    <t>Țările Uniunii Europene (UE-28) - total</t>
  </si>
  <si>
    <t xml:space="preserve">    inclusiv:</t>
  </si>
  <si>
    <t xml:space="preserve">Țările CSI - total </t>
  </si>
  <si>
    <t>Celelalte țări ale lumii - total</t>
  </si>
  <si>
    <t xml:space="preserve">Celelalte țări ale lumii - total </t>
  </si>
  <si>
    <t>Ianuarie - mai 2019          în % faţă de                          ianuarie - mai 2018¹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</si>
</sst>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2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5" fontId="12" fillId="0" borderId="0" xfId="0" applyNumberFormat="1" applyFont="1" applyFill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4" fontId="56" fillId="0" borderId="0" xfId="0" applyNumberFormat="1" applyFont="1" applyAlignment="1">
      <alignment horizontal="right" vertical="top" wrapText="1"/>
    </xf>
    <xf numFmtId="4" fontId="60" fillId="0" borderId="0" xfId="0" applyNumberFormat="1" applyFont="1" applyFill="1" applyAlignment="1" applyProtection="1">
      <alignment horizontal="right" vertical="top" wrapText="1"/>
      <protection/>
    </xf>
    <xf numFmtId="4" fontId="61" fillId="0" borderId="0" xfId="0" applyNumberFormat="1" applyFont="1" applyAlignment="1">
      <alignment horizontal="right" vertical="top" wrapText="1"/>
    </xf>
    <xf numFmtId="4" fontId="12" fillId="0" borderId="0" xfId="0" applyNumberFormat="1" applyFont="1" applyFill="1" applyAlignment="1" applyProtection="1">
      <alignment horizontal="right" vertical="top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right" vertical="top"/>
      <protection/>
    </xf>
    <xf numFmtId="38" fontId="10" fillId="0" borderId="13" xfId="0" applyNumberFormat="1" applyFont="1" applyFill="1" applyBorder="1" applyAlignment="1" applyProtection="1">
      <alignment horizontal="left" vertical="top" wrapText="1"/>
      <protection/>
    </xf>
    <xf numFmtId="4" fontId="10" fillId="0" borderId="13" xfId="0" applyNumberFormat="1" applyFont="1" applyFill="1" applyBorder="1" applyAlignment="1" applyProtection="1">
      <alignment horizontal="right" vertical="top"/>
      <protection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4" fontId="21" fillId="0" borderId="14" xfId="0" applyNumberFormat="1" applyFont="1" applyFill="1" applyBorder="1" applyAlignment="1" applyProtection="1">
      <alignment horizontal="right" vertical="top"/>
      <protection/>
    </xf>
    <xf numFmtId="4" fontId="21" fillId="0" borderId="14" xfId="0" applyNumberFormat="1" applyFont="1" applyFill="1" applyBorder="1" applyAlignment="1" applyProtection="1">
      <alignment horizontal="right" vertical="top" wrapText="1"/>
      <protection/>
    </xf>
    <xf numFmtId="4" fontId="12" fillId="0" borderId="0" xfId="0" applyNumberFormat="1" applyFont="1" applyFill="1" applyAlignment="1" applyProtection="1">
      <alignment horizontal="righ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4" fontId="10" fillId="0" borderId="13" xfId="0" applyNumberFormat="1" applyFont="1" applyFill="1" applyBorder="1" applyAlignment="1" applyProtection="1">
      <alignment horizontal="right" vertical="top" wrapText="1"/>
      <protection/>
    </xf>
    <xf numFmtId="4" fontId="21" fillId="0" borderId="0" xfId="0" applyNumberFormat="1" applyFont="1" applyFill="1" applyAlignment="1" applyProtection="1">
      <alignment horizontal="right" vertical="top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>
      <alignment horizontal="right" vertical="top" wrapText="1"/>
    </xf>
    <xf numFmtId="4" fontId="21" fillId="0" borderId="0" xfId="0" applyNumberFormat="1" applyFont="1" applyFill="1" applyBorder="1" applyAlignment="1" applyProtection="1">
      <alignment horizontal="right" vertical="top" wrapText="1"/>
      <protection/>
    </xf>
    <xf numFmtId="38" fontId="12" fillId="0" borderId="13" xfId="0" applyNumberFormat="1" applyFont="1" applyFill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right" vertical="top" wrapText="1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5"/>
  <sheetViews>
    <sheetView tabSelected="1" zoomScale="98" zoomScaleNormal="98" zoomScalePageLayoutView="0" workbookViewId="0" topLeftCell="A1">
      <selection activeCell="A1" sqref="A1:G1"/>
    </sheetView>
  </sheetViews>
  <sheetFormatPr defaultColWidth="9.00390625" defaultRowHeight="15.75"/>
  <cols>
    <col min="1" max="1" width="33.375" style="9" customWidth="1"/>
    <col min="2" max="2" width="11.125" style="9" customWidth="1"/>
    <col min="3" max="3" width="10.00390625" style="9" customWidth="1"/>
    <col min="4" max="4" width="7.875" style="9" customWidth="1"/>
    <col min="5" max="5" width="7.625" style="9" customWidth="1"/>
    <col min="6" max="7" width="9.75390625" style="9" customWidth="1"/>
  </cols>
  <sheetData>
    <row r="1" spans="1:7" ht="15.75">
      <c r="A1" s="63" t="s">
        <v>134</v>
      </c>
      <c r="B1" s="63"/>
      <c r="C1" s="63"/>
      <c r="D1" s="63"/>
      <c r="E1" s="63"/>
      <c r="F1" s="63"/>
      <c r="G1" s="63"/>
    </row>
    <row r="2" ht="9" customHeight="1"/>
    <row r="3" spans="1:7" ht="54" customHeight="1">
      <c r="A3" s="64"/>
      <c r="B3" s="67" t="s">
        <v>289</v>
      </c>
      <c r="C3" s="68"/>
      <c r="D3" s="67" t="s">
        <v>120</v>
      </c>
      <c r="E3" s="68"/>
      <c r="F3" s="69" t="s">
        <v>1</v>
      </c>
      <c r="G3" s="70"/>
    </row>
    <row r="4" spans="1:7" ht="24" customHeight="1">
      <c r="A4" s="65"/>
      <c r="B4" s="71" t="s">
        <v>108</v>
      </c>
      <c r="C4" s="73" t="s">
        <v>283</v>
      </c>
      <c r="D4" s="75" t="s">
        <v>284</v>
      </c>
      <c r="E4" s="75"/>
      <c r="F4" s="75" t="s">
        <v>284</v>
      </c>
      <c r="G4" s="67"/>
    </row>
    <row r="5" spans="1:7" ht="22.5" customHeight="1">
      <c r="A5" s="66"/>
      <c r="B5" s="72"/>
      <c r="C5" s="74"/>
      <c r="D5" s="25">
        <v>2018</v>
      </c>
      <c r="E5" s="25">
        <v>2019</v>
      </c>
      <c r="F5" s="25" t="s">
        <v>122</v>
      </c>
      <c r="G5" s="21" t="s">
        <v>145</v>
      </c>
    </row>
    <row r="6" spans="1:7" ht="15.75" customHeight="1">
      <c r="A6" s="46" t="s">
        <v>109</v>
      </c>
      <c r="B6" s="48">
        <f>IF(1159333.75195="","-",1159333.75195)</f>
        <v>1159333.75195</v>
      </c>
      <c r="C6" s="48">
        <f>IF(1100674.36139="","-",1159333.75195/1100674.36139*100)</f>
        <v>105.32940464661331</v>
      </c>
      <c r="D6" s="48">
        <v>100</v>
      </c>
      <c r="E6" s="48">
        <v>100</v>
      </c>
      <c r="F6" s="48">
        <f>IF(857110.78655="","-",(1100674.36139-857110.78655)/857110.78655*100)</f>
        <v>28.416813632737036</v>
      </c>
      <c r="G6" s="48">
        <f>IF(1100674.36139="","-",(1159333.75195-1100674.36139)/1100674.36139*100)</f>
        <v>5.329404646613304</v>
      </c>
    </row>
    <row r="7" spans="1:7" ht="15.75" customHeight="1">
      <c r="A7" s="55" t="s">
        <v>162</v>
      </c>
      <c r="B7" s="58"/>
      <c r="C7" s="58"/>
      <c r="D7" s="58"/>
      <c r="E7" s="58"/>
      <c r="F7" s="58"/>
      <c r="G7" s="58"/>
    </row>
    <row r="8" spans="1:7" ht="15.75" customHeight="1">
      <c r="A8" s="28" t="s">
        <v>288</v>
      </c>
      <c r="B8" s="49">
        <f>IF(742190.18615="","-",742190.18615)</f>
        <v>742190.18615</v>
      </c>
      <c r="C8" s="49">
        <f>IF(746666.3827="","-",742190.18615/746666.3827*100)</f>
        <v>99.40050916263115</v>
      </c>
      <c r="D8" s="49">
        <f>IF(746666.3827="","-",746666.3827/1100674.36139*100)</f>
        <v>67.83717408998818</v>
      </c>
      <c r="E8" s="49">
        <f>IF(742190.18615="","-",742190.18615/1159333.75195*100)</f>
        <v>64.01868184219046</v>
      </c>
      <c r="F8" s="49">
        <f>IF(857110.78655="","-",(746666.3827-541999.82239)/857110.78655*100)</f>
        <v>23.878658806035297</v>
      </c>
      <c r="G8" s="49">
        <f>IF(1100674.36139="","-",(742190.18615-746666.3827)/1100674.36139*100)</f>
        <v>-0.4066776429994403</v>
      </c>
    </row>
    <row r="9" spans="1:7" ht="15.75" customHeight="1">
      <c r="A9" s="32" t="s">
        <v>281</v>
      </c>
      <c r="B9" s="49"/>
      <c r="C9" s="49"/>
      <c r="D9" s="49"/>
      <c r="E9" s="49"/>
      <c r="F9" s="49"/>
      <c r="G9" s="49"/>
    </row>
    <row r="10" spans="1:7" ht="13.5" customHeight="1">
      <c r="A10" s="42" t="s">
        <v>2</v>
      </c>
      <c r="B10" s="50">
        <f>IF(322639.8643="","-",322639.8643)</f>
        <v>322639.8643</v>
      </c>
      <c r="C10" s="50">
        <f>IF(OR(283608.4613="",322639.8643=""),"-",322639.8643/283608.4613*100)</f>
        <v>113.76242543014705</v>
      </c>
      <c r="D10" s="50">
        <f>IF(283608.4613="","-",283608.4613/1100674.36139*100)</f>
        <v>25.76679091006005</v>
      </c>
      <c r="E10" s="50">
        <f>IF(322639.8643="","-",322639.8643/1159333.75195*100)</f>
        <v>27.82976548015786</v>
      </c>
      <c r="F10" s="50">
        <f>IF(OR(857110.78655="",208610.62438="",283608.4613=""),"-",(283608.4613-208610.62438)/857110.78655*100)</f>
        <v>8.750075030776081</v>
      </c>
      <c r="G10" s="50">
        <f>IF(OR(1100674.36139="",322639.8643="",283608.4613=""),"-",(322639.8643-283608.4613)/1100674.36139*100)</f>
        <v>3.5461353847389256</v>
      </c>
    </row>
    <row r="11" spans="1:7" ht="15.75" customHeight="1">
      <c r="A11" s="42" t="s">
        <v>3</v>
      </c>
      <c r="B11" s="50">
        <f>IF(115031.07329="","-",115031.07329)</f>
        <v>115031.07329</v>
      </c>
      <c r="C11" s="50">
        <f>IF(OR(124758.47944="",115031.07329=""),"-",115031.07329/124758.47944*100)</f>
        <v>92.203010012896</v>
      </c>
      <c r="D11" s="50">
        <f>IF(124758.47944="","-",124758.47944/1100674.36139*100)</f>
        <v>11.33473112632943</v>
      </c>
      <c r="E11" s="50">
        <f>IF(115031.07329="","-",115031.07329/1159333.75195*100)</f>
        <v>9.922170651593442</v>
      </c>
      <c r="F11" s="50">
        <f>IF(OR(857110.78655="",76041.18143="",124758.47944=""),"-",(124758.47944-76041.18143)/857110.78655*100)</f>
        <v>5.683897434787219</v>
      </c>
      <c r="G11" s="50">
        <f>IF(OR(1100674.36139="",115031.07329="",124758.47944=""),"-",(115031.07329-124758.47944)/1100674.36139*100)</f>
        <v>-0.8837678509850655</v>
      </c>
    </row>
    <row r="12" spans="1:7" s="16" customFormat="1" ht="15.75">
      <c r="A12" s="42" t="s">
        <v>4</v>
      </c>
      <c r="B12" s="50">
        <f>IF(103961.06968="","-",103961.06968)</f>
        <v>103961.06968</v>
      </c>
      <c r="C12" s="50">
        <f>IF(OR(95165.1558="",103961.06968=""),"-",103961.06968/95165.1558*100)</f>
        <v>109.24278829373807</v>
      </c>
      <c r="D12" s="50">
        <f>IF(95165.1558="","-",95165.1558/1100674.36139*100)</f>
        <v>8.646077272102488</v>
      </c>
      <c r="E12" s="50">
        <f>IF(103961.06968="","-",103961.06968/1159333.75195*100)</f>
        <v>8.9673115705583</v>
      </c>
      <c r="F12" s="50">
        <f>IF(OR(857110.78655="",58186.26343="",95165.1558=""),"-",(95165.1558-58186.26343)/857110.78655*100)</f>
        <v>4.314365534803921</v>
      </c>
      <c r="G12" s="50">
        <f>IF(OR(1100674.36139="",103961.06968="",95165.1558=""),"-",(103961.06968-95165.1558)/1100674.36139*100)</f>
        <v>0.7991386179734378</v>
      </c>
    </row>
    <row r="13" spans="1:7" s="16" customFormat="1" ht="15.75">
      <c r="A13" s="42" t="s">
        <v>5</v>
      </c>
      <c r="B13" s="50">
        <f>IF(43730.83363="","-",43730.83363)</f>
        <v>43730.83363</v>
      </c>
      <c r="C13" s="50">
        <f>IF(OR(37437.04123="",43730.83363=""),"-",43730.83363/37437.04123*100)</f>
        <v>116.81167152428836</v>
      </c>
      <c r="D13" s="50">
        <f>IF(37437.04123="","-",37437.04123/1100674.36139*100)</f>
        <v>3.401282208729036</v>
      </c>
      <c r="E13" s="50">
        <f>IF(43730.83363="","-",43730.83363/1159333.75195*100)</f>
        <v>3.7720659436029287</v>
      </c>
      <c r="F13" s="50">
        <f>IF(OR(857110.78655="",28064.10865="",37437.04123=""),"-",(37437.04123-28064.10865)/857110.78655*100)</f>
        <v>1.093549716919031</v>
      </c>
      <c r="G13" s="50">
        <f>IF(OR(1100674.36139="",43730.83363="",37437.04123=""),"-",(43730.83363-37437.04123)/1100674.36139*100)</f>
        <v>0.5718123925455851</v>
      </c>
    </row>
    <row r="14" spans="1:7" s="16" customFormat="1" ht="15.75">
      <c r="A14" s="42" t="s">
        <v>173</v>
      </c>
      <c r="B14" s="50">
        <f>IF(21459.80052="","-",21459.80052)</f>
        <v>21459.80052</v>
      </c>
      <c r="C14" s="50">
        <f>IF(OR(37004.73447="",21459.80052=""),"-",21459.80052/37004.73447*100)</f>
        <v>57.99204028175803</v>
      </c>
      <c r="D14" s="50">
        <f>IF(37004.73447="","-",37004.73447/1100674.36139*100)</f>
        <v>3.362005672892037</v>
      </c>
      <c r="E14" s="50">
        <f>IF(21459.80052="","-",21459.80052/1159333.75195*100)</f>
        <v>1.8510459549637543</v>
      </c>
      <c r="F14" s="50">
        <f>IF(OR(857110.78655="",48618.87315="",37004.73447=""),"-",(37004.73447-48618.87315)/857110.78655*100)</f>
        <v>-1.3550335455173368</v>
      </c>
      <c r="G14" s="50">
        <f>IF(OR(1100674.36139="",21459.80052="",37004.73447=""),"-",(21459.80052-37004.73447)/1100674.36139*100)</f>
        <v>-1.412309988793497</v>
      </c>
    </row>
    <row r="15" spans="1:7" s="16" customFormat="1" ht="15.75">
      <c r="A15" s="42" t="s">
        <v>7</v>
      </c>
      <c r="B15" s="50">
        <f>IF(19938.70872="","-",19938.70872)</f>
        <v>19938.70872</v>
      </c>
      <c r="C15" s="50">
        <f>IF(OR(17262.7641="",19938.70872=""),"-",19938.70872/17262.7641*100)</f>
        <v>115.50125231682912</v>
      </c>
      <c r="D15" s="50">
        <f>IF(17262.7641="","-",17262.7641/1100674.36139*100)</f>
        <v>1.568380686018661</v>
      </c>
      <c r="E15" s="50">
        <f>IF(19938.70872="","-",19938.70872/1159333.75195*100)</f>
        <v>1.719841994288796</v>
      </c>
      <c r="F15" s="50">
        <f>IF(OR(857110.78655="",11560.58506="",17262.7641=""),"-",(17262.7641-11560.58506)/857110.78655*100)</f>
        <v>0.6652791132115057</v>
      </c>
      <c r="G15" s="50">
        <f>IF(OR(1100674.36139="",19938.70872="",17262.7641=""),"-",(19938.70872-17262.7641)/1100674.36139*100)</f>
        <v>0.24311864742816844</v>
      </c>
    </row>
    <row r="16" spans="1:7" s="16" customFormat="1" ht="15.75">
      <c r="A16" s="42" t="s">
        <v>6</v>
      </c>
      <c r="B16" s="50">
        <f>IF(16728.81902="","-",16728.81902)</f>
        <v>16728.81902</v>
      </c>
      <c r="C16" s="50">
        <f>IF(OR(24427.6626="",16728.81902=""),"-",16728.81902/24427.6626*100)</f>
        <v>68.48309350727646</v>
      </c>
      <c r="D16" s="50">
        <f>IF(24427.6626="","-",24427.6626/1100674.36139*100)</f>
        <v>2.219336023158678</v>
      </c>
      <c r="E16" s="50">
        <f>IF(16728.81902="","-",16728.81902/1159333.75195*100)</f>
        <v>1.4429683421070179</v>
      </c>
      <c r="F16" s="50">
        <f>IF(OR(857110.78655="",29759.89045="",24427.6626=""),"-",(24427.6626-29759.89045)/857110.78655*100)</f>
        <v>-0.6221165260867874</v>
      </c>
      <c r="G16" s="50">
        <f>IF(OR(1100674.36139="",16728.81902="",24427.6626=""),"-",(16728.81902-24427.6626)/1100674.36139*100)</f>
        <v>-0.6994660591782499</v>
      </c>
    </row>
    <row r="17" spans="1:7" s="16" customFormat="1" ht="15.75">
      <c r="A17" s="42" t="s">
        <v>10</v>
      </c>
      <c r="B17" s="50">
        <f>IF(16197.49439="","-",16197.49439)</f>
        <v>16197.49439</v>
      </c>
      <c r="C17" s="50">
        <f>IF(OR(16586.3295="",16197.49439=""),"-",16197.49439/16586.3295*100)</f>
        <v>97.65568922286272</v>
      </c>
      <c r="D17" s="50">
        <f>IF(16586.3295="","-",16586.3295/1100674.36139*100)</f>
        <v>1.5069243076629633</v>
      </c>
      <c r="E17" s="50">
        <f>IF(16197.49439="","-",16197.49439/1159333.75195*100)</f>
        <v>1.3971381720540619</v>
      </c>
      <c r="F17" s="50">
        <f>IF(OR(857110.78655="",9610.33651="",16586.3295=""),"-",(16586.3295-9610.33651)/857110.78655*100)</f>
        <v>0.8138963013263926</v>
      </c>
      <c r="G17" s="50">
        <f>IF(OR(1100674.36139="",16197.49439="",16586.3295=""),"-",(16197.49439-16586.3295)/1100674.36139*100)</f>
        <v>-0.035326988947844196</v>
      </c>
    </row>
    <row r="18" spans="1:7" s="18" customFormat="1" ht="15.75">
      <c r="A18" s="42" t="s">
        <v>48</v>
      </c>
      <c r="B18" s="50">
        <f>IF(16104.08716="","-",16104.08716)</f>
        <v>16104.08716</v>
      </c>
      <c r="C18" s="50">
        <f>IF(OR(13011.89975="",16104.08716=""),"-",16104.08716/13011.89975*100)</f>
        <v>123.76430397874836</v>
      </c>
      <c r="D18" s="50">
        <f>IF(13011.89975="","-",13011.89975/1100674.36139*100)</f>
        <v>1.1821752378757842</v>
      </c>
      <c r="E18" s="50">
        <f>IF(16104.08716="","-",16104.08716/1159333.75195*100)</f>
        <v>1.3890811971024664</v>
      </c>
      <c r="F18" s="50">
        <f>IF(OR(857110.78655="",9925.63687="",13011.89975=""),"-",(13011.89975-9925.63687)/857110.78655*100)</f>
        <v>0.36007747521445543</v>
      </c>
      <c r="G18" s="50">
        <f>IF(OR(1100674.36139="",16104.08716="",13011.89975=""),"-",(16104.08716-13011.89975)/1100674.36139*100)</f>
        <v>0.2809357170902929</v>
      </c>
    </row>
    <row r="19" spans="1:7" s="16" customFormat="1" ht="15.75">
      <c r="A19" s="42" t="s">
        <v>172</v>
      </c>
      <c r="B19" s="50">
        <f>IF(15947.55726="","-",15947.55726)</f>
        <v>15947.55726</v>
      </c>
      <c r="C19" s="50">
        <f>IF(OR(22340.00474="",15947.55726=""),"-",15947.55726/22340.00474*100)</f>
        <v>71.38564850635748</v>
      </c>
      <c r="D19" s="50">
        <f>IF(22340.00474="","-",22340.00474/1100674.36139*100)</f>
        <v>2.029665223762245</v>
      </c>
      <c r="E19" s="50">
        <f>IF(15947.55726="","-",15947.55726/1159333.75195*100)</f>
        <v>1.3755794854739802</v>
      </c>
      <c r="F19" s="50">
        <f>IF(OR(857110.78655="",15320.85343="",22340.00474=""),"-",(22340.00474-15320.85343)/857110.78655*100)</f>
        <v>0.818931627059921</v>
      </c>
      <c r="G19" s="50">
        <f>IF(OR(1100674.36139="",15947.55726="",22340.00474=""),"-",(15947.55726-22340.00474)/1100674.36139*100)</f>
        <v>-0.5807755412715547</v>
      </c>
    </row>
    <row r="20" spans="1:7" s="16" customFormat="1" ht="15.75">
      <c r="A20" s="42" t="s">
        <v>8</v>
      </c>
      <c r="B20" s="50">
        <f>IF(12387.04049="","-",12387.04049)</f>
        <v>12387.04049</v>
      </c>
      <c r="C20" s="50">
        <f>IF(OR(18577.92382="",12387.04049=""),"-",12387.04049/18577.92382*100)</f>
        <v>66.67612920591684</v>
      </c>
      <c r="D20" s="50">
        <f>IF(18577.92382="","-",18577.92382/1100674.36139*100)</f>
        <v>1.687867408534768</v>
      </c>
      <c r="E20" s="50">
        <f>IF(12387.04049="","-",12387.04049/1159333.75195*100)</f>
        <v>1.0684619911362876</v>
      </c>
      <c r="F20" s="50">
        <f>IF(OR(857110.78655="",12690.35739="",18577.92382=""),"-",(18577.92382-12690.35739)/857110.78655*100)</f>
        <v>0.6869084513214847</v>
      </c>
      <c r="G20" s="50">
        <f>IF(OR(1100674.36139="",12387.04049="",18577.92382=""),"-",(12387.04049-18577.92382)/1100674.36139*100)</f>
        <v>-0.562462754395566</v>
      </c>
    </row>
    <row r="21" spans="1:7" s="16" customFormat="1" ht="15.75">
      <c r="A21" s="42" t="s">
        <v>9</v>
      </c>
      <c r="B21" s="50">
        <f>IF(9301.76965="","-",9301.76965)</f>
        <v>9301.76965</v>
      </c>
      <c r="C21" s="50">
        <f>IF(OR(14674.85454="",9301.76965=""),"-",9301.76965/14674.85454*100)</f>
        <v>63.385770704886326</v>
      </c>
      <c r="D21" s="50">
        <f>IF(14674.85454="","-",14674.85454/1100674.36139*100)</f>
        <v>1.3332603224688255</v>
      </c>
      <c r="E21" s="50">
        <f>IF(9301.76965="","-",9301.76965/1159333.75195*100)</f>
        <v>0.8023375179368684</v>
      </c>
      <c r="F21" s="50">
        <f>IF(OR(857110.78655="",11452.49214="",14674.85454=""),"-",(14674.85454-11452.49214)/857110.78655*100)</f>
        <v>0.37595634666674704</v>
      </c>
      <c r="G21" s="50">
        <f>IF(OR(1100674.36139="",9301.76965="",14674.85454=""),"-",(9301.76965-14674.85454)/1100674.36139*100)</f>
        <v>-0.4881629915695079</v>
      </c>
    </row>
    <row r="22" spans="1:7" s="16" customFormat="1" ht="15.75">
      <c r="A22" s="42" t="s">
        <v>49</v>
      </c>
      <c r="B22" s="50">
        <f>IF(6400.16314="","-",6400.16314)</f>
        <v>6400.16314</v>
      </c>
      <c r="C22" s="50">
        <f>IF(OR(6372.6917="",6400.16314=""),"-",6400.16314/6372.6917*100)</f>
        <v>100.4310806374016</v>
      </c>
      <c r="D22" s="50">
        <f>IF(6372.6917="","-",6372.6917/1100674.36139*100)</f>
        <v>0.5789806616329438</v>
      </c>
      <c r="E22" s="50">
        <f>IF(6400.16314="","-",6400.16314/1159333.75195*100)</f>
        <v>0.5520552756473209</v>
      </c>
      <c r="F22" s="50">
        <f>IF(OR(857110.78655="",4832.40137="",6372.6917=""),"-",(6372.6917-4832.40137)/857110.78655*100)</f>
        <v>0.17970726237151924</v>
      </c>
      <c r="G22" s="50">
        <f>IF(OR(1100674.36139="",6400.16314="",6372.6917=""),"-",(6400.16314-6372.6917)/1100674.36139*100)</f>
        <v>0.0024958735265993392</v>
      </c>
    </row>
    <row r="23" spans="1:9" s="16" customFormat="1" ht="15.75">
      <c r="A23" s="42" t="s">
        <v>52</v>
      </c>
      <c r="B23" s="50">
        <f>IF(4640.72004="","-",4640.72004)</f>
        <v>4640.72004</v>
      </c>
      <c r="C23" s="50">
        <f>IF(OR(9625.89369="",4640.72004=""),"-",4640.72004/9625.89369*100)</f>
        <v>48.210796726553085</v>
      </c>
      <c r="D23" s="50">
        <f>IF(9625.89369="","-",9625.89369/1100674.36139*100)</f>
        <v>0.8745450995918379</v>
      </c>
      <c r="E23" s="50">
        <f>IF(4640.72004="","-",4640.72004/1159333.75195*100)</f>
        <v>0.40029198082038986</v>
      </c>
      <c r="F23" s="50">
        <f>IF(OR(857110.78655="",3381.77866="",9625.89369=""),"-",(9625.89369-3381.77866)/857110.78655*100)</f>
        <v>0.7285073444395099</v>
      </c>
      <c r="G23" s="50">
        <f>IF(OR(1100674.36139="",4640.72004="",9625.89369=""),"-",(4640.72004-9625.89369)/1100674.36139*100)</f>
        <v>-0.45291993934558566</v>
      </c>
      <c r="I23" s="16" t="s">
        <v>142</v>
      </c>
    </row>
    <row r="24" spans="1:7" s="16" customFormat="1" ht="15.75">
      <c r="A24" s="42" t="s">
        <v>55</v>
      </c>
      <c r="B24" s="50">
        <f>IF(4394.11792="","-",4394.11792)</f>
        <v>4394.11792</v>
      </c>
      <c r="C24" s="50" t="s">
        <v>168</v>
      </c>
      <c r="D24" s="50">
        <f>IF(1331.79005="","-",1331.79005/1100674.36139*100)</f>
        <v>0.12099764441847567</v>
      </c>
      <c r="E24" s="50">
        <f>IF(4394.11792="","-",4394.11792/1159333.75195*100)</f>
        <v>0.3790209603239008</v>
      </c>
      <c r="F24" s="50">
        <f>IF(OR(857110.78655="",3237.26658="",1331.79005=""),"-",(1331.79005-3237.26658)/857110.78655*100)</f>
        <v>-0.22231391319549598</v>
      </c>
      <c r="G24" s="50">
        <f>IF(OR(1100674.36139="",4394.11792="",1331.79005=""),"-",(4394.11792-1331.79005)/1100674.36139*100)</f>
        <v>0.2782228765765654</v>
      </c>
    </row>
    <row r="25" spans="1:7" s="9" customFormat="1" ht="15.75">
      <c r="A25" s="42" t="s">
        <v>51</v>
      </c>
      <c r="B25" s="50">
        <f>IF(3564.13484="","-",3564.13484)</f>
        <v>3564.13484</v>
      </c>
      <c r="C25" s="50">
        <f>IF(OR(4831.66173="",3564.13484=""),"-",3564.13484/4831.66173*100)</f>
        <v>73.7662328028912</v>
      </c>
      <c r="D25" s="50">
        <f>IF(4831.66173="","-",4831.66173/1100674.36139*100)</f>
        <v>0.4389728605923261</v>
      </c>
      <c r="E25" s="50">
        <f>IF(3564.13484="","-",3564.13484/1159333.75195*100)</f>
        <v>0.30742957616865063</v>
      </c>
      <c r="F25" s="50">
        <f>IF(OR(857110.78655="",3712.95067="",4831.66173=""),"-",(4831.66173-3712.95067)/857110.78655*100)</f>
        <v>0.1305211738733309</v>
      </c>
      <c r="G25" s="50">
        <f>IF(OR(1100674.36139="",3564.13484="",4831.66173=""),"-",(3564.13484-4831.66173)/1100674.36139*100)</f>
        <v>-0.1151591183062798</v>
      </c>
    </row>
    <row r="26" spans="1:7" s="9" customFormat="1" ht="15.75">
      <c r="A26" s="42" t="s">
        <v>53</v>
      </c>
      <c r="B26" s="50">
        <f>IF(3205.63908="","-",3205.63908)</f>
        <v>3205.63908</v>
      </c>
      <c r="C26" s="50">
        <f>IF(OR(2734.93688="",3205.63908=""),"-",3205.63908/2734.93688*100)</f>
        <v>117.21071529811684</v>
      </c>
      <c r="D26" s="50">
        <f>IF(2734.93688="","-",2734.93688/1100674.36139*100)</f>
        <v>0.248478294392735</v>
      </c>
      <c r="E26" s="50">
        <f>IF(3205.63908="","-",3205.63908/1159333.75195*100)</f>
        <v>0.2765070088409065</v>
      </c>
      <c r="F26" s="50">
        <f>IF(OR(857110.78655="",1895.26392="",2734.93688=""),"-",(2734.93688-1895.26392)/857110.78655*100)</f>
        <v>0.09796551078067868</v>
      </c>
      <c r="G26" s="50">
        <f>IF(OR(1100674.36139="",3205.63908="",2734.93688=""),"-",(3205.63908-2734.93688)/1100674.36139*100)</f>
        <v>0.04276489182555027</v>
      </c>
    </row>
    <row r="27" spans="1:7" s="16" customFormat="1" ht="15.75">
      <c r="A27" s="42" t="s">
        <v>50</v>
      </c>
      <c r="B27" s="50">
        <f>IF(3201.3501="","-",3201.3501)</f>
        <v>3201.3501</v>
      </c>
      <c r="C27" s="50">
        <f>IF(OR(3313.31876="",3201.3501=""),"-",3201.3501/3313.31876*100)</f>
        <v>96.62064932140729</v>
      </c>
      <c r="D27" s="50">
        <f>IF(3313.31876="","-",3313.31876/1100674.36139*100)</f>
        <v>0.30102625047209564</v>
      </c>
      <c r="E27" s="50">
        <f>IF(3201.3501="","-",3201.3501/1159333.75195*100)</f>
        <v>0.27613705670307</v>
      </c>
      <c r="F27" s="50">
        <f>IF(OR(857110.78655="",2261.64776="",3313.31876=""),"-",(3313.31876-2261.64776)/857110.78655*100)</f>
        <v>0.12269954088818956</v>
      </c>
      <c r="G27" s="50">
        <f>IF(OR(1100674.36139="",3201.3501="",3313.31876=""),"-",(3201.3501-3313.31876)/1100674.36139*100)</f>
        <v>-0.010172732638070994</v>
      </c>
    </row>
    <row r="28" spans="1:7" s="16" customFormat="1" ht="15.75">
      <c r="A28" s="42" t="s">
        <v>54</v>
      </c>
      <c r="B28" s="50">
        <f>IF(1439.1205="","-",1439.1205)</f>
        <v>1439.1205</v>
      </c>
      <c r="C28" s="50">
        <f>IF(OR(1578.8191="",1439.1205=""),"-",1439.1205/1578.8191*100)</f>
        <v>91.1517031938618</v>
      </c>
      <c r="D28" s="50">
        <f>IF(1578.8191="","-",1578.8191/1100674.36139*100)</f>
        <v>0.1434410717086359</v>
      </c>
      <c r="E28" s="50">
        <f>IF(1439.1205="","-",1439.1205/1159333.75195*100)</f>
        <v>0.12413340831140286</v>
      </c>
      <c r="F28" s="50">
        <f>IF(OR(857110.78655="",1122.86065="",1578.8191=""),"-",(1578.8191-1122.86065)/857110.78655*100)</f>
        <v>0.05319714290789657</v>
      </c>
      <c r="G28" s="50">
        <f>IF(OR(1100674.36139="",1439.1205="",1578.8191=""),"-",(1439.1205-1578.8191)/1100674.36139*100)</f>
        <v>-0.012692091766685641</v>
      </c>
    </row>
    <row r="29" spans="1:7" s="9" customFormat="1" ht="15.75">
      <c r="A29" s="42" t="s">
        <v>57</v>
      </c>
      <c r="B29" s="50">
        <f>IF(464.98534="","-",464.98534)</f>
        <v>464.98534</v>
      </c>
      <c r="C29" s="50" t="s">
        <v>239</v>
      </c>
      <c r="D29" s="50">
        <f>IF(31.64438="","-",31.64438/1100674.36139*100)</f>
        <v>0.002874999283170139</v>
      </c>
      <c r="E29" s="50">
        <f>IF(464.98534="","-",464.98534/1159333.75195*100)</f>
        <v>0.04010797919217779</v>
      </c>
      <c r="F29" s="50">
        <f>IF(OR(857110.78655="",21.23394="",31.64438=""),"-",(31.64438-21.23394)/857110.78655*100)</f>
        <v>0.0012145967783118903</v>
      </c>
      <c r="G29" s="50">
        <f>IF(OR(1100674.36139="",464.98534="",31.64438=""),"-",(464.98534-31.64438)/1100674.36139*100)</f>
        <v>0.03937049641573827</v>
      </c>
    </row>
    <row r="30" spans="1:7" s="9" customFormat="1" ht="15.75">
      <c r="A30" s="42" t="s">
        <v>63</v>
      </c>
      <c r="B30" s="50">
        <f>IF(461.08919="","-",461.08919)</f>
        <v>461.08919</v>
      </c>
      <c r="C30" s="50">
        <f>IF(OR(573.68424="",461.08919=""),"-",461.08919/573.68424*100)</f>
        <v>80.37334091659899</v>
      </c>
      <c r="D30" s="50">
        <f>IF(573.68424="","-",573.68424/1100674.36139*100)</f>
        <v>0.0521211595476355</v>
      </c>
      <c r="E30" s="50">
        <f>IF(461.08919="","-",461.08919/1159333.75195*100)</f>
        <v>0.03977191117091586</v>
      </c>
      <c r="F30" s="50">
        <f>IF(OR(857110.78655="",15.78333="",573.68424=""),"-",(573.68424-15.78333)/857110.78655*100)</f>
        <v>0.06509087492010633</v>
      </c>
      <c r="G30" s="50">
        <f>IF(OR(1100674.36139="",461.08919="",573.68424=""),"-",(461.08919-573.68424)/1100674.36139*100)</f>
        <v>-0.010229642294729937</v>
      </c>
    </row>
    <row r="31" spans="1:7" s="9" customFormat="1" ht="15.75">
      <c r="A31" s="42" t="s">
        <v>58</v>
      </c>
      <c r="B31" s="50">
        <f>IF(402.14994="","-",402.14994)</f>
        <v>402.14994</v>
      </c>
      <c r="C31" s="50">
        <f>IF(OR(510.55984="",402.14994=""),"-",402.14994/510.55984*100)</f>
        <v>78.76646545486226</v>
      </c>
      <c r="D31" s="50">
        <f>IF(510.55984="","-",510.55984/1100674.36139*100)</f>
        <v>0.046386093644920856</v>
      </c>
      <c r="E31" s="50">
        <f>IF(402.14994="","-",402.14994/1159333.75195*100)</f>
        <v>0.03468802140225657</v>
      </c>
      <c r="F31" s="50">
        <f>IF(OR(857110.78655="",662.34347="",510.55984=""),"-",(510.55984-662.34347)/857110.78655*100)</f>
        <v>-0.017708752751899436</v>
      </c>
      <c r="G31" s="50">
        <f>IF(OR(1100674.36139="",402.14994="",510.55984=""),"-",(402.14994-510.55984)/1100674.36139*100)</f>
        <v>-0.009849407218234213</v>
      </c>
    </row>
    <row r="32" spans="1:7" s="9" customFormat="1" ht="15.75">
      <c r="A32" s="42" t="s">
        <v>174</v>
      </c>
      <c r="B32" s="50">
        <f>IF(245.30323="","-",245.30323)</f>
        <v>245.30323</v>
      </c>
      <c r="C32" s="50">
        <f>IF(OR(344.94919="",245.30323=""),"-",245.30323/344.94919*100)</f>
        <v>71.1128586792739</v>
      </c>
      <c r="D32" s="50">
        <f>IF(344.94919="","-",344.94919/1100674.36139*100)</f>
        <v>0.03133980422369216</v>
      </c>
      <c r="E32" s="50">
        <f>IF(245.30323="","-",245.30323/1159333.75195*100)</f>
        <v>0.02115898287161914</v>
      </c>
      <c r="F32" s="50">
        <f>IF(OR(857110.78655="",76.57058="",344.94919=""),"-",(344.94919-76.57058)/857110.78655*100)</f>
        <v>0.031312009393822275</v>
      </c>
      <c r="G32" s="50">
        <f>IF(OR(1100674.36139="",245.30323="",344.94919=""),"-",(245.30323-344.94919)/1100674.36139*100)</f>
        <v>-0.009053173535736843</v>
      </c>
    </row>
    <row r="33" spans="1:7" s="9" customFormat="1" ht="15.75">
      <c r="A33" s="42" t="s">
        <v>56</v>
      </c>
      <c r="B33" s="50">
        <f>IF(222.971="","-",222.971)</f>
        <v>222.971</v>
      </c>
      <c r="C33" s="50">
        <f>IF(OR(996.46242="",222.971=""),"-",222.971/996.46242*100)</f>
        <v>22.376257802075468</v>
      </c>
      <c r="D33" s="50">
        <f>IF(996.46242="","-",996.46242/1100674.36139*100)</f>
        <v>0.09053199156393589</v>
      </c>
      <c r="E33" s="50">
        <f>IF(222.971="","-",222.971/1159333.75195*100)</f>
        <v>0.019232684257226417</v>
      </c>
      <c r="F33" s="50">
        <f>IF(OR(857110.78655="",670.76797="",996.46242=""),"-",(996.46242-670.76797)/857110.78655*100)</f>
        <v>0.03799910759622676</v>
      </c>
      <c r="G33" s="50">
        <f>IF(OR(1100674.36139="",222.971="",996.46242=""),"-",(222.971-996.46242)/1100674.36139*100)</f>
        <v>-0.07027431973823638</v>
      </c>
    </row>
    <row r="34" spans="1:7" s="9" customFormat="1" ht="15.75">
      <c r="A34" s="42" t="s">
        <v>62</v>
      </c>
      <c r="B34" s="50">
        <f>IF(39.75135="","-",39.75135)</f>
        <v>39.75135</v>
      </c>
      <c r="C34" s="50" t="s">
        <v>114</v>
      </c>
      <c r="D34" s="50">
        <f>IF(23.07654="","-",23.07654/1100674.36139*100)</f>
        <v>0.002096581950982988</v>
      </c>
      <c r="E34" s="50">
        <f>IF(39.75135="","-",39.75135/1159333.75195*100)</f>
        <v>0.003428809860244145</v>
      </c>
      <c r="F34" s="50">
        <f>IF(OR(857110.78655="",16.01366="",23.07654=""),"-",(23.07654-16.01366)/857110.78655*100)</f>
        <v>0.0008240334984499677</v>
      </c>
      <c r="G34" s="50">
        <f>IF(OR(1100674.36139="",39.75135="",23.07654=""),"-",(39.75135-23.07654)/1100674.36139*100)</f>
        <v>0.0015149630612765446</v>
      </c>
    </row>
    <row r="35" spans="1:7" s="9" customFormat="1" ht="15.75">
      <c r="A35" s="42" t="s">
        <v>59</v>
      </c>
      <c r="B35" s="50">
        <f>IF(34.85182="","-",34.85182)</f>
        <v>34.85182</v>
      </c>
      <c r="C35" s="50">
        <f>IF(OR(9225.32515="",34.85182=""),"-",34.85182/9225.32515*100)</f>
        <v>0.37778419116208595</v>
      </c>
      <c r="D35" s="50">
        <f>IF(9225.32515="","-",9225.32515/1100674.36139*100)</f>
        <v>0.838152088720381</v>
      </c>
      <c r="E35" s="50">
        <f>IF(34.85182="","-",34.85182/1159333.75195*100)</f>
        <v>0.0030061938541321013</v>
      </c>
      <c r="F35" s="50">
        <f>IF(OR(857110.78655="",45.43539="",9225.32515=""),"-",(9225.32515-45.43539)/857110.78655*100)</f>
        <v>1.0710272118905935</v>
      </c>
      <c r="G35" s="50">
        <f>IF(OR(1100674.36139="",34.85182="",9225.32515=""),"-",(34.85182-9225.32515)/1100674.36139*100)</f>
        <v>-0.8349856826313007</v>
      </c>
    </row>
    <row r="36" spans="1:7" s="9" customFormat="1" ht="15.75">
      <c r="A36" s="42" t="s">
        <v>60</v>
      </c>
      <c r="B36" s="50">
        <f>IF(31.8079="","-",31.8079)</f>
        <v>31.8079</v>
      </c>
      <c r="C36" s="50" t="str">
        <f>IF(OR(""="",31.8079=""),"-",31.8079/""*100)</f>
        <v>-</v>
      </c>
      <c r="D36" s="50" t="str">
        <f>IF(""="","-",""/1100674.36139*100)</f>
        <v>-</v>
      </c>
      <c r="E36" s="50">
        <f>IF(31.8079="","-",31.8079/1159333.75195*100)</f>
        <v>0.002743636157103086</v>
      </c>
      <c r="F36" s="50" t="str">
        <f>IF(OR(857110.78655="",53.31802="",""=""),"-",(""-53.31802)/857110.78655*100)</f>
        <v>-</v>
      </c>
      <c r="G36" s="50" t="str">
        <f>IF(OR(1100674.36139="",31.8079="",""=""),"-",(31.8079-"")/1100674.36139*100)</f>
        <v>-</v>
      </c>
    </row>
    <row r="37" spans="1:7" s="9" customFormat="1" ht="14.25" customHeight="1">
      <c r="A37" s="42" t="s">
        <v>61</v>
      </c>
      <c r="B37" s="50">
        <f>IF(13.91265="","-",13.91265)</f>
        <v>13.91265</v>
      </c>
      <c r="C37" s="50">
        <f>IF(OR(316.25774="",13.91265=""),"-",13.91265/316.25774*100)</f>
        <v>4.399149250861022</v>
      </c>
      <c r="D37" s="50">
        <f>IF(316.25774="","-",316.25774/1100674.36139*100)</f>
        <v>0.028733088649453963</v>
      </c>
      <c r="E37" s="50">
        <f>IF(13.91265="","-",13.91265/1159333.75195*100)</f>
        <v>0.001200055633384167</v>
      </c>
      <c r="F37" s="50">
        <f>IF(OR(857110.78655="",152.98353="",316.25774=""),"-",(316.25774-152.98353)/857110.78655*100)</f>
        <v>0.019049370578709354</v>
      </c>
      <c r="G37" s="50">
        <f>IF(OR(1100674.36139="",13.91265="",316.25774=""),"-",(13.91265-316.25774)/1100674.36139*100)</f>
        <v>-0.02746907719538228</v>
      </c>
    </row>
    <row r="38" spans="1:7" s="17" customFormat="1" ht="14.25" customHeight="1">
      <c r="A38" s="28" t="s">
        <v>286</v>
      </c>
      <c r="B38" s="49">
        <f>IF(170294.53676="","-",170294.53676)</f>
        <v>170294.53676</v>
      </c>
      <c r="C38" s="49">
        <f>IF(177482.19654="","-",170294.53676/177482.19654*100)</f>
        <v>95.95020800952274</v>
      </c>
      <c r="D38" s="49">
        <f>IF(177482.19654="","-",177482.19654/1100674.36139*100)</f>
        <v>16.124859701089473</v>
      </c>
      <c r="E38" s="49">
        <f>IF(170294.53676="","-",170294.53676/1159333.75195*100)</f>
        <v>14.689000166998028</v>
      </c>
      <c r="F38" s="49">
        <f>IF(857110.78655="","-",(177482.19654-177809.06675)/857110.78655*100)</f>
        <v>-0.03813628472880332</v>
      </c>
      <c r="G38" s="49">
        <f>IF(1100674.36139="","-",(170294.53676-177482.19654)/1100674.36139*100)</f>
        <v>-0.6530232766504157</v>
      </c>
    </row>
    <row r="39" spans="1:7" s="17" customFormat="1" ht="14.25" customHeight="1">
      <c r="A39" s="32" t="s">
        <v>281</v>
      </c>
      <c r="B39" s="49"/>
      <c r="C39" s="49"/>
      <c r="D39" s="49"/>
      <c r="E39" s="49"/>
      <c r="F39" s="49"/>
      <c r="G39" s="49"/>
    </row>
    <row r="40" spans="1:7" s="17" customFormat="1" ht="14.25" customHeight="1">
      <c r="A40" s="42" t="s">
        <v>175</v>
      </c>
      <c r="B40" s="50">
        <f>IF(95909.71585="","-",95909.71585)</f>
        <v>95909.71585</v>
      </c>
      <c r="C40" s="50">
        <f>IF(OR(90350.70814="",95909.71585=""),"-",95909.71585/90350.70814*100)</f>
        <v>106.15269965719163</v>
      </c>
      <c r="D40" s="50">
        <f>IF(90350.70814="","-",90350.70814/1100674.36139*100)</f>
        <v>8.208668368171992</v>
      </c>
      <c r="E40" s="50">
        <f>IF(95909.71585="","-",95909.71585/1159333.75195*100)</f>
        <v>8.272830467385237</v>
      </c>
      <c r="F40" s="50">
        <f>IF(OR(857110.78655="",97953.93086="",90350.70814=""),"-",(90350.70814-97953.93086)/857110.78655*100)</f>
        <v>-0.8870758412228258</v>
      </c>
      <c r="G40" s="50">
        <f>IF(OR(1100674.36139="",95909.71585="",90350.70814=""),"-",(95909.71585-90350.70814)/1100674.36139*100)</f>
        <v>0.5050547105485159</v>
      </c>
    </row>
    <row r="41" spans="1:7" s="17" customFormat="1" ht="14.25" customHeight="1">
      <c r="A41" s="42" t="s">
        <v>11</v>
      </c>
      <c r="B41" s="50">
        <f>IF(36086.98557="","-",36086.98557)</f>
        <v>36086.98557</v>
      </c>
      <c r="C41" s="50">
        <f>IF(OR(42137.01116="",36086.98557=""),"-",36086.98557/42137.01116*100)</f>
        <v>85.64201536025602</v>
      </c>
      <c r="D41" s="50">
        <f>IF(42137.01116="","-",42137.01116/1100674.36139*100)</f>
        <v>3.828290422499418</v>
      </c>
      <c r="E41" s="50">
        <f>IF(36086.98557="","-",36086.98557/1159333.75195*100)</f>
        <v>3.112734836650936</v>
      </c>
      <c r="F41" s="50">
        <f>IF(OR(857110.78655="",48148.69356="",42137.01116=""),"-",(42137.01116-48148.69356)/857110.78655*100)</f>
        <v>-0.7013891896283239</v>
      </c>
      <c r="G41" s="50">
        <f>IF(OR(1100674.36139="",36086.98557="",42137.01116=""),"-",(36086.98557-42137.01116)/1100674.36139*100)</f>
        <v>-0.5496653508272562</v>
      </c>
    </row>
    <row r="42" spans="1:7" s="15" customFormat="1" ht="14.25" customHeight="1">
      <c r="A42" s="42" t="s">
        <v>12</v>
      </c>
      <c r="B42" s="50">
        <f>IF(31103.43541="","-",31103.43541)</f>
        <v>31103.43541</v>
      </c>
      <c r="C42" s="50">
        <f>IF(OR(34340.53792="",31103.43541=""),"-",31103.43541/34340.53792*100)</f>
        <v>90.57352416103328</v>
      </c>
      <c r="D42" s="50">
        <f>IF(34340.53792="","-",34340.53792/1100674.36139*100)</f>
        <v>3.1199543774811507</v>
      </c>
      <c r="E42" s="50">
        <f>IF(31103.43541="","-",31103.43541/1159333.75195*100)</f>
        <v>2.6828715508095926</v>
      </c>
      <c r="F42" s="50">
        <f>IF(OR(857110.78655="",21512.88227="",34340.53792=""),"-",(34340.53792-21512.88227)/857110.78655*100)</f>
        <v>1.4966158227495012</v>
      </c>
      <c r="G42" s="50">
        <f>IF(OR(1100674.36139="",31103.43541="",34340.53792=""),"-",(31103.43541-34340.53792)/1100674.36139*100)</f>
        <v>-0.29410174558004515</v>
      </c>
    </row>
    <row r="43" spans="1:7" s="17" customFormat="1" ht="14.25" customHeight="1">
      <c r="A43" s="42" t="s">
        <v>13</v>
      </c>
      <c r="B43" s="50">
        <f>IF(3206.37132="","-",3206.37132)</f>
        <v>3206.37132</v>
      </c>
      <c r="C43" s="50">
        <f>IF(OR(6014.58794="",3206.37132=""),"-",3206.37132/6014.58794*100)</f>
        <v>53.309908375867884</v>
      </c>
      <c r="D43" s="50">
        <f>IF(6014.58794="","-",6014.58794/1100674.36139*100)</f>
        <v>0.5464457200951247</v>
      </c>
      <c r="E43" s="50">
        <f>IF(3206.37132="","-",3206.37132/1159333.75195*100)</f>
        <v>0.2765701692551331</v>
      </c>
      <c r="F43" s="50">
        <f>IF(OR(857110.78655="",4719.15547="",6014.58794=""),"-",(6014.58794-4719.15547)/857110.78655*100)</f>
        <v>0.15113944315347044</v>
      </c>
      <c r="G43" s="50">
        <f>IF(OR(1100674.36139="",3206.37132="",6014.58794=""),"-",(3206.37132-6014.58794)/1100674.36139*100)</f>
        <v>-0.2551360073885622</v>
      </c>
    </row>
    <row r="44" spans="1:7" s="15" customFormat="1" ht="14.25" customHeight="1">
      <c r="A44" s="42" t="s">
        <v>14</v>
      </c>
      <c r="B44" s="50">
        <f>IF(1722.85805="","-",1722.85805)</f>
        <v>1722.85805</v>
      </c>
      <c r="C44" s="50">
        <f>IF(OR(1906.05453="",1722.85805=""),"-",1722.85805/1906.05453*100)</f>
        <v>90.3887072947488</v>
      </c>
      <c r="D44" s="50">
        <f>IF(1906.05453="","-",1906.05453/1100674.36139*100)</f>
        <v>0.1731715207386966</v>
      </c>
      <c r="E44" s="50">
        <f>IF(1722.85805="","-",1722.85805/1159333.75195*100)</f>
        <v>0.1486075987266093</v>
      </c>
      <c r="F44" s="50">
        <f>IF(OR(857110.78655="",2084.34082="",1906.05453=""),"-",(1906.05453-2084.34082)/857110.78655*100)</f>
        <v>-0.020800845444686206</v>
      </c>
      <c r="G44" s="50">
        <f>IF(OR(1100674.36139="",1722.85805="",1906.05453=""),"-",(1722.85805-1906.05453)/1100674.36139*100)</f>
        <v>-0.016644021740330917</v>
      </c>
    </row>
    <row r="45" spans="1:7" s="15" customFormat="1" ht="14.25" customHeight="1">
      <c r="A45" s="42" t="s">
        <v>15</v>
      </c>
      <c r="B45" s="50">
        <f>IF(1216.46746="","-",1216.46746)</f>
        <v>1216.46746</v>
      </c>
      <c r="C45" s="50">
        <f>IF(OR(1250.10496="",1216.46746=""),"-",1216.46746/1250.10496*100)</f>
        <v>97.30922593891637</v>
      </c>
      <c r="D45" s="50">
        <f>IF(1250.10496="","-",1250.10496/1100674.36139*100)</f>
        <v>0.11357627685824258</v>
      </c>
      <c r="E45" s="50">
        <f>IF(1216.46746="","-",1216.46746/1159333.75195*100)</f>
        <v>0.10492815015123137</v>
      </c>
      <c r="F45" s="50">
        <f>IF(OR(857110.78655="",2282.09998="",1250.10496=""),"-",(1250.10496-2282.09998)/857110.78655*100)</f>
        <v>-0.1204039239960957</v>
      </c>
      <c r="G45" s="50">
        <f>IF(OR(1100674.36139="",1216.46746="",1250.10496=""),"-",(1216.46746-1250.10496)/1100674.36139*100)</f>
        <v>-0.003056080997246115</v>
      </c>
    </row>
    <row r="46" spans="1:7" s="15" customFormat="1" ht="14.25" customHeight="1">
      <c r="A46" s="42" t="s">
        <v>17</v>
      </c>
      <c r="B46" s="50">
        <f>IF(462.33247="","-",462.33247)</f>
        <v>462.33247</v>
      </c>
      <c r="C46" s="50">
        <f>IF(OR(746.14186="",462.33247=""),"-",462.33247/746.14186*100)</f>
        <v>61.96307897803778</v>
      </c>
      <c r="D46" s="50">
        <f>IF(746.14186="","-",746.14186/1100674.36139*100)</f>
        <v>0.06778951942314033</v>
      </c>
      <c r="E46" s="50">
        <f>IF(462.33247="","-",462.33247/1159333.75195*100)</f>
        <v>0.03987915207526362</v>
      </c>
      <c r="F46" s="50">
        <f>IF(OR(857110.78655="",280.0313="",746.14186=""),"-",(746.14186-280.0313)/857110.78655*100)</f>
        <v>0.05438160005851346</v>
      </c>
      <c r="G46" s="50">
        <f>IF(OR(1100674.36139="",462.33247="",746.14186=""),"-",(462.33247-746.14186)/1100674.36139*100)</f>
        <v>-0.025785045964147636</v>
      </c>
    </row>
    <row r="47" spans="1:7" s="15" customFormat="1" ht="14.25" customHeight="1">
      <c r="A47" s="42" t="s">
        <v>148</v>
      </c>
      <c r="B47" s="50">
        <f>IF(299.1262="","-",299.1262)</f>
        <v>299.1262</v>
      </c>
      <c r="C47" s="50">
        <f>IF(OR(355.23328="",299.1262=""),"-",299.1262/355.23328*100)</f>
        <v>84.20556767654202</v>
      </c>
      <c r="D47" s="50">
        <f>IF(355.23328="","-",355.23328/1100674.36139*100)</f>
        <v>0.03227414869111599</v>
      </c>
      <c r="E47" s="50">
        <f>IF(299.1262="","-",299.1262/1159333.75195*100)</f>
        <v>0.02580156055121052</v>
      </c>
      <c r="F47" s="50">
        <f>IF(OR(857110.78655="",370.51621="",355.23328=""),"-",(355.23328-370.51621)/857110.78655*100)</f>
        <v>-0.0017830752149924653</v>
      </c>
      <c r="G47" s="50">
        <f>IF(OR(1100674.36139="",299.1262="",355.23328=""),"-",(299.1262-355.23328)/1100674.36139*100)</f>
        <v>-0.005097518572990516</v>
      </c>
    </row>
    <row r="48" spans="1:7" s="15" customFormat="1" ht="14.25" customHeight="1">
      <c r="A48" s="42" t="s">
        <v>16</v>
      </c>
      <c r="B48" s="50">
        <f>IF(186.88977="","-",186.88977)</f>
        <v>186.88977</v>
      </c>
      <c r="C48" s="50">
        <f>IF(OR(167.98836="",186.88977=""),"-",186.88977/167.98836*100)</f>
        <v>111.25161886216401</v>
      </c>
      <c r="D48" s="50">
        <f>IF(167.98836="","-",167.98836/1100674.36139*100)</f>
        <v>0.015262312441606606</v>
      </c>
      <c r="E48" s="50">
        <f>IF(186.88977="","-",186.88977/1159333.75195*100)</f>
        <v>0.016120445875542854</v>
      </c>
      <c r="F48" s="50">
        <f>IF(OR(857110.78655="",198.83738="",167.98836=""),"-",(167.98836-198.83738)/857110.78655*100)</f>
        <v>-0.003599186999404354</v>
      </c>
      <c r="G48" s="50">
        <f>IF(OR(1100674.36139="",186.88977="",167.98836=""),"-",(186.88977-167.98836)/1100674.36139*100)</f>
        <v>0.0017172572254822147</v>
      </c>
    </row>
    <row r="49" spans="1:7" s="9" customFormat="1" ht="15.75">
      <c r="A49" s="42" t="s">
        <v>18</v>
      </c>
      <c r="B49" s="50">
        <f>IF(100.35466="","-",100.35466)</f>
        <v>100.35466</v>
      </c>
      <c r="C49" s="50">
        <f>IF(OR(213.82839="",100.35466=""),"-",100.35466/213.82839*100)</f>
        <v>46.93233672104999</v>
      </c>
      <c r="D49" s="50">
        <f>IF(213.82839="","-",213.82839/1100674.36139*100)</f>
        <v>0.019427034688985056</v>
      </c>
      <c r="E49" s="50">
        <f>IF(100.35466="","-",100.35466/1159333.75195*100)</f>
        <v>0.00865623551727045</v>
      </c>
      <c r="F49" s="50">
        <f>IF(OR(857110.78655="",258.5789="",213.82839=""),"-",(213.82839-258.5789)/857110.78655*100)</f>
        <v>-0.005221088183958985</v>
      </c>
      <c r="G49" s="50">
        <f>IF(OR(1100674.36139="",100.35466="",213.82839=""),"-",(100.35466-213.82839)/1100674.36139*100)</f>
        <v>-0.010309473353835402</v>
      </c>
    </row>
    <row r="50" spans="1:7" s="9" customFormat="1" ht="15.75">
      <c r="A50" s="28" t="s">
        <v>287</v>
      </c>
      <c r="B50" s="49">
        <f>IF(246849.02904="","-",246849.02904)</f>
        <v>246849.02904</v>
      </c>
      <c r="C50" s="49">
        <f>IF(176525.78215="","-",246849.02904/176525.78215*100)</f>
        <v>139.83738014554945</v>
      </c>
      <c r="D50" s="49">
        <f>IF(176525.78215="","-",176525.78215/1100674.36139*100)</f>
        <v>16.037966208922345</v>
      </c>
      <c r="E50" s="49">
        <f>IF(246849.02904="","-",246849.02904/1159333.75195*100)</f>
        <v>21.292317990811515</v>
      </c>
      <c r="F50" s="49">
        <f>IF(857110.78655="","-",(176525.78215-137301.89741)/857110.78655*100)</f>
        <v>4.576291111430537</v>
      </c>
      <c r="G50" s="49">
        <f>IF(1100674.36139="","-",(246849.02904-176525.78215)/1100674.36139*100)</f>
        <v>6.389105566263161</v>
      </c>
    </row>
    <row r="51" spans="1:7" s="9" customFormat="1" ht="15.75">
      <c r="A51" s="32" t="s">
        <v>281</v>
      </c>
      <c r="B51" s="49"/>
      <c r="C51" s="49"/>
      <c r="D51" s="49"/>
      <c r="E51" s="49"/>
      <c r="F51" s="49"/>
      <c r="G51" s="49"/>
    </row>
    <row r="52" spans="1:7" s="16" customFormat="1" ht="15.75">
      <c r="A52" s="42" t="s">
        <v>64</v>
      </c>
      <c r="B52" s="50">
        <f>IF(111668.89219="","-",111668.89219)</f>
        <v>111668.89219</v>
      </c>
      <c r="C52" s="50" t="s">
        <v>170</v>
      </c>
      <c r="D52" s="50">
        <f>IF(44790.53034="","-",44790.53034/1100674.36139*100)</f>
        <v>4.069371642620596</v>
      </c>
      <c r="E52" s="50">
        <f>IF(111668.89219="","-",111668.89219/1159333.75195*100)</f>
        <v>9.632160885696019</v>
      </c>
      <c r="F52" s="50">
        <f>IF(OR(857110.78655="",43151.5009="",44790.53034=""),"-",(44790.53034-43151.5009)/857110.78655*100)</f>
        <v>0.19122725623339065</v>
      </c>
      <c r="G52" s="50">
        <f>IF(OR(1100674.36139="",111668.89219="",44790.53034=""),"-",(111668.89219-44790.53034)/1100674.36139*100)</f>
        <v>6.076126072886975</v>
      </c>
    </row>
    <row r="53" spans="1:7" s="18" customFormat="1" ht="15.75">
      <c r="A53" s="42" t="s">
        <v>177</v>
      </c>
      <c r="B53" s="50">
        <f>IF(31858.75916="","-",31858.75916)</f>
        <v>31858.75916</v>
      </c>
      <c r="C53" s="50">
        <f>IF(OR(27050.69669="",31858.75916=""),"-",31858.75916/27050.69669*100)</f>
        <v>117.77426483724327</v>
      </c>
      <c r="D53" s="50">
        <f>IF(27050.69669="","-",27050.69669/1100674.36139*100)</f>
        <v>2.4576475694263196</v>
      </c>
      <c r="E53" s="50">
        <f>IF(31858.75916="","-",31858.75916/1159333.75195*100)</f>
        <v>2.7480230870889035</v>
      </c>
      <c r="F53" s="50">
        <f>IF(OR(857110.78655="",10844.81202="",27050.69669=""),"-",(27050.69669-10844.81202)/857110.78655*100)</f>
        <v>1.8907572888250685</v>
      </c>
      <c r="G53" s="50">
        <f>IF(OR(1100674.36139="",31858.75916="",27050.69669=""),"-",(31858.75916-27050.69669)/1100674.36139*100)</f>
        <v>0.4368287877559064</v>
      </c>
    </row>
    <row r="54" spans="1:7" s="9" customFormat="1" ht="15.75">
      <c r="A54" s="42" t="s">
        <v>19</v>
      </c>
      <c r="B54" s="50">
        <f>IF(9161.8402="","-",9161.8402)</f>
        <v>9161.8402</v>
      </c>
      <c r="C54" s="50">
        <f>IF(OR(9022.0032="",9161.8402=""),"-",9161.8402/9022.0032*100)</f>
        <v>101.5499551141813</v>
      </c>
      <c r="D54" s="50">
        <f>IF(9022.0032="","-",9022.0032/1100674.36139*100)</f>
        <v>0.8196795997506886</v>
      </c>
      <c r="E54" s="50">
        <f>IF(9161.8402="","-",9161.8402/1159333.75195*100)</f>
        <v>0.7902677019960629</v>
      </c>
      <c r="F54" s="50">
        <f>IF(OR(857110.78655="",6781.09898="",9022.0032=""),"-",(9022.0032-6781.09898)/857110.78655*100)</f>
        <v>0.26144860794716823</v>
      </c>
      <c r="G54" s="50">
        <f>IF(OR(1100674.36139="",9161.8402="",9022.0032=""),"-",(9161.8402-9022.0032)/1100674.36139*100)</f>
        <v>0.012704665876236683</v>
      </c>
    </row>
    <row r="55" spans="1:7" s="18" customFormat="1" ht="15.75">
      <c r="A55" s="42" t="s">
        <v>66</v>
      </c>
      <c r="B55" s="50">
        <f>IF(7458.80078="","-",7458.80078)</f>
        <v>7458.80078</v>
      </c>
      <c r="C55" s="50">
        <f>IF(OR(9533.33172="",7458.80078=""),"-",7458.80078/9533.33172*100)</f>
        <v>78.23918226145601</v>
      </c>
      <c r="D55" s="50">
        <f>IF(9533.33172="","-",9533.33172/1100674.36139*100)</f>
        <v>0.8661355305815169</v>
      </c>
      <c r="E55" s="50">
        <f>IF(7458.80078="","-",7458.80078/1159333.75195*100)</f>
        <v>0.6433695877010648</v>
      </c>
      <c r="F55" s="50">
        <f>IF(OR(857110.78655="",6685.68895="",9533.33172=""),"-",(9533.33172-6685.68895)/857110.78655*100)</f>
        <v>0.3322374207262274</v>
      </c>
      <c r="G55" s="50">
        <f>IF(OR(1100674.36139="",7458.80078="",9533.33172=""),"-",(7458.80078-9533.33172)/1100674.36139*100)</f>
        <v>-0.18847817417861482</v>
      </c>
    </row>
    <row r="56" spans="1:7" s="16" customFormat="1" ht="15.75">
      <c r="A56" s="42" t="s">
        <v>67</v>
      </c>
      <c r="B56" s="50">
        <f>IF(6440.41352="","-",6440.41352)</f>
        <v>6440.41352</v>
      </c>
      <c r="C56" s="50">
        <f>IF(OR(6641.40357="",6440.41352=""),"-",6440.41352/6641.40357*100)</f>
        <v>96.9736811220463</v>
      </c>
      <c r="D56" s="50">
        <f>IF(6641.40357="","-",6641.40357/1100674.36139*100)</f>
        <v>0.6033940466836007</v>
      </c>
      <c r="E56" s="50">
        <f>IF(6440.41352="","-",6440.41352/1159333.75195*100)</f>
        <v>0.5555271300578648</v>
      </c>
      <c r="F56" s="50">
        <f>IF(OR(857110.78655="",4710.37529="",6641.40357=""),"-",(6641.40357-4710.37529)/857110.78655*100)</f>
        <v>0.22529506223724943</v>
      </c>
      <c r="G56" s="50">
        <f>IF(OR(1100674.36139="",6440.41352="",6641.40357=""),"-",(6440.41352-6641.40357)/1100674.36139*100)</f>
        <v>-0.01826062794323451</v>
      </c>
    </row>
    <row r="57" spans="1:7" s="9" customFormat="1" ht="15.75">
      <c r="A57" s="42" t="s">
        <v>68</v>
      </c>
      <c r="B57" s="50">
        <f>IF(6018.36402="","-",6018.36402)</f>
        <v>6018.36402</v>
      </c>
      <c r="C57" s="50">
        <f>IF(OR(6326.14391="",6018.36402=""),"-",6018.36402/6326.14391*100)</f>
        <v>95.13479468095123</v>
      </c>
      <c r="D57" s="50">
        <f>IF(6326.14391="","-",6326.14391/1100674.36139*100)</f>
        <v>0.5747516369883415</v>
      </c>
      <c r="E57" s="50">
        <f>IF(6018.36402="","-",6018.36402/1159333.75195*100)</f>
        <v>0.5191226434904623</v>
      </c>
      <c r="F57" s="50">
        <f>IF(OR(857110.78655="",4887.67584="",6326.14391=""),"-",(6326.14391-4887.67584)/857110.78655*100)</f>
        <v>0.1678275542173551</v>
      </c>
      <c r="G57" s="50">
        <f>IF(OR(1100674.36139="",6018.36402="",6326.14391=""),"-",(6018.36402-6326.14391)/1100674.36139*100)</f>
        <v>-0.027962847214076672</v>
      </c>
    </row>
    <row r="58" spans="1:7" s="9" customFormat="1" ht="15.75">
      <c r="A58" s="42" t="s">
        <v>149</v>
      </c>
      <c r="B58" s="50">
        <f>IF(5876.29757="","-",5876.29757)</f>
        <v>5876.29757</v>
      </c>
      <c r="C58" s="50" t="s">
        <v>125</v>
      </c>
      <c r="D58" s="50">
        <f>IF(1814.36371="","-",1814.36371/1100674.36139*100)</f>
        <v>0.16484109866143415</v>
      </c>
      <c r="E58" s="50">
        <f>IF(5876.29757="","-",5876.29757/1159333.75195*100)</f>
        <v>0.5068684975414598</v>
      </c>
      <c r="F58" s="50">
        <f>IF(OR(857110.78655="",3580.22734="",1814.36371=""),"-",(1814.36371-3580.22734)/857110.78655*100)</f>
        <v>-0.20602513207281722</v>
      </c>
      <c r="G58" s="50">
        <f>IF(OR(1100674.36139="",5876.29757="",1814.36371=""),"-",(5876.29757-1814.36371)/1100674.36139*100)</f>
        <v>0.36904047214021934</v>
      </c>
    </row>
    <row r="59" spans="1:7" s="18" customFormat="1" ht="15.75">
      <c r="A59" s="42" t="s">
        <v>65</v>
      </c>
      <c r="B59" s="50">
        <f>IF(5609.2559="","-",5609.2559)</f>
        <v>5609.2559</v>
      </c>
      <c r="C59" s="50">
        <f>IF(OR(6176.40729="",5609.2559=""),"-",5609.2559/6176.40729*100)</f>
        <v>90.81745481846292</v>
      </c>
      <c r="D59" s="50">
        <f>IF(6176.40729="","-",6176.40729/1100674.36139*100)</f>
        <v>0.561147557048576</v>
      </c>
      <c r="E59" s="50">
        <f>IF(5609.2559="","-",5609.2559/1159333.75195*100)</f>
        <v>0.4838344342658211</v>
      </c>
      <c r="F59" s="50">
        <f>IF(OR(857110.78655="",8185.49344="",6176.40729=""),"-",(6176.40729-8185.49344)/857110.78655*100)</f>
        <v>-0.2344021544854049</v>
      </c>
      <c r="G59" s="50">
        <f>IF(OR(1100674.36139="",5609.2559="",6176.40729=""),"-",(5609.2559-6176.40729)/1100674.36139*100)</f>
        <v>-0.05152762796107706</v>
      </c>
    </row>
    <row r="60" spans="1:7" s="9" customFormat="1" ht="15.75">
      <c r="A60" s="42" t="s">
        <v>73</v>
      </c>
      <c r="B60" s="50">
        <f>IF(5351.71707="","-",5351.71707)</f>
        <v>5351.71707</v>
      </c>
      <c r="C60" s="50" t="s">
        <v>240</v>
      </c>
      <c r="D60" s="50">
        <f>IF(2455.12395="","-",2455.12395/1100674.36139*100)</f>
        <v>0.22305634037841282</v>
      </c>
      <c r="E60" s="50">
        <f>IF(5351.71707="","-",5351.71707/1159333.75195*100)</f>
        <v>0.46162005212031554</v>
      </c>
      <c r="F60" s="50">
        <f>IF(OR(857110.78655="",1086.09662="",2455.12395=""),"-",(2455.12395-1086.09662)/857110.78655*100)</f>
        <v>0.15972583141912627</v>
      </c>
      <c r="G60" s="50">
        <f>IF(OR(1100674.36139="",5351.71707="",2455.12395=""),"-",(5351.71707-2455.12395)/1100674.36139*100)</f>
        <v>0.26316531224930156</v>
      </c>
    </row>
    <row r="61" spans="1:7" s="16" customFormat="1" ht="15.75">
      <c r="A61" s="42" t="s">
        <v>76</v>
      </c>
      <c r="B61" s="50">
        <f>IF(4560.07916="","-",4560.07916)</f>
        <v>4560.07916</v>
      </c>
      <c r="C61" s="50" t="s">
        <v>167</v>
      </c>
      <c r="D61" s="50">
        <f>IF(1733.54102="","-",1733.54102/1100674.36139*100)</f>
        <v>0.15749808306707322</v>
      </c>
      <c r="E61" s="50">
        <f>IF(4560.07916="","-",4560.07916/1159333.75195*100)</f>
        <v>0.393336185747197</v>
      </c>
      <c r="F61" s="50">
        <f>IF(OR(857110.78655="",2158.94454="",1733.54102=""),"-",(1733.54102-2158.94454)/857110.78655*100)</f>
        <v>-0.049632267692291364</v>
      </c>
      <c r="G61" s="50">
        <f>IF(OR(1100674.36139="",4560.07916="",1733.54102=""),"-",(4560.07916-1733.54102)/1100674.36139*100)</f>
        <v>0.25680057964014646</v>
      </c>
    </row>
    <row r="62" spans="1:7" s="9" customFormat="1" ht="15.75">
      <c r="A62" s="42" t="s">
        <v>74</v>
      </c>
      <c r="B62" s="50">
        <f>IF(4365.38608="","-",4365.38608)</f>
        <v>4365.38608</v>
      </c>
      <c r="C62" s="50">
        <f>IF(OR(9466.79211="",4365.38608=""),"-",4365.38608/9466.79211*100)</f>
        <v>46.11262219848197</v>
      </c>
      <c r="D62" s="50">
        <f>IF(9466.79211="","-",9466.79211/1100674.36139*100)</f>
        <v>0.8600901812634889</v>
      </c>
      <c r="E62" s="50">
        <f>IF(4365.38608="","-",4365.38608/1159333.75195*100)</f>
        <v>0.37654265414574695</v>
      </c>
      <c r="F62" s="50">
        <f>IF(OR(857110.78655="",2629.28099="",9466.79211=""),"-",(9466.79211-2629.28099)/857110.78655*100)</f>
        <v>0.7977394786410299</v>
      </c>
      <c r="G62" s="50">
        <f>IF(OR(1100674.36139="",4365.38608="",9466.79211=""),"-",(4365.38608-9466.79211)/1100674.36139*100)</f>
        <v>-0.46348004541121746</v>
      </c>
    </row>
    <row r="63" spans="1:7" s="16" customFormat="1" ht="15.75">
      <c r="A63" s="42" t="s">
        <v>70</v>
      </c>
      <c r="B63" s="50">
        <f>IF(3214.1717="","-",3214.1717)</f>
        <v>3214.1717</v>
      </c>
      <c r="C63" s="50" t="s">
        <v>170</v>
      </c>
      <c r="D63" s="50">
        <f>IF(1281.35108="","-",1281.35108/1100674.36139*100)</f>
        <v>0.11641509286923248</v>
      </c>
      <c r="E63" s="50">
        <f>IF(3214.1717="","-",3214.1717/1159333.75195*100)</f>
        <v>0.27724300224967674</v>
      </c>
      <c r="F63" s="50">
        <f>IF(OR(857110.78655="",1295.78675="",1281.35108=""),"-",(1281.35108-1295.78675)/857110.78655*100)</f>
        <v>-0.0016842245164252125</v>
      </c>
      <c r="G63" s="50">
        <f>IF(OR(1100674.36139="",3214.1717="",1281.35108=""),"-",(3214.1717-1281.35108)/1100674.36139*100)</f>
        <v>0.17560331082474875</v>
      </c>
    </row>
    <row r="64" spans="1:7" s="9" customFormat="1" ht="15.75">
      <c r="A64" s="42" t="s">
        <v>150</v>
      </c>
      <c r="B64" s="50">
        <f>IF(2588.27613="","-",2588.27613)</f>
        <v>2588.27613</v>
      </c>
      <c r="C64" s="50" t="s">
        <v>241</v>
      </c>
      <c r="D64" s="50">
        <f>IF(41.0439="","-",41.0439/1100674.36139*100)</f>
        <v>0.00372897756500544</v>
      </c>
      <c r="E64" s="50">
        <f>IF(2588.27613="","-",2588.27613/1159333.75195*100)</f>
        <v>0.2232554797655566</v>
      </c>
      <c r="F64" s="50" t="str">
        <f>IF(OR(857110.78655="",""="",41.0439=""),"-",(41.0439-"")/857110.78655*100)</f>
        <v>-</v>
      </c>
      <c r="G64" s="50">
        <f>IF(OR(1100674.36139="",2588.27613="",41.0439=""),"-",(2588.27613-41.0439)/1100674.36139*100)</f>
        <v>0.23142469011299552</v>
      </c>
    </row>
    <row r="65" spans="1:7" s="16" customFormat="1" ht="15.75">
      <c r="A65" s="42" t="s">
        <v>69</v>
      </c>
      <c r="B65" s="50">
        <f>IF(2035.61463="","-",2035.61463)</f>
        <v>2035.61463</v>
      </c>
      <c r="C65" s="50">
        <f>IF(OR(2181.79273="",2035.61463=""),"-",2035.61463/2181.79273*100)</f>
        <v>93.30009225945123</v>
      </c>
      <c r="D65" s="50">
        <f>IF(2181.79273="","-",2181.79273/1100674.36139*100)</f>
        <v>0.19822327170814596</v>
      </c>
      <c r="E65" s="50">
        <f>IF(2035.61463="","-",2035.61463/1159333.75195*100)</f>
        <v>0.1755848673064245</v>
      </c>
      <c r="F65" s="50">
        <f>IF(OR(857110.78655="",2145.9951="",2181.79273=""),"-",(2181.79273-2145.9951)/857110.78655*100)</f>
        <v>0.004176546435040315</v>
      </c>
      <c r="G65" s="50">
        <f>IF(OR(1100674.36139="",2035.61463="",2181.79273=""),"-",(2035.61463-2181.79273)/1100674.36139*100)</f>
        <v>-0.01328077632474307</v>
      </c>
    </row>
    <row r="66" spans="1:7" s="9" customFormat="1" ht="15.75">
      <c r="A66" s="42" t="s">
        <v>71</v>
      </c>
      <c r="B66" s="50">
        <f>IF(1516.47654="","-",1516.47654)</f>
        <v>1516.47654</v>
      </c>
      <c r="C66" s="50" t="s">
        <v>242</v>
      </c>
      <c r="D66" s="50">
        <f>IF(209.30433="","-",209.30433/1100674.36139*100)</f>
        <v>0.019016008489166358</v>
      </c>
      <c r="E66" s="50">
        <f>IF(1516.47654="","-",1516.47654/1159333.75195*100)</f>
        <v>0.13080586478650222</v>
      </c>
      <c r="F66" s="50">
        <f>IF(OR(857110.78655="",51.02187="",209.30433=""),"-",(209.30433-51.02187)/857110.78655*100)</f>
        <v>0.018466977954753168</v>
      </c>
      <c r="G66" s="50">
        <f>IF(OR(1100674.36139="",1516.47654="",209.30433=""),"-",(1516.47654-209.30433)/1100674.36139*100)</f>
        <v>0.11876103013331045</v>
      </c>
    </row>
    <row r="67" spans="1:7" s="9" customFormat="1" ht="15.75">
      <c r="A67" s="42" t="s">
        <v>45</v>
      </c>
      <c r="B67" s="50">
        <f>IF(1480.66495="","-",1480.66495)</f>
        <v>1480.66495</v>
      </c>
      <c r="C67" s="50">
        <f>IF(OR(2549.68555="",1480.66495=""),"-",1480.66495/2549.68555*100)</f>
        <v>58.07245328742597</v>
      </c>
      <c r="D67" s="50">
        <f>IF(2549.68555="","-",2549.68555/1100674.36139*100)</f>
        <v>0.2316475825583962</v>
      </c>
      <c r="E67" s="50">
        <f>IF(1480.66495="","-",1480.66495/1159333.75195*100)</f>
        <v>0.1277168845907851</v>
      </c>
      <c r="F67" s="50">
        <f>IF(OR(857110.78655="",1614.45821="",2549.68555=""),"-",(2549.68555-1614.45821)/857110.78655*100)</f>
        <v>0.10911393890682802</v>
      </c>
      <c r="G67" s="50">
        <f>IF(OR(1100674.36139="",1480.66495="",2549.68555=""),"-",(1480.66495-2549.68555)/1100674.36139*100)</f>
        <v>-0.09712414838572005</v>
      </c>
    </row>
    <row r="68" spans="1:7" s="16" customFormat="1" ht="15.75">
      <c r="A68" s="42" t="s">
        <v>94</v>
      </c>
      <c r="B68" s="50">
        <f>IF(1346.62953="","-",1346.62953)</f>
        <v>1346.62953</v>
      </c>
      <c r="C68" s="50">
        <f>IF(OR(1026.08906="",1346.62953=""),"-",1346.62953/1026.08906*100)</f>
        <v>131.2390495616433</v>
      </c>
      <c r="D68" s="50">
        <f>IF(1026.08906="","-",1026.08906/1100674.36139*100)</f>
        <v>0.09322367232250153</v>
      </c>
      <c r="E68" s="50">
        <f>IF(1346.62953="","-",1346.62953/1159333.75195*100)</f>
        <v>0.11615546668377146</v>
      </c>
      <c r="F68" s="50">
        <f>IF(OR(857110.78655="",307.58063="",1026.08906=""),"-",(1026.08906-307.58063)/857110.78655*100)</f>
        <v>0.08382912002450754</v>
      </c>
      <c r="G68" s="50">
        <f>IF(OR(1100674.36139="",1346.62953="",1026.08906=""),"-",(1346.62953-1026.08906)/1100674.36139*100)</f>
        <v>0.029122189200010206</v>
      </c>
    </row>
    <row r="69" spans="1:7" s="18" customFormat="1" ht="15.75">
      <c r="A69" s="42" t="s">
        <v>83</v>
      </c>
      <c r="B69" s="50">
        <f>IF(1190.04082="","-",1190.04082)</f>
        <v>1190.04082</v>
      </c>
      <c r="C69" s="50">
        <f>IF(OR(8340.96188="",1190.04082=""),"-",1190.04082/8340.96188*100)</f>
        <v>14.267429070182969</v>
      </c>
      <c r="D69" s="50">
        <f>IF(8340.96188="","-",8340.96188/1100674.36139*100)</f>
        <v>0.7578046852537308</v>
      </c>
      <c r="E69" s="50">
        <f>IF(1190.04082="","-",1190.04082/1159333.75195*100)</f>
        <v>0.10264868231416109</v>
      </c>
      <c r="F69" s="50">
        <f>IF(OR(857110.78655="",1747.30038="",8340.96188=""),"-",(8340.96188-1747.30038)/857110.78655*100)</f>
        <v>0.7692892918242789</v>
      </c>
      <c r="G69" s="50">
        <f>IF(OR(1100674.36139="",1190.04082="",8340.96188=""),"-",(1190.04082-8340.96188)/1100674.36139*100)</f>
        <v>-0.6496854392946314</v>
      </c>
    </row>
    <row r="70" spans="1:7" s="9" customFormat="1" ht="15.75">
      <c r="A70" s="42" t="s">
        <v>100</v>
      </c>
      <c r="B70" s="50">
        <f>IF(1175.53676="","-",1175.53676)</f>
        <v>1175.53676</v>
      </c>
      <c r="C70" s="50" t="s">
        <v>243</v>
      </c>
      <c r="D70" s="50">
        <f>IF(30.51845="","-",30.51845/1100674.36139*100)</f>
        <v>0.0027727047227173902</v>
      </c>
      <c r="E70" s="50">
        <f>IF(1175.53676="","-",1175.53676/1159333.75195*100)</f>
        <v>0.1013976137607265</v>
      </c>
      <c r="F70" s="50">
        <f>IF(OR(857110.78655="",17.77175="",30.51845=""),"-",(30.51845-17.77175)/857110.78655*100)</f>
        <v>0.0014871706435182538</v>
      </c>
      <c r="G70" s="50">
        <f>IF(OR(1100674.36139="",1175.53676="",30.51845=""),"-",(1175.53676-30.51845)/1100674.36139*100)</f>
        <v>0.10402879817732827</v>
      </c>
    </row>
    <row r="71" spans="1:7" s="9" customFormat="1" ht="15.75">
      <c r="A71" s="42" t="s">
        <v>47</v>
      </c>
      <c r="B71" s="50">
        <f>IF(1065.23125="","-",1065.23125)</f>
        <v>1065.23125</v>
      </c>
      <c r="C71" s="50" t="s">
        <v>170</v>
      </c>
      <c r="D71" s="50">
        <f>IF(421.97563="","-",421.97563/1100674.36139*100)</f>
        <v>0.038337917625981856</v>
      </c>
      <c r="E71" s="50">
        <f>IF(1065.23125="","-",1065.23125/1159333.75195*100)</f>
        <v>0.09188305336649438</v>
      </c>
      <c r="F71" s="50" t="str">
        <f>IF(OR(857110.78655="",""="",421.97563=""),"-",(421.97563-"")/857110.78655*100)</f>
        <v>-</v>
      </c>
      <c r="G71" s="50">
        <f>IF(OR(1100674.36139="",1065.23125="",421.97563=""),"-",(1065.23125-421.97563)/1100674.36139*100)</f>
        <v>0.058441955456076666</v>
      </c>
    </row>
    <row r="72" spans="1:7" s="9" customFormat="1" ht="15.75">
      <c r="A72" s="42" t="s">
        <v>178</v>
      </c>
      <c r="B72" s="50">
        <f>IF(1001.23142="","-",1001.23142)</f>
        <v>1001.23142</v>
      </c>
      <c r="C72" s="50" t="s">
        <v>244</v>
      </c>
      <c r="D72" s="50">
        <f>IF(69.77432="","-",69.77432/1100674.36139*100)</f>
        <v>0.006339233695957509</v>
      </c>
      <c r="E72" s="50">
        <f>IF(1001.23142="","-",1001.23142/1159333.75195*100)</f>
        <v>0.08636265599236874</v>
      </c>
      <c r="F72" s="50">
        <f>IF(OR(857110.78655="",939.07711="",69.77432=""),"-",(69.77432-939.07711)/857110.78655*100)</f>
        <v>-0.10142245362458624</v>
      </c>
      <c r="G72" s="50">
        <f>IF(OR(1100674.36139="",1001.23142="",69.77432=""),"-",(1001.23142-69.77432)/1100674.36139*100)</f>
        <v>0.0846260376978072</v>
      </c>
    </row>
    <row r="73" spans="1:7" s="9" customFormat="1" ht="15.75">
      <c r="A73" s="42" t="s">
        <v>121</v>
      </c>
      <c r="B73" s="50">
        <f>IF(735.18047="","-",735.18047)</f>
        <v>735.18047</v>
      </c>
      <c r="C73" s="50" t="s">
        <v>114</v>
      </c>
      <c r="D73" s="50">
        <f>IF(421.13265="","-",421.13265/1100674.36139*100)</f>
        <v>0.038261330032996095</v>
      </c>
      <c r="E73" s="50">
        <f>IF(735.18047="","-",735.18047/1159333.75195*100)</f>
        <v>0.06341404869507387</v>
      </c>
      <c r="F73" s="50" t="str">
        <f>IF(OR(857110.78655="",""="",421.13265=""),"-",(421.13265-"")/857110.78655*100)</f>
        <v>-</v>
      </c>
      <c r="G73" s="50">
        <f>IF(OR(1100674.36139="",735.18047="",421.13265=""),"-",(735.18047-421.13265)/1100674.36139*100)</f>
        <v>0.02853230991983868</v>
      </c>
    </row>
    <row r="74" spans="1:7" s="9" customFormat="1" ht="15.75">
      <c r="A74" s="42" t="s">
        <v>72</v>
      </c>
      <c r="B74" s="50">
        <f>IF(701.07757="","-",701.07757)</f>
        <v>701.07757</v>
      </c>
      <c r="C74" s="50">
        <f>IF(OR(1714.78677="",701.07757=""),"-",701.07757/1714.78677*100)</f>
        <v>40.88424183491922</v>
      </c>
      <c r="D74" s="50">
        <f>IF(1714.78677="","-",1714.78677/1100674.36139*100)</f>
        <v>0.15579419582686205</v>
      </c>
      <c r="E74" s="50">
        <f>IF(701.07757="","-",701.07757/1159333.75195*100)</f>
        <v>0.060472454012555674</v>
      </c>
      <c r="F74" s="50">
        <f>IF(OR(857110.78655="",459.50868="",1714.78677=""),"-",(1714.78677-459.50868)/857110.78655*100)</f>
        <v>0.14645459019979007</v>
      </c>
      <c r="G74" s="50">
        <f>IF(OR(1100674.36139="",701.07757="",1714.78677=""),"-",(701.07757-1714.78677)/1100674.36139*100)</f>
        <v>-0.09209892004024015</v>
      </c>
    </row>
    <row r="75" spans="1:7" s="9" customFormat="1" ht="15.75">
      <c r="A75" s="42" t="s">
        <v>92</v>
      </c>
      <c r="B75" s="50">
        <f>IF(586.61611="","-",586.61611)</f>
        <v>586.61611</v>
      </c>
      <c r="C75" s="50" t="s">
        <v>245</v>
      </c>
      <c r="D75" s="50">
        <f>IF(0.19008="","-",0.19008/1100674.36139*100)</f>
        <v>1.726941288611058E-05</v>
      </c>
      <c r="E75" s="50">
        <f>IF(586.61611="","-",586.61611/1159333.75195*100)</f>
        <v>0.050599416174446014</v>
      </c>
      <c r="F75" s="50">
        <f>IF(OR(857110.78655="",0.72611="",0.19008=""),"-",(0.19008-0.72611)/857110.78655*100)</f>
        <v>-6.253917327975786E-05</v>
      </c>
      <c r="G75" s="50">
        <f>IF(OR(1100674.36139="",586.61611="",0.19008=""),"-",(586.61611-0.19008)/1100674.36139*100)</f>
        <v>0.05327879439832003</v>
      </c>
    </row>
    <row r="76" spans="1:7" s="9" customFormat="1" ht="15.75">
      <c r="A76" s="42" t="s">
        <v>46</v>
      </c>
      <c r="B76" s="50">
        <f>IF(561.02682="","-",561.02682)</f>
        <v>561.02682</v>
      </c>
      <c r="C76" s="50" t="s">
        <v>246</v>
      </c>
      <c r="D76" s="50">
        <f>IF(129.15585="","-",129.15585/1100674.36139*100)</f>
        <v>0.011734247160703731</v>
      </c>
      <c r="E76" s="50">
        <f>IF(561.02682="","-",561.02682/1159333.75195*100)</f>
        <v>0.048392175165809896</v>
      </c>
      <c r="F76" s="50">
        <f>IF(OR(857110.78655="",53.90563="",129.15585=""),"-",(129.15585-53.90563)/857110.78655*100)</f>
        <v>0.008779520825177507</v>
      </c>
      <c r="G76" s="50">
        <f>IF(OR(1100674.36139="",561.02682="",129.15585=""),"-",(561.02682-129.15585)/1100674.36139*100)</f>
        <v>0.0392369428369901</v>
      </c>
    </row>
    <row r="77" spans="1:7" s="9" customFormat="1" ht="15.75">
      <c r="A77" s="42" t="s">
        <v>79</v>
      </c>
      <c r="B77" s="50">
        <f>IF(544.95549="","-",544.95549)</f>
        <v>544.95549</v>
      </c>
      <c r="C77" s="50" t="str">
        <f>IF(OR(""="",544.95549=""),"-",544.95549/""*100)</f>
        <v>-</v>
      </c>
      <c r="D77" s="50" t="str">
        <f>IF(""="","-",""/1100674.36139*100)</f>
        <v>-</v>
      </c>
      <c r="E77" s="50">
        <f>IF(544.95549="","-",544.95549/1159333.75195*100)</f>
        <v>0.04700591948465096</v>
      </c>
      <c r="F77" s="50" t="str">
        <f>IF(OR(857110.78655="",""="",""=""),"-",(""-"")/857110.78655*100)</f>
        <v>-</v>
      </c>
      <c r="G77" s="50" t="str">
        <f>IF(OR(1100674.36139="",544.95549="",""=""),"-",(544.95549-"")/1100674.36139*100)</f>
        <v>-</v>
      </c>
    </row>
    <row r="78" spans="1:7" s="9" customFormat="1" ht="15.75">
      <c r="A78" s="42" t="s">
        <v>84</v>
      </c>
      <c r="B78" s="50">
        <f>IF(523.56115="","-",523.56115)</f>
        <v>523.56115</v>
      </c>
      <c r="C78" s="50">
        <f>IF(OR(500.9855="",523.56115=""),"-",523.56115/500.9855*100)</f>
        <v>104.5062481848277</v>
      </c>
      <c r="D78" s="50">
        <f>IF(500.9855="","-",500.9855/1100674.36139*100)</f>
        <v>0.04551623237297218</v>
      </c>
      <c r="E78" s="50">
        <f>IF(523.56115="","-",523.56115/1159333.75195*100)</f>
        <v>0.045160519920977873</v>
      </c>
      <c r="F78" s="50">
        <f>IF(OR(857110.78655="",401.52824="",500.9855=""),"-",(500.9855-401.52824)/857110.78655*100)</f>
        <v>0.011603781163498184</v>
      </c>
      <c r="G78" s="50">
        <f>IF(OR(1100674.36139="",523.56115="",500.9855=""),"-",(523.56115-500.9855)/1100674.36139*100)</f>
        <v>0.002051074395109019</v>
      </c>
    </row>
    <row r="79" spans="1:7" ht="15.75">
      <c r="A79" s="42" t="s">
        <v>80</v>
      </c>
      <c r="B79" s="50">
        <f>IF(502.49959="","-",502.49959)</f>
        <v>502.49959</v>
      </c>
      <c r="C79" s="50">
        <f>IF(OR(370.37336="",502.49959=""),"-",502.49959/370.37336*100)</f>
        <v>135.6737941411337</v>
      </c>
      <c r="D79" s="50">
        <f>IF(370.37336="","-",370.37336/1100674.36139*100)</f>
        <v>0.033649676325000384</v>
      </c>
      <c r="E79" s="50">
        <f>IF(502.49959="","-",502.49959/1159333.75195*100)</f>
        <v>0.04334382477477219</v>
      </c>
      <c r="F79" s="50">
        <f>IF(OR(857110.78655="",291.285="",370.37336=""),"-",(370.37336-291.285)/857110.78655*100)</f>
        <v>0.009227320579915058</v>
      </c>
      <c r="G79" s="50">
        <f>IF(OR(1100674.36139="",502.49959="",370.37336=""),"-",(502.49959-370.37336)/1100674.36139*100)</f>
        <v>0.01200411626133844</v>
      </c>
    </row>
    <row r="80" spans="1:7" ht="15.75">
      <c r="A80" s="42" t="s">
        <v>183</v>
      </c>
      <c r="B80" s="50">
        <f>IF(502.45639="","-",502.45639)</f>
        <v>502.45639</v>
      </c>
      <c r="C80" s="50">
        <f>IF(OR(804.56963="",502.45639=""),"-",502.45639/804.56963*100)</f>
        <v>62.45033012245317</v>
      </c>
      <c r="D80" s="50">
        <f>IF(804.56963="","-",804.56963/1100674.36139*100)</f>
        <v>0.07309788055605651</v>
      </c>
      <c r="E80" s="50">
        <f>IF(502.45639="","-",502.45639/1159333.75195*100)</f>
        <v>0.043340098496646724</v>
      </c>
      <c r="F80" s="50">
        <f>IF(OR(857110.78655="",1813.16707="",804.56963=""),"-",(804.56963-1813.16707)/857110.78655*100)</f>
        <v>-0.11767410419133292</v>
      </c>
      <c r="G80" s="50">
        <f>IF(OR(1100674.36139="",502.45639="",804.56963=""),"-",(502.45639-804.56963)/1100674.36139*100)</f>
        <v>-0.02744801283628271</v>
      </c>
    </row>
    <row r="81" spans="1:7" ht="15.75">
      <c r="A81" s="42" t="s">
        <v>85</v>
      </c>
      <c r="B81" s="50">
        <f>IF(498.81201="","-",498.81201)</f>
        <v>498.81201</v>
      </c>
      <c r="C81" s="50">
        <f>IF(OR(726.20234="",498.81201=""),"-",498.81201/726.20234*100)</f>
        <v>68.68774479575485</v>
      </c>
      <c r="D81" s="50">
        <f>IF(726.20234="","-",726.20234/1100674.36139*100)</f>
        <v>0.06597794638215308</v>
      </c>
      <c r="E81" s="50">
        <f>IF(498.81201="","-",498.81201/1159333.75195*100)</f>
        <v>0.04302574725880256</v>
      </c>
      <c r="F81" s="50">
        <f>IF(OR(857110.78655="",248.42403="",726.20234=""),"-",(726.20234-248.42403)/857110.78655*100)</f>
        <v>0.05574288849206177</v>
      </c>
      <c r="G81" s="50">
        <f>IF(OR(1100674.36139="",498.81201="",726.20234=""),"-",(498.81201-726.20234)/1100674.36139*100)</f>
        <v>-0.020659182949699803</v>
      </c>
    </row>
    <row r="82" spans="1:7" ht="15.75">
      <c r="A82" s="42" t="s">
        <v>179</v>
      </c>
      <c r="B82" s="50">
        <f>IF(486.98434="","-",486.98434)</f>
        <v>486.98434</v>
      </c>
      <c r="C82" s="50">
        <f>IF(OR(629.672="",486.98434=""),"-",486.98434/629.672*100)</f>
        <v>77.33936716258623</v>
      </c>
      <c r="D82" s="50">
        <f>IF(629.672="","-",629.672/1100674.36139*100)</f>
        <v>0.05720783749380799</v>
      </c>
      <c r="E82" s="50">
        <f>IF(486.98434="","-",486.98434/1159333.75195*100)</f>
        <v>0.04200553457370598</v>
      </c>
      <c r="F82" s="50">
        <f>IF(OR(857110.78655="",483.0084="",629.672=""),"-",(629.672-483.0084)/857110.78655*100)</f>
        <v>0.017111393567959064</v>
      </c>
      <c r="G82" s="50">
        <f>IF(OR(1100674.36139="",486.98434="",629.672=""),"-",(486.98434-629.672)/1100674.36139*100)</f>
        <v>-0.01296365800869616</v>
      </c>
    </row>
    <row r="83" spans="1:7" ht="15.75">
      <c r="A83" s="42" t="s">
        <v>82</v>
      </c>
      <c r="B83" s="50">
        <f>IF(454.88621="","-",454.88621)</f>
        <v>454.88621</v>
      </c>
      <c r="C83" s="50" t="s">
        <v>115</v>
      </c>
      <c r="D83" s="50">
        <f>IF(279.67934="","-",279.67934/1100674.36139*100)</f>
        <v>0.025409816909590186</v>
      </c>
      <c r="E83" s="50">
        <f>IF(454.88621="","-",454.88621/1159333.75195*100)</f>
        <v>0.03923686421057622</v>
      </c>
      <c r="F83" s="50" t="str">
        <f>IF(OR(857110.78655="",""="",279.67934=""),"-",(279.67934-"")/857110.78655*100)</f>
        <v>-</v>
      </c>
      <c r="G83" s="50">
        <f>IF(OR(1100674.36139="",454.88621="",279.67934=""),"-",(454.88621-279.67934)/1100674.36139*100)</f>
        <v>0.015918138565409832</v>
      </c>
    </row>
    <row r="84" spans="1:7" ht="15.75">
      <c r="A84" s="42" t="s">
        <v>105</v>
      </c>
      <c r="B84" s="50">
        <f>IF(323.47451="","-",323.47451)</f>
        <v>323.47451</v>
      </c>
      <c r="C84" s="50">
        <f>IF(OR(255.87693="",323.47451=""),"-",323.47451/255.87693*100)</f>
        <v>126.41800493698281</v>
      </c>
      <c r="D84" s="50">
        <f>IF(255.87693="","-",255.87693/1100674.36139*100)</f>
        <v>0.023247287206441578</v>
      </c>
      <c r="E84" s="50">
        <f>IF(323.47451="","-",323.47451/1159333.75195*100)</f>
        <v>0.02790175904530647</v>
      </c>
      <c r="F84" s="50">
        <f>IF(OR(857110.78655="",119.40201="",255.87693=""),"-",(255.87693-119.40201)/857110.78655*100)</f>
        <v>0.015922669757702165</v>
      </c>
      <c r="G84" s="50">
        <f>IF(OR(1100674.36139="",323.47451="",255.87693=""),"-",(323.47451-255.87693)/1100674.36139*100)</f>
        <v>0.006141469481912307</v>
      </c>
    </row>
    <row r="85" spans="1:7" ht="15.75">
      <c r="A85" s="42" t="s">
        <v>153</v>
      </c>
      <c r="B85" s="50">
        <f>IF(271.83195="","-",271.83195)</f>
        <v>271.83195</v>
      </c>
      <c r="C85" s="50" t="s">
        <v>247</v>
      </c>
      <c r="D85" s="50">
        <f>IF(19.32432="","-",19.32432/1100674.36139*100)</f>
        <v>0.001755680033792742</v>
      </c>
      <c r="E85" s="50">
        <f>IF(271.83195="","-",271.83195/1159333.75195*100)</f>
        <v>0.02344725576588955</v>
      </c>
      <c r="F85" s="50">
        <f>IF(OR(857110.78655="",18.26491="",19.32432=""),"-",(19.32432-18.26491)/857110.78655*100)</f>
        <v>0.00012360245800479127</v>
      </c>
      <c r="G85" s="50">
        <f>IF(OR(1100674.36139="",271.83195="",19.32432=""),"-",(271.83195-19.32432)/1100674.36139*100)</f>
        <v>0.02294117487038743</v>
      </c>
    </row>
    <row r="86" spans="1:7" ht="15.75">
      <c r="A86" s="42" t="s">
        <v>124</v>
      </c>
      <c r="B86" s="50">
        <f>IF(256.45194="","-",256.45194)</f>
        <v>256.45194</v>
      </c>
      <c r="C86" s="50">
        <f>IF(OR(410.44875="",256.45194=""),"-",256.45194/410.44875*100)</f>
        <v>62.48086758700081</v>
      </c>
      <c r="D86" s="50">
        <f>IF(410.44875="","-",410.44875/1100674.36139*100)</f>
        <v>0.03729066147063331</v>
      </c>
      <c r="E86" s="50">
        <f>IF(256.45194="","-",256.45194/1159333.75195*100)</f>
        <v>0.022120630885510553</v>
      </c>
      <c r="F86" s="50" t="str">
        <f>IF(OR(857110.78655="",""="",410.44875=""),"-",(410.44875-"")/857110.78655*100)</f>
        <v>-</v>
      </c>
      <c r="G86" s="50">
        <f>IF(OR(1100674.36139="",256.45194="",410.44875=""),"-",(256.45194-410.44875)/1100674.36139*100)</f>
        <v>-0.013991132654850186</v>
      </c>
    </row>
    <row r="87" spans="1:7" ht="15.75">
      <c r="A87" s="42" t="s">
        <v>151</v>
      </c>
      <c r="B87" s="50">
        <f>IF(237.6275="","-",237.6275)</f>
        <v>237.6275</v>
      </c>
      <c r="C87" s="50" t="s">
        <v>248</v>
      </c>
      <c r="D87" s="50">
        <f>IF(19.15="","-",19.15/1100674.36139*100)</f>
        <v>0.0017398424703757237</v>
      </c>
      <c r="E87" s="50">
        <f>IF(237.6275="","-",237.6275/1159333.75195*100)</f>
        <v>0.02049690174208337</v>
      </c>
      <c r="F87" s="50">
        <f>IF(OR(857110.78655="",30.66291="",19.15=""),"-",(19.15-30.66291)/857110.78655*100)</f>
        <v>-0.0013432230909543443</v>
      </c>
      <c r="G87" s="50">
        <f>IF(OR(1100674.36139="",237.6275="",19.15=""),"-",(237.6275-19.15)/1100674.36139*100)</f>
        <v>0.019849422105562</v>
      </c>
    </row>
    <row r="88" spans="1:7" ht="15.75">
      <c r="A88" s="42" t="s">
        <v>110</v>
      </c>
      <c r="B88" s="50">
        <f>IF(227.79067="","-",227.79067)</f>
        <v>227.79067</v>
      </c>
      <c r="C88" s="50" t="s">
        <v>184</v>
      </c>
      <c r="D88" s="50">
        <f>IF(99.27331="","-",99.27331/1100674.36139*100)</f>
        <v>0.009019317018943866</v>
      </c>
      <c r="E88" s="50">
        <f>IF(227.79067="","-",227.79067/1159333.75195*100)</f>
        <v>0.019648411824192646</v>
      </c>
      <c r="F88" s="50">
        <f>IF(OR(857110.78655="",415.34253="",99.27331=""),"-",(99.27331-415.34253)/857110.78655*100)</f>
        <v>-0.03687612207894691</v>
      </c>
      <c r="G88" s="50">
        <f>IF(OR(1100674.36139="",227.79067="",99.27331=""),"-",(227.79067-99.27331)/1100674.36139*100)</f>
        <v>0.011676238177993016</v>
      </c>
    </row>
    <row r="89" spans="1:7" ht="15.75">
      <c r="A89" s="42" t="s">
        <v>152</v>
      </c>
      <c r="B89" s="50">
        <f>IF(223.62437="","-",223.62437)</f>
        <v>223.62437</v>
      </c>
      <c r="C89" s="50" t="str">
        <f>IF(OR(""="",223.62437=""),"-",223.62437/""*100)</f>
        <v>-</v>
      </c>
      <c r="D89" s="50" t="str">
        <f>IF(""="","-",""/1100674.36139*100)</f>
        <v>-</v>
      </c>
      <c r="E89" s="50">
        <f>IF(223.62437="","-",223.62437/1159333.75195*100)</f>
        <v>0.01928904162618087</v>
      </c>
      <c r="F89" s="50" t="str">
        <f>IF(OR(857110.78655="",""="",""=""),"-",(""-"")/857110.78655*100)</f>
        <v>-</v>
      </c>
      <c r="G89" s="50" t="str">
        <f>IF(OR(1100674.36139="",223.62437="",""=""),"-",(223.62437-"")/1100674.36139*100)</f>
        <v>-</v>
      </c>
    </row>
    <row r="90" spans="1:7" ht="15.75">
      <c r="A90" s="42" t="s">
        <v>161</v>
      </c>
      <c r="B90" s="50">
        <f>IF(221.07422="","-",221.07422)</f>
        <v>221.07422</v>
      </c>
      <c r="C90" s="50">
        <f>IF(OR(205.76055="",221.07422=""),"-",221.07422/205.76055*100)</f>
        <v>107.44247135809076</v>
      </c>
      <c r="D90" s="50">
        <f>IF(205.76055="","-",205.76055/1100674.36139*100)</f>
        <v>0.018694044053152357</v>
      </c>
      <c r="E90" s="50">
        <f>IF(221.07422="","-",221.07422/1159333.75195*100)</f>
        <v>0.01906907477058725</v>
      </c>
      <c r="F90" s="50">
        <f>IF(OR(857110.78655="",34.39184="",205.76055=""),"-",(205.76055-34.39184)/857110.78655*100)</f>
        <v>0.019993764247184995</v>
      </c>
      <c r="G90" s="50">
        <f>IF(OR(1100674.36139="",221.07422="",205.76055=""),"-",(221.07422-205.76055)/1100674.36139*100)</f>
        <v>0.001391298874324732</v>
      </c>
    </row>
    <row r="91" spans="1:7" ht="15.75">
      <c r="A91" s="42" t="s">
        <v>111</v>
      </c>
      <c r="B91" s="50">
        <f>IF(207.23343="","-",207.23343)</f>
        <v>207.23343</v>
      </c>
      <c r="C91" s="50">
        <f>IF(OR(228.31804="",207.23343=""),"-",207.23343/228.31804*100)</f>
        <v>90.76524570725992</v>
      </c>
      <c r="D91" s="50">
        <f>IF(228.31804="","-",228.31804/1100674.36139*100)</f>
        <v>0.020743468550649784</v>
      </c>
      <c r="E91" s="50">
        <f>IF(207.23343="","-",207.23343/1159333.75195*100)</f>
        <v>0.017875217524844184</v>
      </c>
      <c r="F91" s="50">
        <f>IF(OR(857110.78655="",124.25417="",228.31804=""),"-",(228.31804-124.25417)/857110.78655*100)</f>
        <v>0.012141239106192182</v>
      </c>
      <c r="G91" s="50">
        <f>IF(OR(1100674.36139="",207.23343="",228.31804=""),"-",(207.23343-228.31804)/1100674.36139*100)</f>
        <v>-0.0019156083524443182</v>
      </c>
    </row>
    <row r="92" spans="1:7" ht="15.75">
      <c r="A92" s="42" t="s">
        <v>77</v>
      </c>
      <c r="B92" s="50">
        <f>IF(185.29717="","-",185.29717)</f>
        <v>185.29717</v>
      </c>
      <c r="C92" s="50" t="s">
        <v>249</v>
      </c>
      <c r="D92" s="50">
        <f>IF(42.09302="","-",42.09302/1100674.36139*100)</f>
        <v>0.003824293676364217</v>
      </c>
      <c r="E92" s="50">
        <f>IF(185.29717="","-",185.29717/1159333.75195*100)</f>
        <v>0.015983073872241713</v>
      </c>
      <c r="F92" s="50">
        <f>IF(OR(857110.78655="",178.53634="",42.09302=""),"-",(42.09302-178.53634)/857110.78655*100)</f>
        <v>-0.015918982953091153</v>
      </c>
      <c r="G92" s="50">
        <f>IF(OR(1100674.36139="",185.29717="",42.09302=""),"-",(185.29717-42.09302)/1100674.36139*100)</f>
        <v>0.013010582877496383</v>
      </c>
    </row>
    <row r="93" spans="1:7" ht="15.75">
      <c r="A93" s="42" t="s">
        <v>118</v>
      </c>
      <c r="B93" s="50">
        <f>IF(157.65527="","-",157.65527)</f>
        <v>157.65527</v>
      </c>
      <c r="C93" s="50">
        <f>IF(OR(114.38439="",157.65527=""),"-",157.65527/114.38439*100)</f>
        <v>137.82935765972962</v>
      </c>
      <c r="D93" s="50">
        <f>IF(114.38439="","-",114.38439/1100674.36139*100)</f>
        <v>0.0103922099044397</v>
      </c>
      <c r="E93" s="50">
        <f>IF(157.65527="","-",157.65527/1159333.75195*100)</f>
        <v>0.01359878203621897</v>
      </c>
      <c r="F93" s="50">
        <f>IF(OR(857110.78655="",37.33313="",114.38439=""),"-",(114.38439-37.33313)/857110.78655*100)</f>
        <v>0.00898965002064003</v>
      </c>
      <c r="G93" s="50">
        <f>IF(OR(1100674.36139="",157.65527="",114.38439=""),"-",(157.65527-114.38439)/1100674.36139*100)</f>
        <v>0.00393130625350034</v>
      </c>
    </row>
    <row r="94" spans="1:7" ht="15.75">
      <c r="A94" s="42" t="s">
        <v>180</v>
      </c>
      <c r="B94" s="50">
        <f>IF(124.02514="","-",124.02514)</f>
        <v>124.02514</v>
      </c>
      <c r="C94" s="50">
        <f>IF(OR(164.043="",124.02514=""),"-",124.02514/164.043*100)</f>
        <v>75.60526203495425</v>
      </c>
      <c r="D94" s="50">
        <f>IF(164.043="","-",164.043/1100674.36139*100)</f>
        <v>0.01490386310014856</v>
      </c>
      <c r="E94" s="50">
        <f>IF(124.02514="","-",124.02514/1159333.75195*100)</f>
        <v>0.01069796680993628</v>
      </c>
      <c r="F94" s="50" t="str">
        <f>IF(OR(857110.78655="",""="",164.043=""),"-",(164.043-"")/857110.78655*100)</f>
        <v>-</v>
      </c>
      <c r="G94" s="50">
        <f>IF(OR(1100674.36139="",124.02514="",164.043=""),"-",(124.02514-164.043)/1100674.36139*100)</f>
        <v>-0.0036357583499503857</v>
      </c>
    </row>
    <row r="95" spans="1:7" ht="15.75">
      <c r="A95" s="42" t="s">
        <v>44</v>
      </c>
      <c r="B95" s="50">
        <f>IF(103.70869="","-",103.70869)</f>
        <v>103.70869</v>
      </c>
      <c r="C95" s="50">
        <f>IF(OR(71.68742="",103.70869=""),"-",103.70869/71.68742*100)</f>
        <v>144.66790686566765</v>
      </c>
      <c r="D95" s="50">
        <f>IF(71.68742="","-",71.68742/1100674.36139*100)</f>
        <v>0.0065130453215489345</v>
      </c>
      <c r="E95" s="50">
        <f>IF(103.70869="","-",103.70869/1159333.75195*100)</f>
        <v>0.008945542198315363</v>
      </c>
      <c r="F95" s="50">
        <f>IF(OR(857110.78655="",125.14039="",71.68742=""),"-",(71.68742-125.14039)/857110.78655*100)</f>
        <v>-0.0062364131730457215</v>
      </c>
      <c r="G95" s="50">
        <f>IF(OR(1100674.36139="",103.70869="",71.68742=""),"-",(103.70869-71.68742)/1100674.36139*100)</f>
        <v>0.0029092410183482018</v>
      </c>
    </row>
    <row r="96" spans="1:7" ht="15.75">
      <c r="A96" s="42" t="s">
        <v>112</v>
      </c>
      <c r="B96" s="50">
        <f>IF(100.98459="","-",100.98459)</f>
        <v>100.98459</v>
      </c>
      <c r="C96" s="50" t="s">
        <v>182</v>
      </c>
      <c r="D96" s="50">
        <f>IF(38.00656="","-",38.00656/1100674.36139*100)</f>
        <v>0.003453024921194944</v>
      </c>
      <c r="E96" s="50">
        <f>IF(100.98459="","-",100.98459/1159333.75195*100)</f>
        <v>0.00871057103531609</v>
      </c>
      <c r="F96" s="50" t="str">
        <f>IF(OR(857110.78655="",""="",38.00656=""),"-",(38.00656-"")/857110.78655*100)</f>
        <v>-</v>
      </c>
      <c r="G96" s="50">
        <f>IF(OR(1100674.36139="",100.98459="",38.00656=""),"-",(100.98459-38.00656)/1100674.36139*100)</f>
        <v>0.0057217676916238355</v>
      </c>
    </row>
    <row r="97" spans="1:7" ht="15.75">
      <c r="A97" s="42" t="s">
        <v>166</v>
      </c>
      <c r="B97" s="50">
        <f>IF(98.70973="","-",98.70973)</f>
        <v>98.70973</v>
      </c>
      <c r="C97" s="50">
        <f>IF(OR(248.8358="",98.70973=""),"-",98.70973/248.8358*100)</f>
        <v>39.66862083349743</v>
      </c>
      <c r="D97" s="50">
        <f>IF(248.8358="","-",248.8358/1100674.36139*100)</f>
        <v>0.022607576657437057</v>
      </c>
      <c r="E97" s="50">
        <f>IF(98.70973="","-",98.70973/1159333.75195*100)</f>
        <v>0.008514349714564091</v>
      </c>
      <c r="F97" s="50">
        <f>IF(OR(857110.78655="",164.58614="",248.8358=""),"-",(248.8358-164.58614)/857110.78655*100)</f>
        <v>0.00982949477734583</v>
      </c>
      <c r="G97" s="50">
        <f>IF(OR(1100674.36139="",98.70973="",248.8358=""),"-",(98.70973-248.8358)/1100674.36139*100)</f>
        <v>-0.01363946279355608</v>
      </c>
    </row>
    <row r="98" spans="1:7" ht="15.75">
      <c r="A98" s="42" t="s">
        <v>96</v>
      </c>
      <c r="B98" s="50">
        <f>IF(93.32974="","-",93.32974)</f>
        <v>93.32974</v>
      </c>
      <c r="C98" s="50" t="s">
        <v>114</v>
      </c>
      <c r="D98" s="50">
        <f>IF(54.8751="","-",54.8751/1100674.36139*100)</f>
        <v>0.004985589010240987</v>
      </c>
      <c r="E98" s="50">
        <f>IF(93.32974="","-",93.32974/1159333.75195*100)</f>
        <v>0.008050290940207627</v>
      </c>
      <c r="F98" s="50" t="str">
        <f>IF(OR(857110.78655="",""="",54.8751=""),"-",(54.8751-"")/857110.78655*100)</f>
        <v>-</v>
      </c>
      <c r="G98" s="50">
        <f>IF(OR(1100674.36139="",93.32974="",54.8751=""),"-",(93.32974-54.8751)/1100674.36139*100)</f>
        <v>0.0034937345093999546</v>
      </c>
    </row>
    <row r="99" spans="1:7" ht="15.75">
      <c r="A99" s="42" t="s">
        <v>160</v>
      </c>
      <c r="B99" s="50">
        <f>IF(92.13415="","-",92.13415)</f>
        <v>92.13415</v>
      </c>
      <c r="C99" s="50" t="s">
        <v>250</v>
      </c>
      <c r="D99" s="50">
        <f>IF(7.147="","-",7.147/1100674.36139*100)</f>
        <v>0.0006493291976906162</v>
      </c>
      <c r="E99" s="50">
        <f>IF(92.13415="","-",92.13415/1159333.75195*100)</f>
        <v>0.00794716360539235</v>
      </c>
      <c r="F99" s="50" t="str">
        <f>IF(OR(857110.78655="",""="",7.147=""),"-",(7.147-"")/857110.78655*100)</f>
        <v>-</v>
      </c>
      <c r="G99" s="50">
        <f>IF(OR(1100674.36139="",92.13415="",7.147=""),"-",(92.13415-7.147)/1100674.36139*100)</f>
        <v>0.007721370914161473</v>
      </c>
    </row>
    <row r="100" spans="1:7" ht="15.75">
      <c r="A100" s="42" t="s">
        <v>238</v>
      </c>
      <c r="B100" s="50">
        <f>IF(90.33513="","-",90.33513)</f>
        <v>90.33513</v>
      </c>
      <c r="C100" s="50" t="s">
        <v>251</v>
      </c>
      <c r="D100" s="50">
        <f>IF(0.03831="","-",0.03831/1100674.36139*100)</f>
        <v>3.4805934746785365E-06</v>
      </c>
      <c r="E100" s="50">
        <f>IF(90.33513="","-",90.33513/1159333.75195*100)</f>
        <v>0.007791986548140799</v>
      </c>
      <c r="F100" s="50" t="str">
        <f>IF(OR(857110.78655="",""="",0.03831=""),"-",(0.03831-"")/857110.78655*100)</f>
        <v>-</v>
      </c>
      <c r="G100" s="50">
        <f>IF(OR(1100674.36139="",90.33513="",0.03831=""),"-",(90.33513-0.03831)/1100674.36139*100)</f>
        <v>0.00820377244782622</v>
      </c>
    </row>
    <row r="101" spans="1:7" ht="15.75">
      <c r="A101" s="42" t="s">
        <v>154</v>
      </c>
      <c r="B101" s="50">
        <f>IF(80.75211="","-",80.75211)</f>
        <v>80.75211</v>
      </c>
      <c r="C101" s="50">
        <f>IF(OR(68.67352="",80.75211=""),"-",80.75211/68.67352*100)</f>
        <v>117.58842418446005</v>
      </c>
      <c r="D101" s="50">
        <f>IF(68.67352="","-",68.67352/1100674.36139*100)</f>
        <v>0.006239222281263535</v>
      </c>
      <c r="E101" s="50">
        <f>IF(80.75211="","-",80.75211/1159333.75195*100)</f>
        <v>0.0069653893768015385</v>
      </c>
      <c r="F101" s="50" t="str">
        <f>IF(OR(857110.78655="",""="",68.67352=""),"-",(68.67352-"")/857110.78655*100)</f>
        <v>-</v>
      </c>
      <c r="G101" s="50">
        <f>IF(OR(1100674.36139="",80.75211="",68.67352=""),"-",(80.75211-68.67352)/1100674.36139*100)</f>
        <v>0.0010973808806399752</v>
      </c>
    </row>
    <row r="102" spans="1:7" ht="15.75">
      <c r="A102" s="42" t="s">
        <v>181</v>
      </c>
      <c r="B102" s="50">
        <f>IF(70.1905="","-",70.1905)</f>
        <v>70.1905</v>
      </c>
      <c r="C102" s="50">
        <f>IF(OR(48.96218="",70.1905=""),"-",70.1905/48.96218*100)</f>
        <v>143.35656623132388</v>
      </c>
      <c r="D102" s="50">
        <f>IF(48.96218="","-",48.96218/1100674.36139*100)</f>
        <v>0.004448380167424588</v>
      </c>
      <c r="E102" s="50">
        <f>IF(70.1905="","-",70.1905/1159333.75195*100)</f>
        <v>0.006054382517712397</v>
      </c>
      <c r="F102" s="50">
        <f>IF(OR(857110.78655="",8.936="",48.96218=""),"-",(48.96218-8.936)/857110.78655*100)</f>
        <v>0.004669895727378651</v>
      </c>
      <c r="G102" s="50">
        <f>IF(OR(1100674.36139="",70.1905="",48.96218=""),"-",(70.1905-48.96218)/1100674.36139*100)</f>
        <v>0.0019286648935105167</v>
      </c>
    </row>
    <row r="103" spans="1:7" ht="15.75">
      <c r="A103" s="42" t="s">
        <v>78</v>
      </c>
      <c r="B103" s="50">
        <f>IF(60.78997="","-",60.78997)</f>
        <v>60.78997</v>
      </c>
      <c r="C103" s="50">
        <f>IF(OR(564.85876="",60.78997=""),"-",60.78997/564.85876*100)</f>
        <v>10.761977029443608</v>
      </c>
      <c r="D103" s="50">
        <f>IF(564.85876="","-",564.85876/1100674.36139*100)</f>
        <v>0.05131933474735082</v>
      </c>
      <c r="E103" s="50">
        <f>IF(60.78997="","-",60.78997/1159333.75195*100)</f>
        <v>0.005243526283760068</v>
      </c>
      <c r="F103" s="50">
        <f>IF(OR(857110.78655="",224.26461="",564.85876=""),"-",(564.85876-224.26461)/857110.78655*100)</f>
        <v>0.03973747097162815</v>
      </c>
      <c r="G103" s="50">
        <f>IF(OR(1100674.36139="",60.78997="",564.85876=""),"-",(60.78997-564.85876)/1100674.36139*100)</f>
        <v>-0.04579635973017765</v>
      </c>
    </row>
    <row r="104" spans="1:7" ht="15.75">
      <c r="A104" s="44" t="s">
        <v>99</v>
      </c>
      <c r="B104" s="51">
        <f>IF(60.1192="","-",60.1192)</f>
        <v>60.1192</v>
      </c>
      <c r="C104" s="51">
        <f>IF(OR(62.53555="",60.1192=""),"-",60.1192/62.53555*100)</f>
        <v>96.13603782168703</v>
      </c>
      <c r="D104" s="51">
        <f>IF(62.53555="","-",62.53555/1100674.36139*100)</f>
        <v>0.005681566882417995</v>
      </c>
      <c r="E104" s="51">
        <f>IF(60.1192="","-",60.1192/1159333.75195*100)</f>
        <v>0.005185668052782857</v>
      </c>
      <c r="F104" s="51">
        <f>IF(OR(857110.78655="",26.12487="",62.53555=""),"-",(62.53555-26.12487)/857110.78655*100)</f>
        <v>0.0042480716112042495</v>
      </c>
      <c r="G104" s="51">
        <f>IF(OR(1100674.36139="",60.1192="",62.53555=""),"-",(60.1192-62.53555)/1100674.36139*100)</f>
        <v>-0.00021953359547218708</v>
      </c>
    </row>
    <row r="105" ht="15.75">
      <c r="A105" s="35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9"/>
  <sheetViews>
    <sheetView zoomScalePageLayoutView="0" workbookViewId="0" topLeftCell="A1">
      <selection activeCell="A1" sqref="A1:IV1"/>
    </sheetView>
  </sheetViews>
  <sheetFormatPr defaultColWidth="9.00390625" defaultRowHeight="15.75"/>
  <cols>
    <col min="1" max="1" width="33.50390625" style="0" customWidth="1"/>
    <col min="2" max="2" width="11.875" style="0" customWidth="1"/>
    <col min="3" max="3" width="9.75390625" style="0" customWidth="1"/>
    <col min="4" max="4" width="7.625" style="0" customWidth="1"/>
    <col min="5" max="5" width="7.75390625" style="0" customWidth="1"/>
    <col min="6" max="6" width="9.375" style="0" customWidth="1"/>
    <col min="7" max="7" width="9.625" style="0" customWidth="1"/>
  </cols>
  <sheetData>
    <row r="1" spans="1:7" ht="15.75">
      <c r="A1" s="76" t="s">
        <v>135</v>
      </c>
      <c r="B1" s="76"/>
      <c r="C1" s="76"/>
      <c r="D1" s="76"/>
      <c r="E1" s="76"/>
      <c r="F1" s="76"/>
      <c r="G1" s="76"/>
    </row>
    <row r="2" ht="15.75">
      <c r="A2" s="2"/>
    </row>
    <row r="3" spans="1:7" ht="55.5" customHeight="1">
      <c r="A3" s="64"/>
      <c r="B3" s="67" t="s">
        <v>289</v>
      </c>
      <c r="C3" s="68"/>
      <c r="D3" s="67" t="s">
        <v>120</v>
      </c>
      <c r="E3" s="68"/>
      <c r="F3" s="69" t="s">
        <v>144</v>
      </c>
      <c r="G3" s="70"/>
    </row>
    <row r="4" spans="1:7" ht="27" customHeight="1">
      <c r="A4" s="65"/>
      <c r="B4" s="71" t="s">
        <v>108</v>
      </c>
      <c r="C4" s="73" t="s">
        <v>283</v>
      </c>
      <c r="D4" s="75" t="s">
        <v>284</v>
      </c>
      <c r="E4" s="75"/>
      <c r="F4" s="75" t="s">
        <v>284</v>
      </c>
      <c r="G4" s="67"/>
    </row>
    <row r="5" spans="1:7" ht="22.5" customHeight="1">
      <c r="A5" s="66"/>
      <c r="B5" s="72"/>
      <c r="C5" s="74"/>
      <c r="D5" s="25">
        <v>2018</v>
      </c>
      <c r="E5" s="25">
        <v>2019</v>
      </c>
      <c r="F5" s="25" t="s">
        <v>122</v>
      </c>
      <c r="G5" s="21" t="s">
        <v>145</v>
      </c>
    </row>
    <row r="6" spans="1:7" s="3" customFormat="1" ht="15">
      <c r="A6" s="46" t="s">
        <v>155</v>
      </c>
      <c r="B6" s="48">
        <f>IF(2362156.7372="","-",2362156.7372)</f>
        <v>2362156.7372</v>
      </c>
      <c r="C6" s="48">
        <f>IF(2276206.61995="","-",2362156.7372/2276206.61995*100)</f>
        <v>103.77602439500365</v>
      </c>
      <c r="D6" s="48">
        <v>100</v>
      </c>
      <c r="E6" s="48">
        <v>100</v>
      </c>
      <c r="F6" s="48">
        <f>IF(1792621.32665="","-",(2276206.61995-1792621.32665)/1792621.32665*100)</f>
        <v>26.976433121194134</v>
      </c>
      <c r="G6" s="48">
        <f>IF(2276206.61995="","-",(2362156.7372-2276206.61995)/2276206.61995*100)</f>
        <v>3.776024395003634</v>
      </c>
    </row>
    <row r="7" spans="1:7" s="3" customFormat="1" ht="15">
      <c r="A7" s="55" t="s">
        <v>162</v>
      </c>
      <c r="B7" s="58"/>
      <c r="C7" s="58"/>
      <c r="D7" s="58"/>
      <c r="E7" s="58"/>
      <c r="F7" s="58"/>
      <c r="G7" s="58"/>
    </row>
    <row r="8" spans="1:7" s="3" customFormat="1" ht="15">
      <c r="A8" s="28" t="s">
        <v>285</v>
      </c>
      <c r="B8" s="49">
        <f>IF(1165033.49199="","-",1165033.49199)</f>
        <v>1165033.49199</v>
      </c>
      <c r="C8" s="49">
        <f>IF(1150278.07243="","-",1165033.49199/1150278.07243*100)</f>
        <v>101.28276978529452</v>
      </c>
      <c r="D8" s="49">
        <f>IF(1150278.07243="","-",1150278.07243/2276206.61995*100)</f>
        <v>50.53487070761912</v>
      </c>
      <c r="E8" s="49">
        <f>IF(1165033.49199="","-",1165033.49199/2362156.7372*100)</f>
        <v>49.320753091557386</v>
      </c>
      <c r="F8" s="49">
        <f>IF(1792621.32665="","-",(1150278.07243-877626.59426)/1792621.32665*100)</f>
        <v>15.209652708947921</v>
      </c>
      <c r="G8" s="49">
        <f>IF(2276206.61995="","-",(1165033.49199-1150278.07243)/2276206.61995*100)</f>
        <v>0.6482460524749809</v>
      </c>
    </row>
    <row r="9" spans="1:7" s="3" customFormat="1" ht="15">
      <c r="A9" s="32" t="s">
        <v>281</v>
      </c>
      <c r="B9" s="49"/>
      <c r="C9" s="49"/>
      <c r="D9" s="49"/>
      <c r="E9" s="49"/>
      <c r="F9" s="49"/>
      <c r="G9" s="49"/>
    </row>
    <row r="10" spans="1:7" ht="12.75" customHeight="1">
      <c r="A10" s="42" t="s">
        <v>2</v>
      </c>
      <c r="B10" s="50">
        <f>IF(329958.76229="","-",329958.76229)</f>
        <v>329958.76229</v>
      </c>
      <c r="C10" s="50">
        <f>IF(OR(312875.33525="",329958.76229=""),"-",329958.76229/312875.33525*100)</f>
        <v>105.46013862880869</v>
      </c>
      <c r="D10" s="50">
        <f>IF(312875.33525="","-",312875.33525/2276206.61995*100)</f>
        <v>13.745471632837653</v>
      </c>
      <c r="E10" s="50">
        <f>IF(329958.76229="","-",329958.76229/2362156.7372*100)</f>
        <v>13.968538035334568</v>
      </c>
      <c r="F10" s="50">
        <f>IF(OR(1792621.32665="",246405.77793="",312875.33525=""),"-",(312875.33525-246405.77793)/1792621.32665*100)</f>
        <v>3.7079530591224428</v>
      </c>
      <c r="G10" s="50">
        <f>IF(OR(2276206.61995="",329958.76229="",312875.33525=""),"-",(329958.76229-312875.33525)/2276206.61995*100)</f>
        <v>0.7505218063365109</v>
      </c>
    </row>
    <row r="11" spans="1:7" ht="15.75">
      <c r="A11" s="42" t="s">
        <v>4</v>
      </c>
      <c r="B11" s="50">
        <f>IF(199606.7742="","-",199606.7742)</f>
        <v>199606.7742</v>
      </c>
      <c r="C11" s="50">
        <f>IF(OR(196034.2429="",199606.7742=""),"-",199606.7742/196034.2429*100)</f>
        <v>101.82240166164358</v>
      </c>
      <c r="D11" s="50">
        <f>IF(196034.2429="","-",196034.2429/2276206.61995*100)</f>
        <v>8.612321973841995</v>
      </c>
      <c r="E11" s="50">
        <f>IF(199606.7742="","-",199606.7742/2362156.7372*100)</f>
        <v>8.450191769941796</v>
      </c>
      <c r="F11" s="50">
        <f>IF(OR(1792621.32665="",142466.8947="",196034.2429=""),"-",(196034.2429-142466.8947)/1792621.32665*100)</f>
        <v>2.988213260862245</v>
      </c>
      <c r="G11" s="50">
        <f>IF(OR(2276206.61995="",199606.7742="",196034.2429=""),"-",(199606.7742-196034.2429)/2276206.61995*100)</f>
        <v>0.15695109875739127</v>
      </c>
    </row>
    <row r="12" spans="1:7" s="9" customFormat="1" ht="15.75">
      <c r="A12" s="42" t="s">
        <v>3</v>
      </c>
      <c r="B12" s="50">
        <f>IF(165008.44521="","-",165008.44521)</f>
        <v>165008.44521</v>
      </c>
      <c r="C12" s="50">
        <f>IF(OR(160269.2253="",165008.44521=""),"-",165008.44521/160269.2253*100)</f>
        <v>102.95703676181682</v>
      </c>
      <c r="D12" s="50">
        <f>IF(160269.2253="","-",160269.2253/2276206.61995*100)</f>
        <v>7.0410666542882</v>
      </c>
      <c r="E12" s="50">
        <f>IF(165008.44521="","-",165008.44521/2362156.7372*100)</f>
        <v>6.985499421414093</v>
      </c>
      <c r="F12" s="50">
        <f>IF(OR(1792621.32665="",125986.89396="",160269.2253=""),"-",(160269.2253-125986.89396)/1792621.32665*100)</f>
        <v>1.9124134489722846</v>
      </c>
      <c r="G12" s="50">
        <f>IF(OR(2276206.61995="",165008.44521="",160269.2253=""),"-",(165008.44521-160269.2253)/2276206.61995*100)</f>
        <v>0.2082069293913273</v>
      </c>
    </row>
    <row r="13" spans="1:7" s="9" customFormat="1" ht="15.75">
      <c r="A13" s="42" t="s">
        <v>5</v>
      </c>
      <c r="B13" s="50">
        <f>IF(76918.12712="","-",76918.12712)</f>
        <v>76918.12712</v>
      </c>
      <c r="C13" s="50">
        <f>IF(OR(78946.5275="",76918.12712=""),"-",76918.12712/78946.5275*100)</f>
        <v>97.4306654843052</v>
      </c>
      <c r="D13" s="50">
        <f>IF(78946.5275="","-",78946.5275/2276206.61995*100)</f>
        <v>3.4683374878214774</v>
      </c>
      <c r="E13" s="50">
        <f>IF(76918.12712="","-",76918.12712/2362156.7372*100)</f>
        <v>3.2562668644577535</v>
      </c>
      <c r="F13" s="50">
        <f>IF(OR(1792621.32665="",56549.72656="",78946.5275=""),"-",(78946.5275-56549.72656)/1792621.32665*100)</f>
        <v>1.2493882900441948</v>
      </c>
      <c r="G13" s="50">
        <f>IF(OR(2276206.61995="",76918.12712="",78946.5275=""),"-",(76918.12712-78946.5275)/2276206.61995*100)</f>
        <v>-0.08911319219537936</v>
      </c>
    </row>
    <row r="14" spans="1:7" s="9" customFormat="1" ht="15.75">
      <c r="A14" s="42" t="s">
        <v>172</v>
      </c>
      <c r="B14" s="50">
        <f>IF(65463.59404="","-",65463.59404)</f>
        <v>65463.59404</v>
      </c>
      <c r="C14" s="50">
        <f>IF(OR(68024.41431="",65463.59404=""),"-",65463.59404/68024.41431*100)</f>
        <v>96.23543944335948</v>
      </c>
      <c r="D14" s="50">
        <f>IF(68024.41431="","-",68024.41431/2276206.61995*100)</f>
        <v>2.988499098183549</v>
      </c>
      <c r="E14" s="50">
        <f>IF(65463.59404="","-",65463.59404/2362156.7372*100)</f>
        <v>2.7713484464878384</v>
      </c>
      <c r="F14" s="50">
        <f>IF(OR(1792621.32665="",51455.8958="",68024.41431=""),"-",(68024.41431-51455.8958)/1792621.32665*100)</f>
        <v>0.9242620437280401</v>
      </c>
      <c r="G14" s="50">
        <f>IF(OR(2276206.61995="",65463.59404="",68024.41431=""),"-",(65463.59404-68024.41431)/2276206.61995*100)</f>
        <v>-0.11250385828577553</v>
      </c>
    </row>
    <row r="15" spans="1:7" s="9" customFormat="1" ht="15.75">
      <c r="A15" s="42" t="s">
        <v>50</v>
      </c>
      <c r="B15" s="50">
        <f>IF(47109.0758="","-",47109.0758)</f>
        <v>47109.0758</v>
      </c>
      <c r="C15" s="50">
        <f>IF(OR(52019.93791="",47109.0758=""),"-",47109.0758/52019.93791*100)</f>
        <v>90.5596540340046</v>
      </c>
      <c r="D15" s="50">
        <f>IF(52019.93791="","-",52019.93791/2276206.61995*100)</f>
        <v>2.2853785528109345</v>
      </c>
      <c r="E15" s="50">
        <f>IF(47109.0758="","-",47109.0758/2362156.7372*100)</f>
        <v>1.9943247227464296</v>
      </c>
      <c r="F15" s="50">
        <f>IF(OR(1792621.32665="",37240.0418599999="",52019.93791=""),"-",(52019.93791-37240.0418599999)/1792621.32665*100)</f>
        <v>0.8244851174241217</v>
      </c>
      <c r="G15" s="50">
        <f>IF(OR(2276206.61995="",47109.0758="",52019.93791=""),"-",(47109.0758-52019.93791)/2276206.61995*100)</f>
        <v>-0.2157476420180113</v>
      </c>
    </row>
    <row r="16" spans="1:7" s="9" customFormat="1" ht="15.75">
      <c r="A16" s="42" t="s">
        <v>7</v>
      </c>
      <c r="B16" s="50">
        <f>IF(44984.97786="","-",44984.97786)</f>
        <v>44984.97786</v>
      </c>
      <c r="C16" s="50">
        <f>IF(OR(33391.93649="",44984.97786=""),"-",44984.97786/33391.93649*100)</f>
        <v>134.71808642625984</v>
      </c>
      <c r="D16" s="50">
        <f>IF(33391.93649="","-",33391.93649/2276206.61995*100)</f>
        <v>1.466999357498288</v>
      </c>
      <c r="E16" s="50">
        <f>IF(44984.97786="","-",44984.97786/2362156.7372*100)</f>
        <v>1.9044027498921718</v>
      </c>
      <c r="F16" s="50">
        <f>IF(OR(1792621.32665="",24127.48666="",33391.93649=""),"-",(33391.93649-24127.48666)/1792621.32665*100)</f>
        <v>0.516810198131088</v>
      </c>
      <c r="G16" s="50">
        <f>IF(OR(2276206.61995="",44984.97786="",33391.93649=""),"-",(44984.97786-33391.93649)/2276206.61995*100)</f>
        <v>0.5093141048089324</v>
      </c>
    </row>
    <row r="17" spans="1:7" s="9" customFormat="1" ht="15.75">
      <c r="A17" s="42" t="s">
        <v>8</v>
      </c>
      <c r="B17" s="50">
        <f>IF(38420.85678="","-",38420.85678)</f>
        <v>38420.85678</v>
      </c>
      <c r="C17" s="50">
        <f>IF(OR(46594.88351="",38420.85678=""),"-",38420.85678/46594.88351*100)</f>
        <v>82.45724398421187</v>
      </c>
      <c r="D17" s="50">
        <f>IF(46594.88351="","-",46594.88351/2276206.61995*100)</f>
        <v>2.047041033165237</v>
      </c>
      <c r="E17" s="50">
        <f>IF(38420.85678="","-",38420.85678/2362156.7372*100)</f>
        <v>1.626515979017652</v>
      </c>
      <c r="F17" s="50">
        <f>IF(OR(1792621.32665="",28047.31991="",46594.88351=""),"-",(46594.88351-28047.31991)/1792621.32665*100)</f>
        <v>1.0346615497797944</v>
      </c>
      <c r="G17" s="50">
        <f>IF(OR(2276206.61995="",38420.85678="",46594.88351=""),"-",(38420.85678-46594.88351)/2276206.61995*100)</f>
        <v>-0.3591074139912461</v>
      </c>
    </row>
    <row r="18" spans="1:7" s="9" customFormat="1" ht="15.75">
      <c r="A18" s="42" t="s">
        <v>48</v>
      </c>
      <c r="B18" s="50">
        <f>IF(35186.0402="","-",35186.0402)</f>
        <v>35186.0402</v>
      </c>
      <c r="C18" s="50">
        <f>IF(OR(34448.96405="",35186.0402=""),"-",35186.0402/34448.96405*100)</f>
        <v>102.13961775143714</v>
      </c>
      <c r="D18" s="50">
        <f>IF(34448.96405="","-",34448.96405/2276206.61995*100)</f>
        <v>1.5134374774271027</v>
      </c>
      <c r="E18" s="50">
        <f>IF(35186.0402="","-",35186.0402/2362156.7372*100)</f>
        <v>1.489572628516939</v>
      </c>
      <c r="F18" s="50">
        <f>IF(OR(1792621.32665="",25149.45651="",34448.96405=""),"-",(34448.96405-25149.45651)/1792621.32665*100)</f>
        <v>0.5187658654813987</v>
      </c>
      <c r="G18" s="50">
        <f>IF(OR(2276206.61995="",35186.0402="",34448.96405=""),"-",(35186.0402-34448.96405)/2276206.61995*100)</f>
        <v>0.03238177692393284</v>
      </c>
    </row>
    <row r="19" spans="1:7" s="9" customFormat="1" ht="15.75">
      <c r="A19" s="42" t="s">
        <v>10</v>
      </c>
      <c r="B19" s="50">
        <f>IF(24436.01449="","-",24436.01449)</f>
        <v>24436.01449</v>
      </c>
      <c r="C19" s="50">
        <f>IF(OR(25586.31869="",24436.01449=""),"-",24436.01449/25586.31869*100)</f>
        <v>95.50422155708716</v>
      </c>
      <c r="D19" s="50">
        <f>IF(25586.31869="","-",25586.31869/2276206.61995*100)</f>
        <v>1.124077158274939</v>
      </c>
      <c r="E19" s="50">
        <f>IF(24436.01449="","-",24436.01449/2362156.7372*100)</f>
        <v>1.0344789617544776</v>
      </c>
      <c r="F19" s="50">
        <f>IF(OR(1792621.32665="",18288.43873="",25586.31869=""),"-",(25586.31869-18288.43873)/1792621.32665*100)</f>
        <v>0.4071066126184089</v>
      </c>
      <c r="G19" s="50">
        <f>IF(OR(2276206.61995="",24436.01449="",25586.31869=""),"-",(24436.01449-25586.31869)/2276206.61995*100)</f>
        <v>-0.05053601856343194</v>
      </c>
    </row>
    <row r="20" spans="1:7" s="9" customFormat="1" ht="15.75">
      <c r="A20" s="42" t="s">
        <v>173</v>
      </c>
      <c r="B20" s="50">
        <f>IF(23533.50175="","-",23533.50175)</f>
        <v>23533.50175</v>
      </c>
      <c r="C20" s="50">
        <f>IF(OR(24198.01658="",23533.50175=""),"-",23533.50175/24198.01658*100)</f>
        <v>97.25384587698302</v>
      </c>
      <c r="D20" s="50">
        <f>IF(24198.01658="","-",24198.01658/2276206.61995*100)</f>
        <v>1.0630852387439038</v>
      </c>
      <c r="E20" s="50">
        <f>IF(23533.50175="","-",23533.50175/2362156.7372*100)</f>
        <v>0.9962718129320924</v>
      </c>
      <c r="F20" s="50">
        <f>IF(OR(1792621.32665="",24443.37034="",24198.01658=""),"-",(24198.01658-24443.37034)/1792621.32665*100)</f>
        <v>-0.013686870525997364</v>
      </c>
      <c r="G20" s="50">
        <f>IF(OR(2276206.61995="",23533.50175="",24198.01658=""),"-",(23533.50175-24198.01658)/2276206.61995*100)</f>
        <v>-0.029193959114950513</v>
      </c>
    </row>
    <row r="21" spans="1:7" s="9" customFormat="1" ht="15.75">
      <c r="A21" s="42" t="s">
        <v>6</v>
      </c>
      <c r="B21" s="50">
        <f>IF(18846.02992="","-",18846.02992)</f>
        <v>18846.02992</v>
      </c>
      <c r="C21" s="50">
        <f>IF(OR(26193.64931="",18846.02992=""),"-",18846.02992/26193.64931*100)</f>
        <v>71.94885178830394</v>
      </c>
      <c r="D21" s="50">
        <f>IF(26193.64931="","-",26193.64931/2276206.61995*100)</f>
        <v>1.1507588581995856</v>
      </c>
      <c r="E21" s="50">
        <f>IF(18846.02992="","-",18846.02992/2362156.7372*100)</f>
        <v>0.7978314742288982</v>
      </c>
      <c r="F21" s="50">
        <f>IF(OR(1792621.32665="",24853.73744="",26193.64931=""),"-",(26193.64931-24853.73744)/1792621.32665*100)</f>
        <v>0.07474595164523616</v>
      </c>
      <c r="G21" s="50">
        <f>IF(OR(2276206.61995="",18846.02992="",26193.64931=""),"-",(18846.02992-26193.64931)/2276206.61995*100)</f>
        <v>-0.3228010728727869</v>
      </c>
    </row>
    <row r="22" spans="1:7" s="9" customFormat="1" ht="15.75" customHeight="1">
      <c r="A22" s="42" t="s">
        <v>49</v>
      </c>
      <c r="B22" s="50">
        <f>IF(17264.31821="","-",17264.31821)</f>
        <v>17264.31821</v>
      </c>
      <c r="C22" s="50">
        <f>IF(OR(18610.94423="",17264.31821=""),"-",17264.31821/18610.94423*100)</f>
        <v>92.76433262408416</v>
      </c>
      <c r="D22" s="50">
        <f>IF(18610.94423="","-",18610.94423/2276206.61995*100)</f>
        <v>0.8176298261714402</v>
      </c>
      <c r="E22" s="50">
        <f>IF(17264.31821="","-",17264.31821/2362156.7372*100)</f>
        <v>0.7308709848976571</v>
      </c>
      <c r="F22" s="50">
        <f>IF(OR(1792621.32665="",14341.34102="",18610.94423=""),"-",(18610.94423-14341.34102)/1792621.32665*100)</f>
        <v>0.23817652654947014</v>
      </c>
      <c r="G22" s="50">
        <f>IF(OR(2276206.61995="",17264.31821="",18610.94423=""),"-",(17264.31821-18610.94423)/2276206.61995*100)</f>
        <v>-0.059160974588044216</v>
      </c>
    </row>
    <row r="23" spans="1:7" s="9" customFormat="1" ht="15.75">
      <c r="A23" s="42" t="s">
        <v>52</v>
      </c>
      <c r="B23" s="50">
        <f>IF(14103.86159="","-",14103.86159)</f>
        <v>14103.86159</v>
      </c>
      <c r="C23" s="50">
        <f>IF(OR(11485.53931="",14103.86159=""),"-",14103.86159/11485.53931*100)</f>
        <v>122.79668554806418</v>
      </c>
      <c r="D23" s="50">
        <f>IF(11485.53931="","-",11485.53931/2276206.61995*100)</f>
        <v>0.5045912444561951</v>
      </c>
      <c r="E23" s="50">
        <f>IF(14103.86159="","-",14103.86159/2362156.7372*100)</f>
        <v>0.5970756033199608</v>
      </c>
      <c r="F23" s="50">
        <f>IF(OR(1792621.32665="",8520.80934="",11485.53931=""),"-",(11485.53931-8520.80934)/1792621.32665*100)</f>
        <v>0.16538517789144036</v>
      </c>
      <c r="G23" s="50">
        <f>IF(OR(2276206.61995="",14103.86159="",11485.53931=""),"-",(14103.86159-11485.53931)/2276206.61995*100)</f>
        <v>0.11503007930174262</v>
      </c>
    </row>
    <row r="24" spans="1:7" s="9" customFormat="1" ht="15.75">
      <c r="A24" s="42" t="s">
        <v>58</v>
      </c>
      <c r="B24" s="50">
        <f>IF(10215.84397="","-",10215.84397)</f>
        <v>10215.84397</v>
      </c>
      <c r="C24" s="50">
        <f>IF(OR(9791.56617="",10215.84397=""),"-",10215.84397/9791.56617*100)</f>
        <v>104.33309434500812</v>
      </c>
      <c r="D24" s="50">
        <f>IF(9791.56617="","-",9791.56617/2276206.61995*100)</f>
        <v>0.4301703581819424</v>
      </c>
      <c r="E24" s="50">
        <f>IF(10215.84397="","-",10215.84397/2362156.7372*100)</f>
        <v>0.43247951370531945</v>
      </c>
      <c r="F24" s="50">
        <f>IF(OR(1792621.32665="",7335.58496="",9791.56617=""),"-",(9791.56617-7335.58496)/1792621.32665*100)</f>
        <v>0.137005020161713</v>
      </c>
      <c r="G24" s="50">
        <f>IF(OR(2276206.61995="",10215.84397="",9791.56617=""),"-",(10215.84397-9791.56617)/2276206.61995*100)</f>
        <v>0.018639687464282996</v>
      </c>
    </row>
    <row r="25" spans="1:7" s="9" customFormat="1" ht="15.75">
      <c r="A25" s="42" t="s">
        <v>60</v>
      </c>
      <c r="B25" s="50">
        <f>IF(9332.43319="","-",9332.43319)</f>
        <v>9332.43319</v>
      </c>
      <c r="C25" s="50">
        <f>IF(OR(8533.7753="",9332.43319=""),"-",9332.43319/8533.7753*100)</f>
        <v>109.35878742905265</v>
      </c>
      <c r="D25" s="50">
        <f>IF(8533.7753="","-",8533.7753/2276206.61995*100)</f>
        <v>0.3749121553906848</v>
      </c>
      <c r="E25" s="50">
        <f>IF(9332.43319="","-",9332.43319/2362156.7372*100)</f>
        <v>0.39508103095065017</v>
      </c>
      <c r="F25" s="50">
        <f>IF(OR(1792621.32665="",5735.20303="",8533.7753=""),"-",(8533.7753-5735.20303)/1792621.32665*100)</f>
        <v>0.15611619857440234</v>
      </c>
      <c r="G25" s="50">
        <f>IF(OR(2276206.61995="",9332.43319="",8533.7753=""),"-",(9332.43319-8533.7753)/2276206.61995*100)</f>
        <v>0.035087231668693764</v>
      </c>
    </row>
    <row r="26" spans="1:7" s="9" customFormat="1" ht="15.75">
      <c r="A26" s="42" t="s">
        <v>9</v>
      </c>
      <c r="B26" s="50">
        <f>IF(8356.53673="","-",8356.53673)</f>
        <v>8356.53673</v>
      </c>
      <c r="C26" s="50">
        <f>IF(OR(9147.95321="",8356.53673=""),"-",8356.53673/9147.95321*100)</f>
        <v>91.34870432945732</v>
      </c>
      <c r="D26" s="50">
        <f>IF(9147.95321="","-",9147.95321/2276206.61995*100)</f>
        <v>0.4018946755457968</v>
      </c>
      <c r="E26" s="50">
        <f>IF(8356.53673="","-",8356.53673/2362156.7372*100)</f>
        <v>0.3537672415381497</v>
      </c>
      <c r="F26" s="50">
        <f>IF(OR(1792621.32665="",8832.08108="",9147.95321=""),"-",(9147.95321-8832.08108)/1792621.32665*100)</f>
        <v>0.017620683482009705</v>
      </c>
      <c r="G26" s="50">
        <f>IF(OR(2276206.61995="",8356.53673="",9147.95321=""),"-",(8356.53673-9147.95321)/2276206.61995*100)</f>
        <v>-0.03476909666563505</v>
      </c>
    </row>
    <row r="27" spans="1:7" s="9" customFormat="1" ht="15.75">
      <c r="A27" s="42" t="s">
        <v>59</v>
      </c>
      <c r="B27" s="50">
        <f>IF(7214.12192="","-",7214.12192)</f>
        <v>7214.12192</v>
      </c>
      <c r="C27" s="50">
        <f>IF(OR(6672.83788="",7214.12192=""),"-",7214.12192/6672.83788*100)</f>
        <v>108.11175169746518</v>
      </c>
      <c r="D27" s="50">
        <f>IF(6672.83788="","-",6672.83788/2276206.61995*100)</f>
        <v>0.2931560703459591</v>
      </c>
      <c r="E27" s="50">
        <f>IF(7214.12192="","-",7214.12192/2362156.7372*100)</f>
        <v>0.305404032102938</v>
      </c>
      <c r="F27" s="50">
        <f>IF(OR(1792621.32665="",4624.72993="",6672.83788=""),"-",(6672.83788-4624.72993)/1792621.32665*100)</f>
        <v>0.1142521245034748</v>
      </c>
      <c r="G27" s="50">
        <f>IF(OR(2276206.61995="",7214.12192="",6672.83788=""),"-",(7214.12192-6672.83788)/2276206.61995*100)</f>
        <v>0.023780092512510554</v>
      </c>
    </row>
    <row r="28" spans="1:7" s="9" customFormat="1" ht="15.75">
      <c r="A28" s="42" t="s">
        <v>51</v>
      </c>
      <c r="B28" s="50">
        <f>IF(6721.96451="","-",6721.96451)</f>
        <v>6721.96451</v>
      </c>
      <c r="C28" s="50">
        <f>IF(OR(5356.59742="",6721.96451=""),"-",6721.96451/5356.59742*100)</f>
        <v>125.48944755307</v>
      </c>
      <c r="D28" s="50">
        <f>IF(5356.59742="","-",5356.59742/2276206.61995*100)</f>
        <v>0.23533001675030998</v>
      </c>
      <c r="E28" s="50">
        <f>IF(6721.96451="","-",6721.96451/2362156.7372*100)</f>
        <v>0.28456894515678627</v>
      </c>
      <c r="F28" s="50">
        <f>IF(OR(1792621.32665="",4830.70607="",5356.59742=""),"-",(5356.59742-4830.70607)/1792621.32665*100)</f>
        <v>0.02933644390936544</v>
      </c>
      <c r="G28" s="50">
        <f>IF(OR(2276206.61995="",6721.96451="",5356.59742=""),"-",(6721.96451-5356.59742)/2276206.61995*100)</f>
        <v>0.05998432119620106</v>
      </c>
    </row>
    <row r="29" spans="1:7" s="9" customFormat="1" ht="15.75">
      <c r="A29" s="42" t="s">
        <v>57</v>
      </c>
      <c r="B29" s="50">
        <f>IF(5403.57141="","-",5403.57141)</f>
        <v>5403.57141</v>
      </c>
      <c r="C29" s="50">
        <f>IF(OR(4391.58313="",5403.57141=""),"-",5403.57141/4391.58313*100)</f>
        <v>123.04381472564769</v>
      </c>
      <c r="D29" s="50">
        <f>IF(4391.58313="","-",4391.58313/2276206.61995*100)</f>
        <v>0.192934292146838</v>
      </c>
      <c r="E29" s="50">
        <f>IF(5403.57141="","-",5403.57141/2362156.7372*100)</f>
        <v>0.22875583676996658</v>
      </c>
      <c r="F29" s="50">
        <f>IF(OR(1792621.32665="",3273.44115="",4391.58313=""),"-",(4391.58313-3273.44115)/1792621.32665*100)</f>
        <v>0.06237468914249458</v>
      </c>
      <c r="G29" s="50">
        <f>IF(OR(2276206.61995="",5403.57141="",4391.58313=""),"-",(5403.57141-4391.58313)/2276206.61995*100)</f>
        <v>0.044459420824557186</v>
      </c>
    </row>
    <row r="30" spans="1:7" s="9" customFormat="1" ht="15.75">
      <c r="A30" s="42" t="s">
        <v>56</v>
      </c>
      <c r="B30" s="50">
        <f>IF(5133.6543="","-",5133.6543)</f>
        <v>5133.6543</v>
      </c>
      <c r="C30" s="50">
        <f>IF(OR(6523.47022="",5133.6543=""),"-",5133.6543/6523.47022*100)</f>
        <v>78.69514425406544</v>
      </c>
      <c r="D30" s="50">
        <f>IF(6523.47022="","-",6523.47022/2276206.61995*100)</f>
        <v>0.2865939393561423</v>
      </c>
      <c r="E30" s="50">
        <f>IF(5133.6543="","-",5133.6543/2362156.7372*100)</f>
        <v>0.2173291136508247</v>
      </c>
      <c r="F30" s="50">
        <f>IF(OR(1792621.32665="",5913.82445="",6523.47022=""),"-",(6523.47022-5913.82445)/1792621.32665*100)</f>
        <v>0.03400861971999903</v>
      </c>
      <c r="G30" s="50">
        <f>IF(OR(2276206.61995="",5133.6543="",6523.47022=""),"-",(5133.6543-6523.47022)/2276206.61995*100)</f>
        <v>-0.0610584253564173</v>
      </c>
    </row>
    <row r="31" spans="1:7" s="9" customFormat="1" ht="15.75">
      <c r="A31" s="42" t="s">
        <v>53</v>
      </c>
      <c r="B31" s="50">
        <f>IF(4444.85408="","-",4444.85408)</f>
        <v>4444.85408</v>
      </c>
      <c r="C31" s="50">
        <f>IF(OR(4760.79268="",4444.85408=""),"-",4444.85408/4760.79268*100)</f>
        <v>93.36373958632453</v>
      </c>
      <c r="D31" s="50">
        <f>IF(4760.79268="","-",4760.79268/2276206.61995*100)</f>
        <v>0.2091546803472778</v>
      </c>
      <c r="E31" s="50">
        <f>IF(4444.85408="","-",4444.85408/2362156.7372*100)</f>
        <v>0.18816931196821177</v>
      </c>
      <c r="F31" s="50">
        <f>IF(OR(1792621.32665="",2911.20533="",4760.79268=""),"-",(4760.79268-2911.20533)/1792621.32665*100)</f>
        <v>0.10317780573638809</v>
      </c>
      <c r="G31" s="50">
        <f>IF(OR(2276206.61995="",4444.85408="",4760.79268=""),"-",(4444.85408-4760.79268)/2276206.61995*100)</f>
        <v>-0.013880049255235867</v>
      </c>
    </row>
    <row r="32" spans="1:7" s="9" customFormat="1" ht="15.75">
      <c r="A32" s="42" t="s">
        <v>61</v>
      </c>
      <c r="B32" s="50">
        <f>IF(2445.15612="","-",2445.15612)</f>
        <v>2445.15612</v>
      </c>
      <c r="C32" s="50">
        <f>IF(OR(2515.00226="",2445.15612=""),"-",2445.15612/2515.00226*100)</f>
        <v>97.22281999062696</v>
      </c>
      <c r="D32" s="50">
        <f>IF(2515.00226="","-",2515.00226/2276206.61995*100)</f>
        <v>0.11049094743671581</v>
      </c>
      <c r="E32" s="50">
        <f>IF(2445.15612="","-",2445.15612/2362156.7372*100)</f>
        <v>0.10351371191813395</v>
      </c>
      <c r="F32" s="50">
        <f>IF(OR(1792621.32665="",2136.53678="",2515.00226=""),"-",(2515.00226-2136.53678)/1792621.32665*100)</f>
        <v>0.02111240530130621</v>
      </c>
      <c r="G32" s="50">
        <f>IF(OR(2276206.61995="",2445.15612="",2515.00226=""),"-",(2445.15612-2515.00226)/2276206.61995*100)</f>
        <v>-0.003068532504379342</v>
      </c>
    </row>
    <row r="33" spans="1:7" s="9" customFormat="1" ht="15.75">
      <c r="A33" s="42" t="s">
        <v>174</v>
      </c>
      <c r="B33" s="50">
        <f>IF(2074.86438="","-",2074.86438)</f>
        <v>2074.86438</v>
      </c>
      <c r="C33" s="50" t="s">
        <v>20</v>
      </c>
      <c r="D33" s="50">
        <f>IF(1061.51209="","-",1061.51209/2276206.61995*100)</f>
        <v>0.046635137631895536</v>
      </c>
      <c r="E33" s="50">
        <f>IF(2074.86438="","-",2074.86438/2362156.7372*100)</f>
        <v>0.08783770980665136</v>
      </c>
      <c r="F33" s="50">
        <f>IF(OR(1792621.32665="",668.02976="",1061.51209=""),"-",(1061.51209-668.02976)/1792621.32665*100)</f>
        <v>0.02195010871232513</v>
      </c>
      <c r="G33" s="50">
        <f>IF(OR(2276206.61995="",2074.86438="",1061.51209=""),"-",(2074.86438-1061.51209)/2276206.61995*100)</f>
        <v>0.04451934552506748</v>
      </c>
    </row>
    <row r="34" spans="1:7" s="9" customFormat="1" ht="15.75">
      <c r="A34" s="42" t="s">
        <v>54</v>
      </c>
      <c r="B34" s="50">
        <f>IF(1919.72853="","-",1919.72853)</f>
        <v>1919.72853</v>
      </c>
      <c r="C34" s="50">
        <f>IF(OR(1919.25248="",1919.72853=""),"-",1919.72853/1919.25248*100)</f>
        <v>100.02480392782924</v>
      </c>
      <c r="D34" s="50">
        <f>IF(1919.25248="","-",1919.25248/2276206.61995*100)</f>
        <v>0.08431802557722809</v>
      </c>
      <c r="E34" s="50">
        <f>IF(1919.72853="","-",1919.72853/2362156.7372*100)</f>
        <v>0.08127015873957479</v>
      </c>
      <c r="F34" s="50">
        <f>IF(OR(1792621.32665="",2024.46194="",1919.25248=""),"-",(1919.25248-2024.46194)/1792621.32665*100)</f>
        <v>-0.005869028692000015</v>
      </c>
      <c r="G34" s="50">
        <f>IF(OR(2276206.61995="",1919.72853="",1919.25248=""),"-",(1919.72853-1919.25248)/2276206.61995*100)</f>
        <v>2.0914182211210845E-05</v>
      </c>
    </row>
    <row r="35" spans="1:7" s="9" customFormat="1" ht="15.75">
      <c r="A35" s="42" t="s">
        <v>62</v>
      </c>
      <c r="B35" s="50">
        <f>IF(576.9096="","-",576.9096)</f>
        <v>576.9096</v>
      </c>
      <c r="C35" s="50">
        <f>IF(OR(452.64233="",576.9096=""),"-",576.9096/452.64233*100)</f>
        <v>127.4537447701809</v>
      </c>
      <c r="D35" s="50">
        <f>IF(452.64233="","-",452.64233/2276206.61995*100)</f>
        <v>0.019885819065491642</v>
      </c>
      <c r="E35" s="50">
        <f>IF(576.9096="","-",576.9096/2362156.7372*100)</f>
        <v>0.02442300254316926</v>
      </c>
      <c r="F35" s="50">
        <f>IF(OR(1792621.32665="",949.57116="",452.64233=""),"-",(452.64233-949.57116)/1792621.32665*100)</f>
        <v>-0.02772079203858667</v>
      </c>
      <c r="G35" s="50">
        <f>IF(OR(2276206.61995="",576.9096="",452.64233=""),"-",(576.9096-452.64233)/2276206.61995*100)</f>
        <v>0.005459402011700047</v>
      </c>
    </row>
    <row r="36" spans="1:7" s="9" customFormat="1" ht="15.75">
      <c r="A36" s="42" t="s">
        <v>55</v>
      </c>
      <c r="B36" s="50">
        <f>IF(305.84194="","-",305.84194)</f>
        <v>305.84194</v>
      </c>
      <c r="C36" s="50">
        <f>IF(OR(429.25508="",305.84194=""),"-",305.84194/429.25508*100)</f>
        <v>71.24946313972569</v>
      </c>
      <c r="D36" s="50">
        <f>IF(429.25508="","-",429.25508/2276206.61995*100)</f>
        <v>0.018858353026379882</v>
      </c>
      <c r="E36" s="50">
        <f>IF(305.84194="","-",305.84194/2362156.7372*100)</f>
        <v>0.01294757181788589</v>
      </c>
      <c r="F36" s="50">
        <f>IF(OR(1792621.32665="",440.98084="",429.25508=""),"-",(429.25508-440.98084)/1792621.32665*100)</f>
        <v>-0.000654112490221945</v>
      </c>
      <c r="G36" s="50">
        <f>IF(OR(2276206.61995="",305.84194="",429.25508=""),"-",(305.84194-429.25508)/2276206.61995*100)</f>
        <v>-0.0054218777380900035</v>
      </c>
    </row>
    <row r="37" spans="1:7" s="9" customFormat="1" ht="15.75">
      <c r="A37" s="42" t="s">
        <v>63</v>
      </c>
      <c r="B37" s="50">
        <f>IF(47.63185="","-",47.63185)</f>
        <v>47.63185</v>
      </c>
      <c r="C37" s="50">
        <f>IF(OR(41.89684="",47.63185=""),"-",47.63185/41.89684*100)</f>
        <v>113.68840704931446</v>
      </c>
      <c r="D37" s="50">
        <f>IF(41.89684="","-",41.89684/2276206.61995*100)</f>
        <v>0.00184064309596465</v>
      </c>
      <c r="E37" s="50">
        <f>IF(47.63185="","-",47.63185/2362156.7372*100)</f>
        <v>0.0020164559467997357</v>
      </c>
      <c r="F37" s="50">
        <f>IF(OR(1792621.32665="",73.04702="",41.89684=""),"-",(41.89684-73.04702)/1792621.32665*100)</f>
        <v>-0.0017376887989061572</v>
      </c>
      <c r="G37" s="50">
        <f>IF(OR(2276206.61995="",47.63185="",41.89684=""),"-",(47.63185-41.89684)/2276206.61995*100)</f>
        <v>0.0002519547193007452</v>
      </c>
    </row>
    <row r="38" spans="1:7" s="9" customFormat="1" ht="15.75">
      <c r="A38" s="28" t="s">
        <v>286</v>
      </c>
      <c r="B38" s="49">
        <f>IF(599054.14437="","-",599054.14437)</f>
        <v>599054.14437</v>
      </c>
      <c r="C38" s="49">
        <f>IF(533089.43154="","-",599054.14437/533089.43154*100)</f>
        <v>112.3740425015442</v>
      </c>
      <c r="D38" s="49">
        <f>IF(533089.43154="","-",533089.43154/2276206.61995*100)</f>
        <v>23.420080886668803</v>
      </c>
      <c r="E38" s="49">
        <f>IF(599054.14437="","-",599054.14437/2362156.7372*100)</f>
        <v>25.360473965842473</v>
      </c>
      <c r="F38" s="49">
        <f>IF(1792621.32665="","-",(533089.43154-453471.61725)/1792621.32665*100)</f>
        <v>4.44141844718469</v>
      </c>
      <c r="G38" s="49">
        <f>IF(2276206.61995="","-",(599054.14437-533089.43154)/2276206.61995*100)</f>
        <v>2.8980107628124276</v>
      </c>
    </row>
    <row r="39" spans="1:7" s="9" customFormat="1" ht="15.75">
      <c r="A39" s="32" t="s">
        <v>281</v>
      </c>
      <c r="B39" s="49"/>
      <c r="C39" s="49"/>
      <c r="D39" s="49"/>
      <c r="E39" s="49"/>
      <c r="F39" s="49"/>
      <c r="G39" s="49"/>
    </row>
    <row r="40" spans="1:7" s="9" customFormat="1" ht="15.75">
      <c r="A40" s="42" t="s">
        <v>175</v>
      </c>
      <c r="B40" s="50">
        <f>IF(311667.25232="","-",311667.25232)</f>
        <v>311667.25232</v>
      </c>
      <c r="C40" s="50">
        <f>IF(OR(286172.12218="",311667.25232=""),"-",311667.25232/286172.12218*100)</f>
        <v>108.909019490013</v>
      </c>
      <c r="D40" s="50">
        <f>IF(286172.12218="","-",286172.12218/2276206.61995*100)</f>
        <v>12.572326241028426</v>
      </c>
      <c r="E40" s="50">
        <f>IF(311667.25232="","-",311667.25232/2362156.7372*100)</f>
        <v>13.19418171587704</v>
      </c>
      <c r="F40" s="50">
        <f>IF(OR(1792621.32665="",228973.53438="",286172.12218=""),"-",(286172.12218-228973.53438)/1792621.32665*100)</f>
        <v>3.190779165106281</v>
      </c>
      <c r="G40" s="50">
        <f>IF(OR(2276206.61995="",311667.25232="",286172.12218=""),"-",(311667.25232-286172.12218)/2276206.61995*100)</f>
        <v>1.1200709951612413</v>
      </c>
    </row>
    <row r="41" spans="1:7" s="9" customFormat="1" ht="15.75">
      <c r="A41" s="42" t="s">
        <v>12</v>
      </c>
      <c r="B41" s="50">
        <f>IF(224151.39996="","-",224151.39996)</f>
        <v>224151.39996</v>
      </c>
      <c r="C41" s="50">
        <f>IF(OR(204290.25216="",224151.39996=""),"-",224151.39996/204290.25216*100)</f>
        <v>109.72202422289085</v>
      </c>
      <c r="D41" s="50">
        <f>IF(204290.25216="","-",204290.25216/2276206.61995*100)</f>
        <v>8.975031105238044</v>
      </c>
      <c r="E41" s="50">
        <f>IF(224151.39996="","-",224151.39996/2362156.7372*100)</f>
        <v>9.489268702198803</v>
      </c>
      <c r="F41" s="50">
        <f>IF(OR(1792621.32665="",177408.66928="",204290.25216=""),"-",(204290.25216-177408.66928)/1792621.32665*100)</f>
        <v>1.4995683963124296</v>
      </c>
      <c r="G41" s="50">
        <f>IF(OR(2276206.61995="",224151.39996="",204290.25216=""),"-",(224151.39996-204290.25216)/2276206.61995*100)</f>
        <v>0.8725546980632313</v>
      </c>
    </row>
    <row r="42" spans="1:7" s="9" customFormat="1" ht="15.75">
      <c r="A42" s="42" t="s">
        <v>11</v>
      </c>
      <c r="B42" s="50">
        <f>IF(52729.9875="","-",52729.9875)</f>
        <v>52729.9875</v>
      </c>
      <c r="C42" s="50">
        <f>IF(OR(38913.64511="",52729.9875=""),"-",52729.9875/38913.64511*100)</f>
        <v>135.50513541186996</v>
      </c>
      <c r="D42" s="50">
        <f>IF(38913.64511="","-",38913.64511/2276206.61995*100)</f>
        <v>1.7095831621320383</v>
      </c>
      <c r="E42" s="50">
        <f>IF(52729.9875="","-",52729.9875/2362156.7372*100)</f>
        <v>2.232281485372723</v>
      </c>
      <c r="F42" s="50">
        <f>IF(OR(1792621.32665="",44322.31588="",38913.64511=""),"-",(38913.64511-44322.31588)/1792621.32665*100)</f>
        <v>-0.3017185330550304</v>
      </c>
      <c r="G42" s="50">
        <f>IF(OR(2276206.61995="",52729.9875="",38913.64511=""),"-",(52729.9875-38913.64511)/2276206.61995*100)</f>
        <v>0.6069898166935082</v>
      </c>
    </row>
    <row r="43" spans="1:7" s="9" customFormat="1" ht="15.75">
      <c r="A43" s="42" t="s">
        <v>13</v>
      </c>
      <c r="B43" s="50">
        <f>IF(3926.06436="","-",3926.06436)</f>
        <v>3926.06436</v>
      </c>
      <c r="C43" s="50" t="s">
        <v>125</v>
      </c>
      <c r="D43" s="50">
        <f>IF(1223.89514="","-",1223.89514/2276206.61995*100)</f>
        <v>0.05376907040305878</v>
      </c>
      <c r="E43" s="50">
        <f>IF(3926.06436="","-",3926.06436/2362156.7372*100)</f>
        <v>0.16620676766156464</v>
      </c>
      <c r="F43" s="50">
        <f>IF(OR(1792621.32665="",746.00553="",1223.89514=""),"-",(1223.89514-746.00553)/1792621.32665*100)</f>
        <v>0.026658703815214933</v>
      </c>
      <c r="G43" s="50">
        <f>IF(OR(2276206.61995="",3926.06436="",1223.89514=""),"-",(3926.06436-1223.89514)/2276206.61995*100)</f>
        <v>0.11871370535155355</v>
      </c>
    </row>
    <row r="44" spans="1:7" s="9" customFormat="1" ht="15.75">
      <c r="A44" s="42" t="s">
        <v>15</v>
      </c>
      <c r="B44" s="50">
        <f>IF(3891.74553="","-",3891.74553)</f>
        <v>3891.74553</v>
      </c>
      <c r="C44" s="50" t="s">
        <v>240</v>
      </c>
      <c r="D44" s="50">
        <f>IF(1790.56967="","-",1790.56967/2276206.61995*100)</f>
        <v>0.07866463678237313</v>
      </c>
      <c r="E44" s="50">
        <f>IF(3891.74553="","-",3891.74553/2362156.7372*100)</f>
        <v>0.1647539076773165</v>
      </c>
      <c r="F44" s="50">
        <f>IF(OR(1792621.32665="",1655.87591="",1790.56967=""),"-",(1790.56967-1655.87591)/1792621.32665*100)</f>
        <v>0.007513787658195052</v>
      </c>
      <c r="G44" s="50">
        <f>IF(OR(2276206.61995="",3891.74553="",1790.56967=""),"-",(3891.74553-1790.56967)/2276206.61995*100)</f>
        <v>0.09231041864056065</v>
      </c>
    </row>
    <row r="45" spans="1:7" s="9" customFormat="1" ht="15.75">
      <c r="A45" s="42" t="s">
        <v>16</v>
      </c>
      <c r="B45" s="50">
        <f>IF(1943.0844="","-",1943.0844)</f>
        <v>1943.0844</v>
      </c>
      <c r="C45" s="50" t="s">
        <v>253</v>
      </c>
      <c r="D45" s="50">
        <f>IF(0.918="","-",0.918/2276206.61995*100)</f>
        <v>4.03302578928518E-05</v>
      </c>
      <c r="E45" s="50">
        <f>IF(1943.0844="","-",1943.0844/2362156.7372*100)</f>
        <v>0.08225891065565995</v>
      </c>
      <c r="F45" s="50">
        <f>IF(OR(1792621.32665="",4.47522="",0.918=""),"-",(0.918-4.47522)/1792621.32665*100)</f>
        <v>-0.00019843677786917957</v>
      </c>
      <c r="G45" s="50">
        <f>IF(OR(2276206.61995="",1943.0844="",0.918=""),"-",(1943.0844-0.918)/2276206.61995*100)</f>
        <v>0.08532469693118906</v>
      </c>
    </row>
    <row r="46" spans="1:7" s="9" customFormat="1" ht="15.75">
      <c r="A46" s="42" t="s">
        <v>17</v>
      </c>
      <c r="B46" s="50">
        <f>IF(424.93483="","-",424.93483)</f>
        <v>424.93483</v>
      </c>
      <c r="C46" s="50">
        <f>IF(OR(356.94534="",424.93483=""),"-",424.93483/356.94534*100)</f>
        <v>119.04759143234647</v>
      </c>
      <c r="D46" s="50">
        <f>IF(356.94534="","-",356.94534/2276206.61995*100)</f>
        <v>0.01568158781683188</v>
      </c>
      <c r="E46" s="50">
        <f>IF(424.93483="","-",424.93483/2362156.7372*100)</f>
        <v>0.017989273247959812</v>
      </c>
      <c r="F46" s="50">
        <f>IF(OR(1792621.32665="",273.08401="",356.94534=""),"-",(356.94534-273.08401)/1792621.32665*100)</f>
        <v>0.004678139702639692</v>
      </c>
      <c r="G46" s="50">
        <f>IF(OR(2276206.61995="",424.93483="",356.94534=""),"-",(424.93483-356.94534)/2276206.61995*100)</f>
        <v>0.002986964777454758</v>
      </c>
    </row>
    <row r="47" spans="1:7" s="9" customFormat="1" ht="15.75">
      <c r="A47" s="42" t="s">
        <v>14</v>
      </c>
      <c r="B47" s="50">
        <f>IF(266.70501="","-",266.70501)</f>
        <v>266.70501</v>
      </c>
      <c r="C47" s="50">
        <f>IF(OR(282.34938="",266.70501=""),"-",266.70501/282.34938*100)</f>
        <v>94.45921574185854</v>
      </c>
      <c r="D47" s="50">
        <f>IF(282.34938="","-",282.34938/2276206.61995*100)</f>
        <v>0.012404382692033563</v>
      </c>
      <c r="E47" s="50">
        <f>IF(266.70501="","-",266.70501/2362156.7372*100)</f>
        <v>0.0112907414567308</v>
      </c>
      <c r="F47" s="50">
        <f>IF(OR(1792621.32665="",62.77434="",282.34938=""),"-",(282.34938-62.77434)/1792621.32665*100)</f>
        <v>0.012248824486002053</v>
      </c>
      <c r="G47" s="50">
        <f>IF(OR(2276206.61995="",266.70501="",282.34938=""),"-",(266.70501-282.34938)/2276206.61995*100)</f>
        <v>-0.0006873000835198181</v>
      </c>
    </row>
    <row r="48" spans="1:7" s="9" customFormat="1" ht="15.75">
      <c r="A48" s="42" t="s">
        <v>148</v>
      </c>
      <c r="B48" s="50">
        <f>IF(52.90136="","-",52.90136)</f>
        <v>52.90136</v>
      </c>
      <c r="C48" s="50">
        <f>IF(OR(58.69841="",52.90136=""),"-",52.90136/58.69841*100)</f>
        <v>90.12400846973537</v>
      </c>
      <c r="D48" s="50">
        <f>IF(58.69841="","-",58.69841/2276206.61995*100)</f>
        <v>0.00257878214945572</v>
      </c>
      <c r="E48" s="50">
        <f>IF(52.90136="","-",52.90136/2362156.7372*100)</f>
        <v>0.0022395364019200106</v>
      </c>
      <c r="F48" s="50">
        <f>IF(OR(1792621.32665="",22.32818="",58.69841=""),"-",(58.69841-22.32818)/1792621.32665*100)</f>
        <v>0.002028885267585635</v>
      </c>
      <c r="G48" s="50">
        <f>IF(OR(2276206.61995="",52.90136="",58.69841=""),"-",(52.90136-58.69841)/2276206.61995*100)</f>
        <v>-0.00025468030666422306</v>
      </c>
    </row>
    <row r="49" spans="1:7" s="9" customFormat="1" ht="15.75">
      <c r="A49" s="42" t="s">
        <v>18</v>
      </c>
      <c r="B49" s="50">
        <f>IF(0.0691="","-",0.0691)</f>
        <v>0.0691</v>
      </c>
      <c r="C49" s="50" t="s">
        <v>116</v>
      </c>
      <c r="D49" s="50">
        <f>IF(0.03615="","-",0.03615/2276206.61995*100)</f>
        <v>1.5881686523165494E-06</v>
      </c>
      <c r="E49" s="50">
        <f>IF(0.0691="","-",0.0691/2362156.7372*100)</f>
        <v>2.92529275944272E-06</v>
      </c>
      <c r="F49" s="50">
        <f>IF(OR(1792621.32665="",2.55452="",0.03615=""),"-",(0.03615-2.55452)/1792621.32665*100)</f>
        <v>-0.00014048533075896507</v>
      </c>
      <c r="G49" s="50">
        <f>IF(OR(2276206.61995="",0.0691="",0.03615=""),"-",(0.0691-0.03615)/2276206.61995*100)</f>
        <v>1.4475838753480026E-06</v>
      </c>
    </row>
    <row r="50" spans="1:7" s="9" customFormat="1" ht="15.75">
      <c r="A50" s="28" t="s">
        <v>287</v>
      </c>
      <c r="B50" s="49">
        <f>IF(598069.10084="","-",598069.10084)</f>
        <v>598069.10084</v>
      </c>
      <c r="C50" s="49">
        <f>IF(592839.11598="","-",598069.10084/592839.11598*100)</f>
        <v>100.8821929456113</v>
      </c>
      <c r="D50" s="49">
        <f>IF(592839.11598="","-",592839.11598/2276206.61995*100)</f>
        <v>26.045048405712063</v>
      </c>
      <c r="E50" s="49">
        <f>IF(598069.10084="","-",598069.10084/2362156.7372*100)</f>
        <v>25.31877294260014</v>
      </c>
      <c r="F50" s="49">
        <f>IF(1792621.32665="","-",(592839.11598-461523.11514)/1792621.32665*100)</f>
        <v>7.325361965061501</v>
      </c>
      <c r="G50" s="49">
        <f>IF(2276206.61995="","-",(598069.10084-592839.11598)/2276206.61995*100)</f>
        <v>0.22976757971624084</v>
      </c>
    </row>
    <row r="51" spans="1:7" s="9" customFormat="1" ht="15.75">
      <c r="A51" s="32" t="s">
        <v>281</v>
      </c>
      <c r="B51" s="49"/>
      <c r="C51" s="49"/>
      <c r="D51" s="49"/>
      <c r="E51" s="49"/>
      <c r="F51" s="49"/>
      <c r="G51" s="49"/>
    </row>
    <row r="52" spans="1:7" s="9" customFormat="1" ht="15.75">
      <c r="A52" s="42" t="s">
        <v>67</v>
      </c>
      <c r="B52" s="50">
        <f>IF(233979.97304="","-",233979.97304)</f>
        <v>233979.97304</v>
      </c>
      <c r="C52" s="50">
        <f>IF(OR(238870.72996="",233979.97304=""),"-",233979.97304/238870.72996*100)</f>
        <v>97.95255077052806</v>
      </c>
      <c r="D52" s="50">
        <f>IF(238870.72996="","-",238870.72996/2276206.61995*100)</f>
        <v>10.49424634241891</v>
      </c>
      <c r="E52" s="50">
        <f>IF(233979.97304="","-",233979.97304/2362156.7372*100)</f>
        <v>9.905353415173877</v>
      </c>
      <c r="F52" s="50">
        <f>IF(OR(1792621.32665="",175157.03495="",238870.72996=""),"-",(238870.72996-175157.03495)/1792621.32665*100)</f>
        <v>3.5542194027707095</v>
      </c>
      <c r="G52" s="50">
        <f>IF(OR(2276206.61995="",233979.97304="",238870.72996=""),"-",(233979.97304-238870.72996)/2276206.61995*100)</f>
        <v>-0.2148643658767418</v>
      </c>
    </row>
    <row r="53" spans="1:7" s="9" customFormat="1" ht="15.75">
      <c r="A53" s="42" t="s">
        <v>64</v>
      </c>
      <c r="B53" s="50">
        <f>IF(154679.60837="","-",154679.60837)</f>
        <v>154679.60837</v>
      </c>
      <c r="C53" s="50">
        <f>IF(OR(138502.72538="",154679.60837=""),"-",154679.60837/138502.72538*100)</f>
        <v>111.67983008682079</v>
      </c>
      <c r="D53" s="50">
        <f>IF(138502.72538="","-",138502.72538/2276206.61995*100)</f>
        <v>6.084804611588485</v>
      </c>
      <c r="E53" s="50">
        <f>IF(154679.60837="","-",154679.60837/2362156.7372*100)</f>
        <v>6.548236445704727</v>
      </c>
      <c r="F53" s="50">
        <f>IF(OR(1792621.32665="",121908.37073="",138502.72538=""),"-",(138502.72538-121908.37073)/1792621.32665*100)</f>
        <v>0.9257032928985094</v>
      </c>
      <c r="G53" s="50">
        <f>IF(OR(2276206.61995="",154679.60837="",138502.72538=""),"-",(154679.60837-138502.72538)/2276206.61995*100)</f>
        <v>0.7106948397485707</v>
      </c>
    </row>
    <row r="54" spans="1:7" s="9" customFormat="1" ht="15.75">
      <c r="A54" s="42" t="s">
        <v>19</v>
      </c>
      <c r="B54" s="50">
        <f>IF(30081.9053="","-",30081.9053)</f>
        <v>30081.9053</v>
      </c>
      <c r="C54" s="50">
        <f>IF(OR(33016.40187="",30081.9053=""),"-",30081.9053/33016.40187*100)</f>
        <v>91.1120037199862</v>
      </c>
      <c r="D54" s="50">
        <f>IF(33016.40187="","-",33016.40187/2276206.61995*100)</f>
        <v>1.4505010916243293</v>
      </c>
      <c r="E54" s="50">
        <f>IF(30081.9053="","-",30081.9053/2362156.7372*100)</f>
        <v>1.273493194852845</v>
      </c>
      <c r="F54" s="50">
        <f>IF(OR(1792621.32665="",34175.4137="",33016.40187=""),"-",(33016.40187-34175.4137)/1792621.32665*100)</f>
        <v>-0.0646545822460968</v>
      </c>
      <c r="G54" s="50">
        <f>IF(OR(2276206.61995="",30081.9053="",33016.40187=""),"-",(30081.9053-33016.40187)/2276206.61995*100)</f>
        <v>-0.12892048306512977</v>
      </c>
    </row>
    <row r="55" spans="1:7" s="9" customFormat="1" ht="15.75">
      <c r="A55" s="42" t="s">
        <v>84</v>
      </c>
      <c r="B55" s="50">
        <f>IF(18348.83254="","-",18348.83254)</f>
        <v>18348.83254</v>
      </c>
      <c r="C55" s="50">
        <f>IF(OR(24013.97071="",18348.83254=""),"-",18348.83254/24013.97071*100)</f>
        <v>76.40899025648889</v>
      </c>
      <c r="D55" s="50">
        <f>IF(24013.97071="","-",24013.97071/2276206.61995*100)</f>
        <v>1.0549995988732999</v>
      </c>
      <c r="E55" s="50">
        <f>IF(18348.83254="","-",18348.83254/2362156.7372*100)</f>
        <v>0.7767830242183643</v>
      </c>
      <c r="F55" s="50">
        <f>IF(OR(1792621.32665="",12388.41617="",24013.97071=""),"-",(24013.97071-12388.41617)/1792621.32665*100)</f>
        <v>0.6485226058157809</v>
      </c>
      <c r="G55" s="50">
        <f>IF(OR(2276206.61995="",18348.83254="",24013.97071=""),"-",(18348.83254-24013.97071)/2276206.61995*100)</f>
        <v>-0.24888505816420323</v>
      </c>
    </row>
    <row r="56" spans="1:7" s="9" customFormat="1" ht="15.75">
      <c r="A56" s="42" t="s">
        <v>80</v>
      </c>
      <c r="B56" s="50">
        <f>IF(16982.9401="","-",16982.9401)</f>
        <v>16982.9401</v>
      </c>
      <c r="C56" s="50">
        <f>IF(OR(13985.65776="",16982.9401=""),"-",16982.9401/13985.65776*100)</f>
        <v>121.43111458491744</v>
      </c>
      <c r="D56" s="50">
        <f>IF(13985.65776="","-",13985.65776/2276206.61995*100)</f>
        <v>0.614428305296257</v>
      </c>
      <c r="E56" s="50">
        <f>IF(16982.9401="","-",16982.9401/2362156.7372*100)</f>
        <v>0.7189590695887037</v>
      </c>
      <c r="F56" s="50">
        <f>IF(OR(1792621.32665="",10767.21588="",13985.65776=""),"-",(13985.65776-10767.21588)/1792621.32665*100)</f>
        <v>0.17953830137759955</v>
      </c>
      <c r="G56" s="50">
        <f>IF(OR(2276206.61995="",16982.9401="",13985.65776=""),"-",(16982.9401-13985.65776)/2276206.61995*100)</f>
        <v>0.13167883415020729</v>
      </c>
    </row>
    <row r="57" spans="1:7" s="9" customFormat="1" ht="15.75">
      <c r="A57" s="42" t="s">
        <v>77</v>
      </c>
      <c r="B57" s="50">
        <f>IF(14889.69868="","-",14889.69868)</f>
        <v>14889.69868</v>
      </c>
      <c r="C57" s="50">
        <f>IF(OR(12991.74925="",14889.69868=""),"-",14889.69868/12991.74925*100)</f>
        <v>114.6088828646381</v>
      </c>
      <c r="D57" s="50">
        <f>IF(12991.74925="","-",12991.74925/2276206.61995*100)</f>
        <v>0.5707631783570413</v>
      </c>
      <c r="E57" s="50">
        <f>IF(14889.69868="","-",14889.69868/2362156.7372*100)</f>
        <v>0.6303433826177689</v>
      </c>
      <c r="F57" s="50">
        <f>IF(OR(1792621.32665="",11721.8956="",12991.74925=""),"-",(12991.74925-11721.8956)/1792621.32665*100)</f>
        <v>0.07083780780255848</v>
      </c>
      <c r="G57" s="50">
        <f>IF(OR(2276206.61995="",14889.69868="",12991.74925=""),"-",(14889.69868-12991.74925)/2276206.61995*100)</f>
        <v>0.0833821241606656</v>
      </c>
    </row>
    <row r="58" spans="1:7" s="9" customFormat="1" ht="15.75">
      <c r="A58" s="42" t="s">
        <v>177</v>
      </c>
      <c r="B58" s="50">
        <f>IF(14443.99828="","-",14443.99828)</f>
        <v>14443.99828</v>
      </c>
      <c r="C58" s="50">
        <f>IF(OR(12122.04589="",14443.99828=""),"-",14443.99828/12122.04589*100)</f>
        <v>119.1547896375766</v>
      </c>
      <c r="D58" s="50">
        <f>IF(12122.04589="","-",12122.04589/2276206.61995*100)</f>
        <v>0.5325547243275427</v>
      </c>
      <c r="E58" s="50">
        <f>IF(14443.99828="","-",14443.99828/2362156.7372*100)</f>
        <v>0.6114750157147193</v>
      </c>
      <c r="F58" s="50">
        <f>IF(OR(1792621.32665="",12234.63215="",12122.04589=""),"-",(12122.04589-12234.63215)/1792621.32665*100)</f>
        <v>-0.006280537798264292</v>
      </c>
      <c r="G58" s="50">
        <f>IF(OR(2276206.61995="",14443.99828="",12122.04589=""),"-",(14443.99828-12122.04589)/2276206.61995*100)</f>
        <v>0.10200973714991678</v>
      </c>
    </row>
    <row r="59" spans="1:7" s="9" customFormat="1" ht="15.75">
      <c r="A59" s="42" t="s">
        <v>44</v>
      </c>
      <c r="B59" s="50">
        <f>IF(13886.97247="","-",13886.97247)</f>
        <v>13886.97247</v>
      </c>
      <c r="C59" s="50">
        <f>IF(OR(14601.17045="",13886.97247=""),"-",13886.97247/14601.17045*100)</f>
        <v>95.10862514449998</v>
      </c>
      <c r="D59" s="50">
        <f>IF(14601.17045="","-",14601.17045/2276206.61995*100)</f>
        <v>0.6414694659978071</v>
      </c>
      <c r="E59" s="50">
        <f>IF(13886.97247="","-",13886.97247/2362156.7372*100)</f>
        <v>0.587893777381641</v>
      </c>
      <c r="F59" s="50">
        <f>IF(OR(1792621.32665="",8789.43597="",14601.17045=""),"-",(14601.17045-8789.43597)/1792621.32665*100)</f>
        <v>0.3242031316709148</v>
      </c>
      <c r="G59" s="50">
        <f>IF(OR(2276206.61995="",13886.97247="",14601.17045=""),"-",(13886.97247-14601.17045)/2276206.61995*100)</f>
        <v>-0.03137667616552698</v>
      </c>
    </row>
    <row r="60" spans="1:7" s="9" customFormat="1" ht="15.75">
      <c r="A60" s="42" t="s">
        <v>78</v>
      </c>
      <c r="B60" s="50">
        <f>IF(9067.49802="","-",9067.49802)</f>
        <v>9067.49802</v>
      </c>
      <c r="C60" s="50">
        <f>IF(OR(8393.15166="",9067.49802=""),"-",9067.49802/8393.15166*100)</f>
        <v>108.03448319912764</v>
      </c>
      <c r="D60" s="50">
        <f>IF(8393.15166="","-",8393.15166/2276206.61995*100)</f>
        <v>0.36873417318258944</v>
      </c>
      <c r="E60" s="50">
        <f>IF(9067.49802="","-",9067.49802/2362156.7372*100)</f>
        <v>0.3838652142426513</v>
      </c>
      <c r="F60" s="50">
        <f>IF(OR(1792621.32665="",5988.24265="",8393.15166=""),"-",(8393.15166-5988.24265)/1792621.32665*100)</f>
        <v>0.13415599682138252</v>
      </c>
      <c r="G60" s="50">
        <f>IF(OR(2276206.61995="",9067.49802="",8393.15166=""),"-",(9067.49802-8393.15166)/2276206.61995*100)</f>
        <v>0.029625885193797313</v>
      </c>
    </row>
    <row r="61" spans="1:7" s="9" customFormat="1" ht="15.75">
      <c r="A61" s="42" t="s">
        <v>88</v>
      </c>
      <c r="B61" s="50">
        <f>IF(8314.97237="","-",8314.97237)</f>
        <v>8314.97237</v>
      </c>
      <c r="C61" s="50">
        <f>IF(OR(7344.88279="",8314.97237=""),"-",8314.97237/7344.88279*100)</f>
        <v>113.20769313461025</v>
      </c>
      <c r="D61" s="50">
        <f>IF(7344.88279="","-",7344.88279/2276206.61995*100)</f>
        <v>0.3226808465288331</v>
      </c>
      <c r="E61" s="50">
        <f>IF(8314.97237="","-",8314.97237/2362156.7372*100)</f>
        <v>0.35200764788606764</v>
      </c>
      <c r="F61" s="50">
        <f>IF(OR(1792621.32665="",5901.28328="",7344.88279=""),"-",(7344.88279-5901.28328)/1792621.32665*100)</f>
        <v>0.08053008678066761</v>
      </c>
      <c r="G61" s="50">
        <f>IF(OR(2276206.61995="",8314.97237="",7344.88279=""),"-",(8314.97237-7344.88279)/2276206.61995*100)</f>
        <v>0.042618696013690935</v>
      </c>
    </row>
    <row r="62" spans="1:7" s="9" customFormat="1" ht="15.75">
      <c r="A62" s="42" t="s">
        <v>74</v>
      </c>
      <c r="B62" s="50">
        <f>IF(8019.05057="","-",8019.05057)</f>
        <v>8019.05057</v>
      </c>
      <c r="C62" s="50">
        <f>IF(OR(10369.66561="",8019.05057=""),"-",8019.05057/10369.66561*100)</f>
        <v>77.33181446339812</v>
      </c>
      <c r="D62" s="50">
        <f>IF(10369.66561="","-",10369.66561/2276206.61995*100)</f>
        <v>0.4555678521938304</v>
      </c>
      <c r="E62" s="50">
        <f>IF(8019.05057="","-",8019.05057/2362156.7372*100)</f>
        <v>0.33948003719285125</v>
      </c>
      <c r="F62" s="50">
        <f>IF(OR(1792621.32665="",5631.93825="",10369.66561=""),"-",(10369.66561-5631.93825)/1792621.32665*100)</f>
        <v>0.26429047170010694</v>
      </c>
      <c r="G62" s="50">
        <f>IF(OR(2276206.61995="",8019.05057="",10369.66561=""),"-",(8019.05057-10369.66561)/2276206.61995*100)</f>
        <v>-0.10326896598040973</v>
      </c>
    </row>
    <row r="63" spans="1:7" s="9" customFormat="1" ht="15.75">
      <c r="A63" s="42" t="s">
        <v>70</v>
      </c>
      <c r="B63" s="50">
        <f>IF(5613.41607="","-",5613.41607)</f>
        <v>5613.41607</v>
      </c>
      <c r="C63" s="50">
        <f>IF(OR(7101.41976="",5613.41607=""),"-",5613.41607/7101.41976*100)</f>
        <v>79.04639156269225</v>
      </c>
      <c r="D63" s="50">
        <f>IF(7101.41976="","-",7101.41976/2276206.61995*100)</f>
        <v>0.3119848478498842</v>
      </c>
      <c r="E63" s="50">
        <f>IF(5613.41607="","-",5613.41607/2362156.7372*100)</f>
        <v>0.23763944117670635</v>
      </c>
      <c r="F63" s="50">
        <f>IF(OR(1792621.32665="",4168.23348="",7101.41976=""),"-",(7101.41976-4168.23348)/1792621.32665*100)</f>
        <v>0.1636255374402722</v>
      </c>
      <c r="G63" s="50">
        <f>IF(OR(2276206.61995="",5613.41607="",7101.41976=""),"-",(5613.41607-7101.41976)/2276206.61995*100)</f>
        <v>-0.06537208340219507</v>
      </c>
    </row>
    <row r="64" spans="1:7" s="9" customFormat="1" ht="15.75">
      <c r="A64" s="42" t="s">
        <v>71</v>
      </c>
      <c r="B64" s="50">
        <f>IF(4819.05122="","-",4819.05122)</f>
        <v>4819.05122</v>
      </c>
      <c r="C64" s="50">
        <f>IF(OR(3276.70262="",4819.05122=""),"-",4819.05122/3276.70262*100)</f>
        <v>147.0701427278134</v>
      </c>
      <c r="D64" s="50">
        <f>IF(3276.70262="","-",3276.70262/2276206.61995*100)</f>
        <v>0.14395453344529754</v>
      </c>
      <c r="E64" s="50">
        <f>IF(4819.05122="","-",4819.05122/2362156.7372*100)</f>
        <v>0.20401064603834457</v>
      </c>
      <c r="F64" s="50">
        <f>IF(OR(1792621.32665="",2924.17493="",3276.70262=""),"-",(3276.70262-2924.17493)/1792621.32665*100)</f>
        <v>0.019665485663879368</v>
      </c>
      <c r="G64" s="50">
        <f>IF(OR(2276206.61995="",4819.05122="",3276.70262=""),"-",(4819.05122-3276.70262)/2276206.61995*100)</f>
        <v>0.0677596043558594</v>
      </c>
    </row>
    <row r="65" spans="1:7" s="9" customFormat="1" ht="15.75">
      <c r="A65" s="42" t="s">
        <v>69</v>
      </c>
      <c r="B65" s="50">
        <f>IF(4500.49038="","-",4500.49038)</f>
        <v>4500.49038</v>
      </c>
      <c r="C65" s="50">
        <f>IF(OR(3934.57865="",4500.49038=""),"-",4500.49038/3934.57865*100)</f>
        <v>114.38303260248719</v>
      </c>
      <c r="D65" s="50">
        <f>IF(3934.57865="","-",3934.57865/2276206.61995*100)</f>
        <v>0.1728568318673297</v>
      </c>
      <c r="E65" s="50">
        <f>IF(4500.49038="","-",4500.49038/2362156.7372*100)</f>
        <v>0.19052462984885118</v>
      </c>
      <c r="F65" s="50">
        <f>IF(OR(1792621.32665="",3533.89686="",3934.57865=""),"-",(3934.57865-3533.89686)/1792621.32665*100)</f>
        <v>0.022351725043279657</v>
      </c>
      <c r="G65" s="50">
        <f>IF(OR(2276206.61995="",4500.49038="",3934.57865=""),"-",(4500.49038-3934.57865)/2276206.61995*100)</f>
        <v>0.024862054483104492</v>
      </c>
    </row>
    <row r="66" spans="1:7" s="9" customFormat="1" ht="15.75">
      <c r="A66" s="42" t="s">
        <v>79</v>
      </c>
      <c r="B66" s="50">
        <f>IF(4226.35234="","-",4226.35234)</f>
        <v>4226.35234</v>
      </c>
      <c r="C66" s="50">
        <f>IF(OR(4912.34651="",4226.35234=""),"-",4226.35234/4912.34651*100)</f>
        <v>86.0353057626629</v>
      </c>
      <c r="D66" s="50">
        <f>IF(4912.34651="","-",4912.34651/2276206.61995*100)</f>
        <v>0.21581285578142753</v>
      </c>
      <c r="E66" s="50">
        <f>IF(4226.35234="","-",4226.35234/2362156.7372*100)</f>
        <v>0.17891921706303615</v>
      </c>
      <c r="F66" s="50">
        <f>IF(OR(1792621.32665="",3353.06267="",4912.34651=""),"-",(4912.34651-3353.06267)/1792621.32665*100)</f>
        <v>0.08698344802769618</v>
      </c>
      <c r="G66" s="50">
        <f>IF(OR(2276206.61995="",4226.35234="",4912.34651=""),"-",(4226.35234-4912.34651)/2276206.61995*100)</f>
        <v>-0.03013760543474163</v>
      </c>
    </row>
    <row r="67" spans="1:7" s="9" customFormat="1" ht="15.75">
      <c r="A67" s="42" t="s">
        <v>91</v>
      </c>
      <c r="B67" s="50">
        <f>IF(4099.17334="","-",4099.17334)</f>
        <v>4099.17334</v>
      </c>
      <c r="C67" s="50">
        <f>IF(OR(3791.76572="",4099.17334=""),"-",4099.17334/3791.76572*100)</f>
        <v>108.10724192105414</v>
      </c>
      <c r="D67" s="50">
        <f>IF(3791.76572="","-",3791.76572/2276206.61995*100)</f>
        <v>0.16658266814474387</v>
      </c>
      <c r="E67" s="50">
        <f>IF(4099.17334="","-",4099.17334/2362156.7372*100)</f>
        <v>0.17353519668889483</v>
      </c>
      <c r="F67" s="50">
        <f>IF(OR(1792621.32665="",2531.40571="",3791.76572=""),"-",(3791.76572-2531.40571)/1792621.32665*100)</f>
        <v>0.07030821240732</v>
      </c>
      <c r="G67" s="50">
        <f>IF(OR(2276206.61995="",4099.17334="",3791.76572=""),"-",(4099.17334-3791.76572)/2276206.61995*100)</f>
        <v>0.013505259905041176</v>
      </c>
    </row>
    <row r="68" spans="1:7" s="9" customFormat="1" ht="15.75">
      <c r="A68" s="42" t="s">
        <v>92</v>
      </c>
      <c r="B68" s="50">
        <f>IF(3638.32331="","-",3638.32331)</f>
        <v>3638.32331</v>
      </c>
      <c r="C68" s="50">
        <f>IF(OR(5070.77729="",3638.32331=""),"-",3638.32331/5070.77729*100)</f>
        <v>71.75080075346793</v>
      </c>
      <c r="D68" s="50">
        <f>IF(5070.77729="","-",5070.77729/2276206.61995*100)</f>
        <v>0.22277315449119403</v>
      </c>
      <c r="E68" s="50">
        <f>IF(3638.32331="","-",3638.32331/2362156.7372*100)</f>
        <v>0.15402548242047281</v>
      </c>
      <c r="F68" s="50">
        <f>IF(OR(1792621.32665="",1938.86667="",5070.77729=""),"-",(5070.77729-1938.86667)/1792621.32665*100)</f>
        <v>0.17471122168633493</v>
      </c>
      <c r="G68" s="50">
        <f>IF(OR(2276206.61995="",3638.32331="",5070.77729=""),"-",(3638.32331-5070.77729)/2276206.61995*100)</f>
        <v>-0.06293163228000213</v>
      </c>
    </row>
    <row r="69" spans="1:7" s="9" customFormat="1" ht="15.75">
      <c r="A69" s="42" t="s">
        <v>86</v>
      </c>
      <c r="B69" s="50">
        <f>IF(3565.46353="","-",3565.46353)</f>
        <v>3565.46353</v>
      </c>
      <c r="C69" s="50">
        <f>IF(OR(3640.23128="",3565.46353=""),"-",3565.46353/3640.23128*100)</f>
        <v>97.94607143752691</v>
      </c>
      <c r="D69" s="50">
        <f>IF(3640.23128="","-",3640.23128/2276206.61995*100)</f>
        <v>0.1599253445664771</v>
      </c>
      <c r="E69" s="50">
        <f>IF(3565.46353="","-",3565.46353/2362156.7372*100)</f>
        <v>0.15094102240761334</v>
      </c>
      <c r="F69" s="50">
        <f>IF(OR(1792621.32665="",3233.52596="",3640.23128=""),"-",(3640.23128-3233.52596)/1792621.32665*100)</f>
        <v>0.02268774302490529</v>
      </c>
      <c r="G69" s="50">
        <f>IF(OR(2276206.61995="",3565.46353="",3640.23128=""),"-",(3565.46353-3640.23128)/2276206.61995*100)</f>
        <v>-0.003284752330684389</v>
      </c>
    </row>
    <row r="70" spans="1:7" s="9" customFormat="1" ht="15.75">
      <c r="A70" s="42" t="s">
        <v>94</v>
      </c>
      <c r="B70" s="50">
        <f>IF(3528.06059="","-",3528.06059)</f>
        <v>3528.06059</v>
      </c>
      <c r="C70" s="50" t="s">
        <v>114</v>
      </c>
      <c r="D70" s="50">
        <f>IF(2041.83145="","-",2041.83145/2276206.61995*100)</f>
        <v>0.08970325593925438</v>
      </c>
      <c r="E70" s="50">
        <f>IF(3528.06059="","-",3528.06059/2362156.7372*100)</f>
        <v>0.14935759911435906</v>
      </c>
      <c r="F70" s="50">
        <f>IF(OR(1792621.32665="",1579.58209="",2041.83145=""),"-",(2041.83145-1579.58209)/1792621.32665*100)</f>
        <v>0.025786224515349166</v>
      </c>
      <c r="G70" s="50">
        <f>IF(OR(2276206.61995="",3528.06059="",2041.83145=""),"-",(3528.06059-2041.83145)/2276206.61995*100)</f>
        <v>0.06529412255345463</v>
      </c>
    </row>
    <row r="71" spans="1:7" s="9" customFormat="1" ht="15.75">
      <c r="A71" s="42" t="s">
        <v>183</v>
      </c>
      <c r="B71" s="50">
        <f>IF(3195.22106="","-",3195.22106)</f>
        <v>3195.22106</v>
      </c>
      <c r="C71" s="50">
        <f>IF(OR(2650.64822="",3195.22106=""),"-",3195.22106/2650.64822*100)</f>
        <v>120.54489297716013</v>
      </c>
      <c r="D71" s="50">
        <f>IF(2650.64822="","-",2650.64822/2276206.61995*100)</f>
        <v>0.11645024650961716</v>
      </c>
      <c r="E71" s="50">
        <f>IF(3195.22106="","-",3195.22106/2362156.7372*100)</f>
        <v>0.13526710610183637</v>
      </c>
      <c r="F71" s="50">
        <f>IF(OR(1792621.32665="",5068.21117="",2650.64822=""),"-",(2650.64822-5068.21117)/1792621.32665*100)</f>
        <v>-0.13486188711800462</v>
      </c>
      <c r="G71" s="50">
        <f>IF(OR(2276206.61995="",3195.22106="",2650.64822=""),"-",(3195.22106-2650.64822)/2276206.61995*100)</f>
        <v>0.02392457851703999</v>
      </c>
    </row>
    <row r="72" spans="1:7" s="9" customFormat="1" ht="15.75">
      <c r="A72" s="42" t="s">
        <v>82</v>
      </c>
      <c r="B72" s="50">
        <f>IF(2916.96365="","-",2916.96365)</f>
        <v>2916.96365</v>
      </c>
      <c r="C72" s="50">
        <f>IF(OR(1955.10533="",2916.96365=""),"-",2916.96365/1955.10533*100)</f>
        <v>149.19726345383143</v>
      </c>
      <c r="D72" s="50">
        <f>IF(1955.10533="","-",1955.10533/2276206.61995*100)</f>
        <v>0.08589313961502082</v>
      </c>
      <c r="E72" s="50">
        <f>IF(2916.96365="","-",2916.96365/2362156.7372*100)</f>
        <v>0.12348730311002329</v>
      </c>
      <c r="F72" s="50">
        <f>IF(OR(1792621.32665="",1085.95093="",1955.10533=""),"-",(1955.10533-1085.95093)/1792621.32665*100)</f>
        <v>0.04848510876662677</v>
      </c>
      <c r="G72" s="50">
        <f>IF(OR(2276206.61995="",2916.96365="",1955.10533=""),"-",(2916.96365-1955.10533)/2276206.61995*100)</f>
        <v>0.04225707418516903</v>
      </c>
    </row>
    <row r="73" spans="1:7" s="9" customFormat="1" ht="15.75">
      <c r="A73" s="42" t="s">
        <v>89</v>
      </c>
      <c r="B73" s="50">
        <f>IF(2568.75731="","-",2568.75731)</f>
        <v>2568.75731</v>
      </c>
      <c r="C73" s="50">
        <f>IF(OR(3412.40069="",2568.75731=""),"-",2568.75731/3412.40069*100)</f>
        <v>75.2771301895382</v>
      </c>
      <c r="D73" s="50">
        <f>IF(3412.40069="","-",3412.40069/2276206.61995*100)</f>
        <v>0.14991612185342637</v>
      </c>
      <c r="E73" s="50">
        <f>IF(2568.75731="","-",2568.75731/2362156.7372*100)</f>
        <v>0.10874626859201968</v>
      </c>
      <c r="F73" s="50">
        <f>IF(OR(1792621.32665="",2947.76933="",3412.40069=""),"-",(3412.40069-2947.76933)/1792621.32665*100)</f>
        <v>0.02591910255069261</v>
      </c>
      <c r="G73" s="50">
        <f>IF(OR(2276206.61995="",2568.75731="",3412.40069=""),"-",(2568.75731-3412.40069)/2276206.61995*100)</f>
        <v>-0.03706356763071587</v>
      </c>
    </row>
    <row r="74" spans="1:7" s="9" customFormat="1" ht="15.75">
      <c r="A74" s="42" t="s">
        <v>76</v>
      </c>
      <c r="B74" s="50">
        <f>IF(2159.78359="","-",2159.78359)</f>
        <v>2159.78359</v>
      </c>
      <c r="C74" s="50">
        <f>IF(OR(2813.49477="",2159.78359=""),"-",2159.78359/2813.49477*100)</f>
        <v>76.76515389435042</v>
      </c>
      <c r="D74" s="50">
        <f>IF(2813.49477="","-",2813.49477/2276206.61995*100)</f>
        <v>0.12360454210706942</v>
      </c>
      <c r="E74" s="50">
        <f>IF(2159.78359="","-",2159.78359/2362156.7372*100)</f>
        <v>0.09143269606063972</v>
      </c>
      <c r="F74" s="50">
        <f>IF(OR(1792621.32665="",2217.11059="",2813.49477=""),"-",(2813.49477-2217.11059)/1792621.32665*100)</f>
        <v>0.03326883213614924</v>
      </c>
      <c r="G74" s="50">
        <f>IF(OR(2276206.61995="",2159.78359="",2813.49477=""),"-",(2159.78359-2813.49477)/2276206.61995*100)</f>
        <v>-0.028719325138170427</v>
      </c>
    </row>
    <row r="75" spans="1:7" s="9" customFormat="1" ht="15.75">
      <c r="A75" s="42" t="s">
        <v>73</v>
      </c>
      <c r="B75" s="50">
        <f>IF(2148.13569="","-",2148.13569)</f>
        <v>2148.13569</v>
      </c>
      <c r="C75" s="50">
        <f>IF(OR(2213.79379="",2148.13569=""),"-",2148.13569/2213.79379*100)</f>
        <v>97.03413658956916</v>
      </c>
      <c r="D75" s="50">
        <f>IF(2213.79379="","-",2213.79379/2276206.61995*100)</f>
        <v>0.09725803319421983</v>
      </c>
      <c r="E75" s="50">
        <f>IF(2148.13569="","-",2148.13569/2362156.7372*100)</f>
        <v>0.09093959161009395</v>
      </c>
      <c r="F75" s="50">
        <f>IF(OR(1792621.32665="",2178.53226="",2213.79379=""),"-",(2213.79379-2178.53226)/1792621.32665*100)</f>
        <v>0.00196703729202508</v>
      </c>
      <c r="G75" s="50">
        <f>IF(OR(2276206.61995="",2148.13569="",2213.79379=""),"-",(2148.13569-2213.79379)/2276206.61995*100)</f>
        <v>-0.002884540420212044</v>
      </c>
    </row>
    <row r="76" spans="1:7" s="9" customFormat="1" ht="15.75">
      <c r="A76" s="42" t="s">
        <v>93</v>
      </c>
      <c r="B76" s="50">
        <f>IF(1879.88215="","-",1879.88215)</f>
        <v>1879.88215</v>
      </c>
      <c r="C76" s="50">
        <f>IF(OR(2679.89765="",1879.88215=""),"-",1879.88215/2679.89765*100)</f>
        <v>70.1475352985962</v>
      </c>
      <c r="D76" s="50">
        <f>IF(2679.89765="","-",2679.89765/2276206.61995*100)</f>
        <v>0.11773525419493187</v>
      </c>
      <c r="E76" s="50">
        <f>IF(1879.88215="","-",1879.88215/2362156.7372*100)</f>
        <v>0.07958329438495823</v>
      </c>
      <c r="F76" s="50">
        <f>IF(OR(1792621.32665="",1282.27864="",2679.89765=""),"-",(2679.89765-1282.27864)/1792621.32665*100)</f>
        <v>0.07796510000312395</v>
      </c>
      <c r="G76" s="50">
        <f>IF(OR(2276206.61995="",1879.88215="",2679.89765=""),"-",(1879.88215-2679.89765)/2276206.61995*100)</f>
        <v>-0.035146875199650075</v>
      </c>
    </row>
    <row r="77" spans="1:7" s="9" customFormat="1" ht="15.75">
      <c r="A77" s="42" t="s">
        <v>83</v>
      </c>
      <c r="B77" s="50">
        <f>IF(1689.19126="","-",1689.19126)</f>
        <v>1689.19126</v>
      </c>
      <c r="C77" s="50">
        <f>IF(OR(2250.19585="",1689.19126=""),"-",1689.19126/2250.19585*100)</f>
        <v>75.06863280367351</v>
      </c>
      <c r="D77" s="50">
        <f>IF(2250.19585="","-",2250.19585/2276206.61995*100)</f>
        <v>0.09885727553368721</v>
      </c>
      <c r="E77" s="50">
        <f>IF(1689.19126="","-",1689.19126/2362156.7372*100)</f>
        <v>0.07151054938049096</v>
      </c>
      <c r="F77" s="50">
        <f>IF(OR(1792621.32665="",690.35969="",2250.19585=""),"-",(2250.19585-690.35969)/1792621.32665*100)</f>
        <v>0.08701425877348998</v>
      </c>
      <c r="G77" s="50">
        <f>IF(OR(2276206.61995="",1689.19126="",2250.19585=""),"-",(1689.19126-2250.19585)/2276206.61995*100)</f>
        <v>-0.02464647036358778</v>
      </c>
    </row>
    <row r="78" spans="1:7" s="9" customFormat="1" ht="15.75">
      <c r="A78" s="42" t="s">
        <v>156</v>
      </c>
      <c r="B78" s="50">
        <f>IF(1622.20644="","-",1622.20644)</f>
        <v>1622.20644</v>
      </c>
      <c r="C78" s="50" t="s">
        <v>168</v>
      </c>
      <c r="D78" s="50">
        <f>IF(498.20926="","-",498.20926/2276206.61995*100)</f>
        <v>0.021887699281488943</v>
      </c>
      <c r="E78" s="50">
        <f>IF(1622.20644="","-",1622.20644/2362156.7372*100)</f>
        <v>0.06867480106010639</v>
      </c>
      <c r="F78" s="50">
        <f>IF(OR(1792621.32665="",368.74803="",498.20926=""),"-",(498.20926-368.74803)/1792621.32665*100)</f>
        <v>0.007221895002327872</v>
      </c>
      <c r="G78" s="50">
        <f>IF(OR(2276206.61995="",1622.20644="",498.20926=""),"-",(1622.20644-498.20926)/2276206.61995*100)</f>
        <v>0.04938027901986727</v>
      </c>
    </row>
    <row r="79" spans="1:7" s="9" customFormat="1" ht="15.75">
      <c r="A79" s="42" t="s">
        <v>47</v>
      </c>
      <c r="B79" s="50">
        <f>IF(1478.37214="","-",1478.37214)</f>
        <v>1478.37214</v>
      </c>
      <c r="C79" s="50">
        <f>IF(OR(2080.33656="",1478.37214=""),"-",1478.37214/2080.33656*100)</f>
        <v>71.06408493825633</v>
      </c>
      <c r="D79" s="50">
        <f>IF(2080.33656="","-",2080.33656/2276206.61995*100)</f>
        <v>0.09139489103347294</v>
      </c>
      <c r="E79" s="50">
        <f>IF(1478.37214="","-",1478.37214/2362156.7372*100)</f>
        <v>0.06258569199571402</v>
      </c>
      <c r="F79" s="50">
        <f>IF(OR(1792621.32665="",843.54546="",2080.33656=""),"-",(2080.33656-843.54546)/1792621.32665*100)</f>
        <v>0.06899343891614189</v>
      </c>
      <c r="G79" s="50">
        <f>IF(OR(2276206.61995="",1478.37214="",2080.33656=""),"-",(1478.37214-2080.33656)/2276206.61995*100)</f>
        <v>-0.026445948040218915</v>
      </c>
    </row>
    <row r="80" spans="1:7" s="9" customFormat="1" ht="15.75">
      <c r="A80" s="42" t="s">
        <v>97</v>
      </c>
      <c r="B80" s="50">
        <f>IF(1348.18762="","-",1348.18762)</f>
        <v>1348.18762</v>
      </c>
      <c r="C80" s="50">
        <f>IF(OR(1007.13373="",1348.18762=""),"-",1348.18762/1007.13373*100)</f>
        <v>133.86381369632014</v>
      </c>
      <c r="D80" s="50">
        <f>IF(1007.13373="","-",1007.13373/2276206.61995*100)</f>
        <v>0.0442461471279845</v>
      </c>
      <c r="E80" s="50">
        <f>IF(1348.18762="","-",1348.18762/2362156.7372*100)</f>
        <v>0.057074435356820746</v>
      </c>
      <c r="F80" s="50">
        <f>IF(OR(1792621.32665="",702.20508="",1007.13373=""),"-",(1007.13373-702.20508)/1792621.32665*100)</f>
        <v>0.01701020987906253</v>
      </c>
      <c r="G80" s="50">
        <f>IF(OR(2276206.61995="",1348.18762="",1007.13373=""),"-",(1348.18762-1007.13373)/2276206.61995*100)</f>
        <v>0.014983432831220375</v>
      </c>
    </row>
    <row r="81" spans="1:7" s="9" customFormat="1" ht="15.75">
      <c r="A81" s="42" t="s">
        <v>66</v>
      </c>
      <c r="B81" s="50">
        <f>IF(1311.65475="","-",1311.65475)</f>
        <v>1311.65475</v>
      </c>
      <c r="C81" s="50">
        <f>IF(OR(1464.87521="",1311.65475=""),"-",1311.65475/1464.87521*100)</f>
        <v>89.54037456883444</v>
      </c>
      <c r="D81" s="50">
        <f>IF(1464.87521="","-",1464.87521/2276206.61995*100)</f>
        <v>0.06435598583893837</v>
      </c>
      <c r="E81" s="50">
        <f>IF(1311.65475="","-",1311.65475/2362156.7372*100)</f>
        <v>0.05552784577516137</v>
      </c>
      <c r="F81" s="50">
        <f>IF(OR(1792621.32665="",1041.02125="",1464.87521=""),"-",(1464.87521-1041.02125)/1792621.32665*100)</f>
        <v>0.023644366699133623</v>
      </c>
      <c r="G81" s="50">
        <f>IF(OR(2276206.61995="",1311.65475="",1464.87521=""),"-",(1311.65475-1464.87521)/2276206.61995*100)</f>
        <v>-0.00673139506128691</v>
      </c>
    </row>
    <row r="82" spans="1:7" s="9" customFormat="1" ht="15.75">
      <c r="A82" s="42" t="s">
        <v>100</v>
      </c>
      <c r="B82" s="50">
        <f>IF(1225.51564="","-",1225.51564)</f>
        <v>1225.51564</v>
      </c>
      <c r="C82" s="50" t="s">
        <v>147</v>
      </c>
      <c r="D82" s="50">
        <f>IF(797.53085="","-",797.53085/2276206.61995*100)</f>
        <v>0.03503771771024543</v>
      </c>
      <c r="E82" s="50">
        <f>IF(1225.51564="","-",1225.51564/2362156.7372*100)</f>
        <v>0.051881216038723754</v>
      </c>
      <c r="F82" s="50">
        <f>IF(OR(1792621.32665="",730.08394="",797.53085=""),"-",(797.53085-730.08394)/1792621.32665*100)</f>
        <v>0.003762473925602731</v>
      </c>
      <c r="G82" s="50">
        <f>IF(OR(2276206.61995="",1225.51564="",797.53085=""),"-",(1225.51564-797.53085)/2276206.61995*100)</f>
        <v>0.018802545702525077</v>
      </c>
    </row>
    <row r="83" spans="1:7" s="9" customFormat="1" ht="15.75">
      <c r="A83" s="42" t="s">
        <v>90</v>
      </c>
      <c r="B83" s="50">
        <f>IF(1224.80684="","-",1224.80684)</f>
        <v>1224.80684</v>
      </c>
      <c r="C83" s="50">
        <f>IF(OR(1627.96807="",1224.80684=""),"-",1224.80684/1627.96807*100)</f>
        <v>75.23531097265317</v>
      </c>
      <c r="D83" s="50">
        <f>IF(1627.96807="","-",1627.96807/2276206.61995*100)</f>
        <v>0.07152110251027037</v>
      </c>
      <c r="E83" s="50">
        <f>IF(1224.80684="","-",1224.80684/2362156.7372*100)</f>
        <v>0.05185120956248796</v>
      </c>
      <c r="F83" s="50">
        <f>IF(OR(1792621.32665="",1804.82699="",1627.96807=""),"-",(1627.96807-1804.82699)/1792621.32665*100)</f>
        <v>-0.009865938632477896</v>
      </c>
      <c r="G83" s="50">
        <f>IF(OR(2276206.61995="",1224.80684="",1627.96807=""),"-",(1224.80684-1627.96807)/2276206.61995*100)</f>
        <v>-0.017711978625598403</v>
      </c>
    </row>
    <row r="84" spans="1:7" s="9" customFormat="1" ht="15.75">
      <c r="A84" s="42" t="s">
        <v>179</v>
      </c>
      <c r="B84" s="50">
        <f>IF(1065.77486="","-",1065.77486)</f>
        <v>1065.77486</v>
      </c>
      <c r="C84" s="50" t="s">
        <v>20</v>
      </c>
      <c r="D84" s="50">
        <f>IF(521.79943="","-",521.79943/2276206.61995*100)</f>
        <v>0.022924080152770226</v>
      </c>
      <c r="E84" s="50">
        <f>IF(1065.77486="","-",1065.77486/2362156.7372*100)</f>
        <v>0.045118718974733414</v>
      </c>
      <c r="F84" s="50">
        <f>IF(OR(1792621.32665="",228.97113="",521.79943=""),"-",(521.79943-228.97113)/1792621.32665*100)</f>
        <v>0.016335201174206115</v>
      </c>
      <c r="G84" s="50">
        <f>IF(OR(2276206.61995="",1065.77486="",521.79943=""),"-",(1065.77486-521.79943)/2276206.61995*100)</f>
        <v>0.02389833265716225</v>
      </c>
    </row>
    <row r="85" spans="1:7" s="9" customFormat="1" ht="15.75">
      <c r="A85" s="42" t="s">
        <v>96</v>
      </c>
      <c r="B85" s="50">
        <f>IF(1047.09994="","-",1047.09994)</f>
        <v>1047.09994</v>
      </c>
      <c r="C85" s="50">
        <f>IF(OR(1230.55608="",1047.09994=""),"-",1047.09994/1230.55608*100)</f>
        <v>85.09160671490892</v>
      </c>
      <c r="D85" s="50">
        <f>IF(1230.55608="","-",1230.55608/2276206.61995*100)</f>
        <v>0.054061703766902794</v>
      </c>
      <c r="E85" s="50">
        <f>IF(1047.09994="","-",1047.09994/2362156.7372*100)</f>
        <v>0.04432813130093932</v>
      </c>
      <c r="F85" s="50">
        <f>IF(OR(1792621.32665="",1417.01682="",1230.55608=""),"-",(1230.55608-1417.01682)/1792621.32665*100)</f>
        <v>-0.010401568765694234</v>
      </c>
      <c r="G85" s="50">
        <f>IF(OR(2276206.61995="",1047.09994="",1230.55608=""),"-",(1047.09994-1230.55608)/2276206.61995*100)</f>
        <v>-0.008059731414190767</v>
      </c>
    </row>
    <row r="86" spans="1:7" s="9" customFormat="1" ht="15.75">
      <c r="A86" s="42" t="s">
        <v>46</v>
      </c>
      <c r="B86" s="50">
        <f>IF(999.45787="","-",999.45787)</f>
        <v>999.45787</v>
      </c>
      <c r="C86" s="50">
        <f>IF(OR(911.23465="",999.45787=""),"-",999.45787/911.23465*100)</f>
        <v>109.6817235823945</v>
      </c>
      <c r="D86" s="50">
        <f>IF(911.23465="","-",911.23465/2276206.61995*100)</f>
        <v>0.04003303751133174</v>
      </c>
      <c r="E86" s="50">
        <f>IF(999.45787="","-",999.45787/2362156.7372*100)</f>
        <v>0.04231124269868369</v>
      </c>
      <c r="F86" s="50">
        <f>IF(OR(1792621.32665="",361.84205="",911.23465=""),"-",(911.23465-361.84205)/1792621.32665*100)</f>
        <v>0.030647443039556455</v>
      </c>
      <c r="G86" s="50">
        <f>IF(OR(2276206.61995="",999.45787="",911.23465=""),"-",(999.45787-911.23465)/2276206.61995*100)</f>
        <v>0.0038758880334834414</v>
      </c>
    </row>
    <row r="87" spans="1:7" s="9" customFormat="1" ht="15.75">
      <c r="A87" s="42" t="s">
        <v>75</v>
      </c>
      <c r="B87" s="50">
        <f>IF(973.70409="","-",973.70409)</f>
        <v>973.70409</v>
      </c>
      <c r="C87" s="50">
        <f>IF(OR(1006.70628="",973.70409=""),"-",973.70409/1006.70628*100)</f>
        <v>96.72176575674088</v>
      </c>
      <c r="D87" s="50">
        <f>IF(1006.70628="","-",1006.70628/2276206.61995*100)</f>
        <v>0.044227368077073496</v>
      </c>
      <c r="E87" s="50">
        <f>IF(973.70409="","-",973.70409/2362156.7372*100)</f>
        <v>0.0412209771970588</v>
      </c>
      <c r="F87" s="50">
        <f>IF(OR(1792621.32665="",960.48033="",1006.70628=""),"-",(1006.70628-960.48033)/1792621.32665*100)</f>
        <v>0.0025786790167439187</v>
      </c>
      <c r="G87" s="50">
        <f>IF(OR(2276206.61995="",973.70409="",1006.70628=""),"-",(973.70409-1006.70628)/2276206.61995*100)</f>
        <v>-0.001449876725194876</v>
      </c>
    </row>
    <row r="88" spans="1:7" s="9" customFormat="1" ht="15.75">
      <c r="A88" s="42" t="s">
        <v>95</v>
      </c>
      <c r="B88" s="50">
        <f>IF(964.80974="","-",964.80974)</f>
        <v>964.80974</v>
      </c>
      <c r="C88" s="50">
        <f>IF(OR(674.40418="",964.80974=""),"-",964.80974/674.40418*100)</f>
        <v>143.0610557603602</v>
      </c>
      <c r="D88" s="50">
        <f>IF(674.40418="","-",674.40418/2276206.61995*100)</f>
        <v>0.029628425384986102</v>
      </c>
      <c r="E88" s="50">
        <f>IF(964.80974="","-",964.80974/2362156.7372*100)</f>
        <v>0.04084444206457038</v>
      </c>
      <c r="F88" s="50">
        <f>IF(OR(1792621.32665="",591.6573="",674.40418=""),"-",(674.40418-591.6573)/1792621.32665*100)</f>
        <v>0.0046159709677578735</v>
      </c>
      <c r="G88" s="50">
        <f>IF(OR(2276206.61995="",964.80974="",674.40418=""),"-",(964.80974-674.40418)/2276206.61995*100)</f>
        <v>0.012758312775945583</v>
      </c>
    </row>
    <row r="89" spans="1:7" s="9" customFormat="1" ht="15.75">
      <c r="A89" s="42" t="s">
        <v>45</v>
      </c>
      <c r="B89" s="50">
        <f>IF(918.87203="","-",918.87203)</f>
        <v>918.87203</v>
      </c>
      <c r="C89" s="50">
        <f>IF(OR(739.68761="",918.87203=""),"-",918.87203/739.68761*100)</f>
        <v>124.22433708197438</v>
      </c>
      <c r="D89" s="50">
        <f>IF(739.68761="","-",739.68761/2276206.61995*100)</f>
        <v>0.03249650552445226</v>
      </c>
      <c r="E89" s="50">
        <f>IF(918.87203="","-",918.87203/2362156.7372*100)</f>
        <v>0.038899706168067066</v>
      </c>
      <c r="F89" s="50">
        <f>IF(OR(1792621.32665="",329.15176="",739.68761=""),"-",(739.68761-329.15176)/1792621.32665*100)</f>
        <v>0.022901426190616494</v>
      </c>
      <c r="G89" s="50">
        <f>IF(OR(2276206.61995="",918.87203="",739.68761=""),"-",(918.87203-739.68761)/2276206.61995*100)</f>
        <v>0.007872063038105743</v>
      </c>
    </row>
    <row r="90" spans="1:7" s="9" customFormat="1" ht="15.75">
      <c r="A90" s="42" t="s">
        <v>81</v>
      </c>
      <c r="B90" s="50">
        <f>IF(809.42941="","-",809.42941)</f>
        <v>809.42941</v>
      </c>
      <c r="C90" s="50">
        <f>IF(OR(779.1047="",809.42941=""),"-",809.42941/779.1047*100)</f>
        <v>103.89225093880192</v>
      </c>
      <c r="D90" s="50">
        <f>IF(779.1047="","-",779.1047/2276206.61995*100)</f>
        <v>0.034228206401451994</v>
      </c>
      <c r="E90" s="50">
        <f>IF(809.42941="","-",809.42941/2362156.7372*100)</f>
        <v>0.03426654113390727</v>
      </c>
      <c r="F90" s="50">
        <f>IF(OR(1792621.32665="",978.468="",779.1047=""),"-",(779.1047-978.468)/1792621.32665*100)</f>
        <v>-0.011121328137524977</v>
      </c>
      <c r="G90" s="50">
        <f>IF(OR(2276206.61995="",809.42941="",779.1047=""),"-",(809.42941-779.1047)/2276206.61995*100)</f>
        <v>0.0013322476849955784</v>
      </c>
    </row>
    <row r="91" spans="1:7" s="9" customFormat="1" ht="15.75">
      <c r="A91" s="42" t="s">
        <v>98</v>
      </c>
      <c r="B91" s="50">
        <f>IF(602.11335="","-",602.11335)</f>
        <v>602.11335</v>
      </c>
      <c r="C91" s="50">
        <f>IF(OR(768.86809="",602.11335=""),"-",602.11335/768.86809*100)</f>
        <v>78.31165811550326</v>
      </c>
      <c r="D91" s="50">
        <f>IF(768.86809="","-",768.86809/2276206.61995*100)</f>
        <v>0.033778484047150746</v>
      </c>
      <c r="E91" s="50">
        <f>IF(602.11335="","-",602.11335/2362156.7372*100)</f>
        <v>0.025489982968434157</v>
      </c>
      <c r="F91" s="50">
        <f>IF(OR(1792621.32665="",545.92053="",768.86809=""),"-",(768.86809-545.92053)/1792621.32665*100)</f>
        <v>0.012436957916630288</v>
      </c>
      <c r="G91" s="50">
        <f>IF(OR(2276206.61995="",602.11335="",768.86809=""),"-",(602.11335-768.86809)/2276206.61995*100)</f>
        <v>-0.007325993103546244</v>
      </c>
    </row>
    <row r="92" spans="1:7" s="9" customFormat="1" ht="15.75">
      <c r="A92" s="42" t="s">
        <v>87</v>
      </c>
      <c r="B92" s="50">
        <f>IF(512.1372="","-",512.1372)</f>
        <v>512.1372</v>
      </c>
      <c r="C92" s="50">
        <f>IF(OR(375.42505="",512.1372=""),"-",512.1372/375.42505*100)</f>
        <v>136.41529780711224</v>
      </c>
      <c r="D92" s="50">
        <f>IF(375.42505="","-",375.42505/2276206.61995*100)</f>
        <v>0.016493452163329828</v>
      </c>
      <c r="E92" s="50">
        <f>IF(512.1372="","-",512.1372/2362156.7372*100)</f>
        <v>0.021680915238802726</v>
      </c>
      <c r="F92" s="50">
        <f>IF(OR(1792621.32665="",302.36946="",375.42505=""),"-",(375.42505-302.36946)/1792621.32665*100)</f>
        <v>0.004075349819502829</v>
      </c>
      <c r="G92" s="50">
        <f>IF(OR(2276206.61995="",512.1372="",375.42505=""),"-",(512.1372-375.42505)/2276206.61995*100)</f>
        <v>0.006006139723950151</v>
      </c>
    </row>
    <row r="93" spans="1:7" ht="15.75">
      <c r="A93" s="42" t="s">
        <v>107</v>
      </c>
      <c r="B93" s="50">
        <f>IF(509.76677="","-",509.76677)</f>
        <v>509.76677</v>
      </c>
      <c r="C93" s="50">
        <f>IF(OR(482.97177="",509.76677=""),"-",509.76677/482.97177*100)</f>
        <v>105.5479433093988</v>
      </c>
      <c r="D93" s="50">
        <f>IF(482.97177="","-",482.97177/2276206.61995*100)</f>
        <v>0.021218274552360677</v>
      </c>
      <c r="E93" s="50">
        <f>IF(509.76677="","-",509.76677/2362156.7372*100)</f>
        <v>0.02158056499689584</v>
      </c>
      <c r="F93" s="50">
        <f>IF(OR(1792621.32665="",128.85182="",482.97177=""),"-",(482.97177-128.85182)/1792621.32665*100)</f>
        <v>0.01975430866159388</v>
      </c>
      <c r="G93" s="50">
        <f>IF(OR(2276206.61995="",509.76677="",482.97177=""),"-",(509.76677-482.97177)/2276206.61995*100)</f>
        <v>0.0011771778433975648</v>
      </c>
    </row>
    <row r="94" spans="1:7" ht="15.75">
      <c r="A94" s="42" t="s">
        <v>106</v>
      </c>
      <c r="B94" s="50">
        <f>IF(471.08533="","-",471.08533)</f>
        <v>471.08533</v>
      </c>
      <c r="C94" s="50">
        <f>IF(OR(446.72877="",471.08533=""),"-",471.08533/446.72877*100)</f>
        <v>105.45220313435375</v>
      </c>
      <c r="D94" s="50">
        <f>IF(446.72877="","-",446.72877/2276206.61995*100)</f>
        <v>0.019626020154963477</v>
      </c>
      <c r="E94" s="50">
        <f>IF(471.08533="","-",471.08533/2362156.7372*100)</f>
        <v>0.019943017437462872</v>
      </c>
      <c r="F94" s="50">
        <f>IF(OR(1792621.32665="",312.14739="",446.72877=""),"-",(446.72877-312.14739)/1792621.32665*100)</f>
        <v>0.007507518626452019</v>
      </c>
      <c r="G94" s="50">
        <f>IF(OR(2276206.61995="",471.08533="",446.72877=""),"-",(471.08533-446.72877)/2276206.61995*100)</f>
        <v>0.0010700504860378197</v>
      </c>
    </row>
    <row r="95" spans="1:7" ht="15.75">
      <c r="A95" s="42" t="s">
        <v>102</v>
      </c>
      <c r="B95" s="50">
        <f>IF(373.5401="","-",373.5401)</f>
        <v>373.5401</v>
      </c>
      <c r="C95" s="50">
        <f>IF(OR(275.17453="",373.5401=""),"-",373.5401/275.17453*100)</f>
        <v>135.74661143238802</v>
      </c>
      <c r="D95" s="50">
        <f>IF(275.17453="","-",275.17453/2276206.61995*100)</f>
        <v>0.012089171852335821</v>
      </c>
      <c r="E95" s="50">
        <f>IF(373.5401="","-",373.5401/2362156.7372*100)</f>
        <v>0.01581351881174399</v>
      </c>
      <c r="F95" s="50">
        <f>IF(OR(1792621.32665="",396.81541="",275.17453=""),"-",(275.17453-396.81541)/1792621.32665*100)</f>
        <v>-0.006785642800943298</v>
      </c>
      <c r="G95" s="50">
        <f>IF(OR(2276206.61995="",373.5401="",275.17453=""),"-",(373.5401-275.17453)/2276206.61995*100)</f>
        <v>0.00432146928744811</v>
      </c>
    </row>
    <row r="96" spans="1:7" ht="15.75">
      <c r="A96" s="42" t="s">
        <v>176</v>
      </c>
      <c r="B96" s="50">
        <f>IF(361.1418="","-",361.1418)</f>
        <v>361.1418</v>
      </c>
      <c r="C96" s="50" t="s">
        <v>115</v>
      </c>
      <c r="D96" s="50">
        <f>IF(232.55137="","-",232.55137/2276206.61995*100)</f>
        <v>0.010216619526618734</v>
      </c>
      <c r="E96" s="50">
        <f>IF(361.1418="","-",361.1418/2362156.7372*100)</f>
        <v>0.015288646782519696</v>
      </c>
      <c r="F96" s="50">
        <f>IF(OR(1792621.32665="",319.14437="",232.55137=""),"-",(232.55137-319.14437)/1792621.32665*100)</f>
        <v>-0.004830523809611399</v>
      </c>
      <c r="G96" s="50">
        <f>IF(OR(2276206.61995="",361.1418="",232.55137=""),"-",(361.1418-232.55137)/2276206.61995*100)</f>
        <v>0.005649330288074843</v>
      </c>
    </row>
    <row r="97" spans="1:7" ht="15.75">
      <c r="A97" s="42" t="s">
        <v>157</v>
      </c>
      <c r="B97" s="50">
        <f>IF(327.2732="","-",327.2732)</f>
        <v>327.2732</v>
      </c>
      <c r="C97" s="50">
        <f>IF(OR(664.40198="",327.2732=""),"-",327.2732/664.40198*100)</f>
        <v>49.258311963489334</v>
      </c>
      <c r="D97" s="50">
        <f>IF(664.40198="","-",664.40198/2276206.61995*100)</f>
        <v>0.029189001304925227</v>
      </c>
      <c r="E97" s="50">
        <f>IF(327.2732="","-",327.2732/2362156.7372*100)</f>
        <v>0.013854846922136746</v>
      </c>
      <c r="F97" s="50">
        <f>IF(OR(1792621.32665="",574.4631="",664.40198=""),"-",(664.40198-574.4631)/1792621.32665*100)</f>
        <v>0.005017171148358207</v>
      </c>
      <c r="G97" s="50">
        <f>IF(OR(2276206.61995="",327.2732="",664.40198=""),"-",(327.2732-664.40198)/2276206.61995*100)</f>
        <v>-0.014810991983118187</v>
      </c>
    </row>
    <row r="98" spans="1:7" ht="15.75">
      <c r="A98" s="42" t="s">
        <v>101</v>
      </c>
      <c r="B98" s="50">
        <f>IF(309.9984="","-",309.9984)</f>
        <v>309.9984</v>
      </c>
      <c r="C98" s="50">
        <f>IF(OR(736.8032="",309.9984=""),"-",309.9984/736.8032*100)</f>
        <v>42.07343290582886</v>
      </c>
      <c r="D98" s="50">
        <f>IF(736.8032="","-",736.8032/2276206.61995*100)</f>
        <v>0.03236978548178481</v>
      </c>
      <c r="E98" s="50">
        <f>IF(309.9984="","-",309.9984/2362156.7372*100)</f>
        <v>0.013123532199114734</v>
      </c>
      <c r="F98" s="50">
        <f>IF(OR(1792621.32665="",513.47923="",736.8032=""),"-",(736.8032-513.47923)/1792621.32665*100)</f>
        <v>0.012457955658562952</v>
      </c>
      <c r="G98" s="50">
        <f>IF(OR(2276206.61995="",309.9984="",736.8032=""),"-",(309.9984-736.8032)/2276206.61995*100)</f>
        <v>-0.01875070550534535</v>
      </c>
    </row>
    <row r="99" spans="1:7" ht="15.75">
      <c r="A99" s="42" t="s">
        <v>99</v>
      </c>
      <c r="B99" s="50">
        <f>IF(289.32222="","-",289.32222)</f>
        <v>289.32222</v>
      </c>
      <c r="C99" s="50">
        <f>IF(OR(629.01863="",289.32222=""),"-",289.32222/629.01863*100)</f>
        <v>45.995810966679954</v>
      </c>
      <c r="D99" s="50">
        <f>IF(629.01863="","-",629.01863/2276206.61995*100)</f>
        <v>0.02763451368987835</v>
      </c>
      <c r="E99" s="50">
        <f>IF(289.32222="","-",289.32222/2362156.7372*100)</f>
        <v>0.012248222797567205</v>
      </c>
      <c r="F99" s="50">
        <f>IF(OR(1792621.32665="",294.73685="",629.01863=""),"-",(629.01863-294.73685)/1792621.32665*100)</f>
        <v>0.018647651627836895</v>
      </c>
      <c r="G99" s="50">
        <f>IF(OR(2276206.61995="",289.32222="",629.01863=""),"-",(289.32222-629.01863)/2276206.61995*100)</f>
        <v>-0.014923795011520611</v>
      </c>
    </row>
    <row r="100" spans="1:7" ht="15.75">
      <c r="A100" s="42" t="s">
        <v>124</v>
      </c>
      <c r="B100" s="50">
        <f>IF(271.0003="","-",271.0003)</f>
        <v>271.0003</v>
      </c>
      <c r="C100" s="50" t="s">
        <v>252</v>
      </c>
      <c r="D100" s="50">
        <f>IF(0.56135="","-",0.56135/2276206.61995*100)</f>
        <v>2.4661645172279255E-05</v>
      </c>
      <c r="E100" s="50">
        <f>IF(271.0003="","-",271.0003/2362156.7372*100)</f>
        <v>0.011472579094020332</v>
      </c>
      <c r="F100" s="50" t="str">
        <f>IF(OR(1792621.32665="",""="",0.56135=""),"-",(0.56135-"")/1792621.32665*100)</f>
        <v>-</v>
      </c>
      <c r="G100" s="50">
        <f>IF(OR(2276206.61995="",271.0003="",0.56135=""),"-",(271.0003-0.56135)/2276206.61995*100)</f>
        <v>0.011881124834174348</v>
      </c>
    </row>
    <row r="101" spans="1:7" ht="15.75">
      <c r="A101" s="42" t="s">
        <v>110</v>
      </c>
      <c r="B101" s="50">
        <f>IF(266.70861="","-",266.70861)</f>
        <v>266.70861</v>
      </c>
      <c r="C101" s="50">
        <f>IF(OR(587.71691="",266.70861=""),"-",266.70861/587.71691*100)</f>
        <v>45.38045536242951</v>
      </c>
      <c r="D101" s="50">
        <f>IF(587.71691="","-",587.71691/2276206.61995*100)</f>
        <v>0.02582001584781042</v>
      </c>
      <c r="E101" s="50">
        <f>IF(266.70861="","-",266.70861/2362156.7372*100)</f>
        <v>0.011290893859826807</v>
      </c>
      <c r="F101" s="50">
        <f>IF(OR(1792621.32665="",15.7841="",587.71691=""),"-",(587.71691-15.7841)/1792621.32665*100)</f>
        <v>0.03190483129355668</v>
      </c>
      <c r="G101" s="50">
        <f>IF(OR(2276206.61995="",266.70861="",587.71691=""),"-",(266.70861-587.71691)/2276206.61995*100)</f>
        <v>-0.014102775081422587</v>
      </c>
    </row>
    <row r="102" spans="1:7" ht="15.75">
      <c r="A102" s="42" t="s">
        <v>112</v>
      </c>
      <c r="B102" s="50">
        <f>IF(231.37238="","-",231.37238)</f>
        <v>231.37238</v>
      </c>
      <c r="C102" s="50">
        <f>IF(OR(346.57236="",231.37238=""),"-",231.37238/346.57236*100)</f>
        <v>66.76019403278438</v>
      </c>
      <c r="D102" s="50">
        <f>IF(346.57236="","-",346.57236/2276206.61995*100)</f>
        <v>0.015225874354394634</v>
      </c>
      <c r="E102" s="50">
        <f>IF(231.37238="","-",231.37238/2362156.7372*100)</f>
        <v>0.009794963067279734</v>
      </c>
      <c r="F102" s="50">
        <f>IF(OR(1792621.32665="",193.62265="",346.57236=""),"-",(346.57236-193.62265)/1792621.32665*100)</f>
        <v>0.008532181767904552</v>
      </c>
      <c r="G102" s="50">
        <f>IF(OR(2276206.61995="",231.37238="",346.57236=""),"-",(231.37238-346.57236)/2276206.61995*100)</f>
        <v>-0.00506105109221282</v>
      </c>
    </row>
    <row r="103" spans="1:7" ht="15.75">
      <c r="A103" s="42" t="s">
        <v>103</v>
      </c>
      <c r="B103" s="50">
        <f>IF(228.49281="","-",228.49281)</f>
        <v>228.49281</v>
      </c>
      <c r="C103" s="50">
        <f>IF(OR(268.87814="",228.49281=""),"-",228.49281/268.87814*100)</f>
        <v>84.98006197156825</v>
      </c>
      <c r="D103" s="50">
        <f>IF(268.87814="","-",268.87814/2276206.61995*100)</f>
        <v>0.01181255416988051</v>
      </c>
      <c r="E103" s="50">
        <f>IF(228.49281="","-",228.49281/2362156.7372*100)</f>
        <v>0.009673058794178308</v>
      </c>
      <c r="F103" s="50">
        <f>IF(OR(1792621.32665="",348.0777="",268.87814=""),"-",(268.87814-348.0777)/1792621.32665*100)</f>
        <v>-0.004418086453763547</v>
      </c>
      <c r="G103" s="50">
        <f>IF(OR(2276206.61995="",228.49281="",268.87814=""),"-",(228.49281-268.87814)/2276206.61995*100)</f>
        <v>-0.0017742383158909844</v>
      </c>
    </row>
    <row r="104" spans="1:7" ht="15.75">
      <c r="A104" s="42" t="s">
        <v>72</v>
      </c>
      <c r="B104" s="50">
        <f>IF(200.64895="","-",200.64895)</f>
        <v>200.64895</v>
      </c>
      <c r="C104" s="50">
        <f>IF(OR(139.52749="",200.64895=""),"-",200.64895/139.52749*100)</f>
        <v>143.80603420874266</v>
      </c>
      <c r="D104" s="50">
        <f>IF(139.52749="","-",139.52749/2276206.61995*100)</f>
        <v>0.006129825332072222</v>
      </c>
      <c r="E104" s="50">
        <f>IF(200.64895="","-",200.64895/2362156.7372*100)</f>
        <v>0.008494311441747966</v>
      </c>
      <c r="F104" s="50">
        <f>IF(OR(1792621.32665="",47.99716="",139.52749=""),"-",(139.52749-47.99716)/1792621.32665*100)</f>
        <v>0.005105948960846588</v>
      </c>
      <c r="G104" s="50">
        <f>IF(OR(2276206.61995="",200.64895="",139.52749=""),"-",(200.64895-139.52749)/2276206.61995*100)</f>
        <v>0.0026852333819037317</v>
      </c>
    </row>
    <row r="105" spans="1:7" ht="15.75">
      <c r="A105" s="42" t="s">
        <v>68</v>
      </c>
      <c r="B105" s="50">
        <f>IF(199.02677="","-",199.02677)</f>
        <v>199.02677</v>
      </c>
      <c r="C105" s="50">
        <f>IF(OR(271.13751="",199.02677=""),"-",199.02677/271.13751*100)</f>
        <v>73.404365924877</v>
      </c>
      <c r="D105" s="50">
        <f>IF(271.13751="","-",271.13751/2276206.61995*100)</f>
        <v>0.011911814490986583</v>
      </c>
      <c r="E105" s="50">
        <f>IF(199.02677="","-",199.02677/2362156.7372*100)</f>
        <v>0.008425637760003931</v>
      </c>
      <c r="F105" s="50">
        <f>IF(OR(1792621.32665="",280.99133="",271.13751=""),"-",(271.13751-280.99133)/1792621.32665*100)</f>
        <v>-0.000549687759121695</v>
      </c>
      <c r="G105" s="50">
        <f>IF(OR(2276206.61995="",199.02677="",271.13751=""),"-",(199.02677-271.13751)/2276206.61995*100)</f>
        <v>-0.0031680225937302663</v>
      </c>
    </row>
    <row r="106" spans="1:7" ht="15.75">
      <c r="A106" s="42" t="s">
        <v>169</v>
      </c>
      <c r="B106" s="50">
        <f>IF(124.88103="","-",124.88103)</f>
        <v>124.88103</v>
      </c>
      <c r="C106" s="50">
        <f>IF(OR(84.18465="",124.88103=""),"-",124.88103/84.18465*100)</f>
        <v>148.34180578050749</v>
      </c>
      <c r="D106" s="50">
        <f>IF(84.18465="","-",84.18465/2276206.61995*100)</f>
        <v>0.0036984625763828603</v>
      </c>
      <c r="E106" s="50">
        <f>IF(124.88103="","-",124.88103/2362156.7372*100)</f>
        <v>0.0052867376678834895</v>
      </c>
      <c r="F106" s="50">
        <f>IF(OR(1792621.32665="",128.2835="",84.18465=""),"-",(84.18465-128.2835)/1792621.32665*100)</f>
        <v>-0.002460020381572202</v>
      </c>
      <c r="G106" s="50">
        <f>IF(OR(2276206.61995="",124.88103="",84.18465=""),"-",(124.88103-84.18465)/2276206.61995*100)</f>
        <v>0.0017879035955397553</v>
      </c>
    </row>
    <row r="107" spans="1:7" ht="15.75">
      <c r="A107" s="42" t="s">
        <v>158</v>
      </c>
      <c r="B107" s="50">
        <f>IF(121.45322="","-",121.45322)</f>
        <v>121.45322</v>
      </c>
      <c r="C107" s="50" t="s">
        <v>242</v>
      </c>
      <c r="D107" s="50">
        <f>IF(16.97719="","-",16.97719/2276206.61995*100)</f>
        <v>0.0007458545217820747</v>
      </c>
      <c r="E107" s="50">
        <f>IF(121.45322="","-",121.45322/2362156.7372*100)</f>
        <v>0.00514162409662813</v>
      </c>
      <c r="F107" s="50">
        <f>IF(OR(1792621.32665="",2.77501="",16.97719=""),"-",(16.97719-2.77501)/1792621.32665*100)</f>
        <v>0.0007922576725415085</v>
      </c>
      <c r="G107" s="50">
        <f>IF(OR(2276206.61995="",121.45322="",16.97719=""),"-",(121.45322-16.97719)/2276206.61995*100)</f>
        <v>0.004589918555034119</v>
      </c>
    </row>
    <row r="108" spans="1:7" ht="15.75">
      <c r="A108" s="44" t="s">
        <v>159</v>
      </c>
      <c r="B108" s="51">
        <f>IF(113.53679="","-",113.53679)</f>
        <v>113.53679</v>
      </c>
      <c r="C108" s="51">
        <f>IF(OR(87.04962="",113.53679=""),"-",113.53679/87.04962*100)</f>
        <v>130.4276687250329</v>
      </c>
      <c r="D108" s="51">
        <f>IF(87.04962="","-",87.04962/2276206.61995*100)</f>
        <v>0.0038243285665302286</v>
      </c>
      <c r="E108" s="51">
        <f>IF(113.53679="","-",113.53679/2362156.7372*100)</f>
        <v>0.0048064884184857975</v>
      </c>
      <c r="F108" s="51">
        <f>IF(OR(1792621.32665="",40.70822="",87.04962=""),"-",(87.04962-40.70822)/1792621.32665*100)</f>
        <v>0.002585119306072382</v>
      </c>
      <c r="G108" s="51">
        <f>IF(OR(2276206.61995="",113.53679="",87.04962=""),"-",(113.53679-87.04962)/2276206.61995*100)</f>
        <v>0.0011636540271806174</v>
      </c>
    </row>
    <row r="109" ht="15.75">
      <c r="A109" s="29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9"/>
  <sheetViews>
    <sheetView zoomScale="93" zoomScaleNormal="93" zoomScalePageLayoutView="0" workbookViewId="0" topLeftCell="A1">
      <selection activeCell="A1" sqref="A1:IV1"/>
    </sheetView>
  </sheetViews>
  <sheetFormatPr defaultColWidth="9.00390625" defaultRowHeight="15.75"/>
  <cols>
    <col min="1" max="1" width="42.625" style="0" customWidth="1"/>
    <col min="2" max="2" width="15.125" style="0" customWidth="1"/>
    <col min="3" max="4" width="15.25390625" style="0" customWidth="1"/>
  </cols>
  <sheetData>
    <row r="1" spans="1:4" ht="15.75">
      <c r="A1" s="76" t="s">
        <v>136</v>
      </c>
      <c r="B1" s="76"/>
      <c r="C1" s="76"/>
      <c r="D1" s="76"/>
    </row>
    <row r="2" ht="15.75">
      <c r="A2" s="4"/>
    </row>
    <row r="3" spans="1:5" ht="32.25" customHeight="1">
      <c r="A3" s="77"/>
      <c r="B3" s="81" t="s">
        <v>290</v>
      </c>
      <c r="C3" s="82"/>
      <c r="D3" s="79" t="s">
        <v>291</v>
      </c>
      <c r="E3" s="1"/>
    </row>
    <row r="4" spans="1:5" ht="21" customHeight="1">
      <c r="A4" s="78"/>
      <c r="B4" s="23">
        <v>2018</v>
      </c>
      <c r="C4" s="22">
        <v>2019</v>
      </c>
      <c r="D4" s="80"/>
      <c r="E4" s="1"/>
    </row>
    <row r="5" spans="1:4" ht="17.25" customHeight="1">
      <c r="A5" s="30" t="s">
        <v>165</v>
      </c>
      <c r="B5" s="48">
        <v>-1175532.26</v>
      </c>
      <c r="C5" s="48">
        <f>IF(-1202822.98525="","-",-1202822.98525)</f>
        <v>-1202822.98525</v>
      </c>
      <c r="D5" s="48">
        <f>IF(-1175532.25856="","-",-1202822.98525/-1175532.25856*100)</f>
        <v>102.32156340170795</v>
      </c>
    </row>
    <row r="6" spans="1:4" ht="15.75">
      <c r="A6" s="31" t="s">
        <v>171</v>
      </c>
      <c r="B6" s="38"/>
      <c r="C6" s="38"/>
      <c r="D6" s="38"/>
    </row>
    <row r="7" spans="1:4" ht="15.75">
      <c r="A7" s="28" t="s">
        <v>285</v>
      </c>
      <c r="B7" s="49">
        <f>IF(-403611.68973="","-",-403611.68973)</f>
        <v>-403611.68973</v>
      </c>
      <c r="C7" s="49">
        <f>IF(-422843.30584="","-",-422843.30584)</f>
        <v>-422843.30584</v>
      </c>
      <c r="D7" s="49">
        <f>IF(-403611.68973="","-",-422843.30584/-403611.68973*100)</f>
        <v>104.76488084942861</v>
      </c>
    </row>
    <row r="8" spans="1:4" ht="15.75">
      <c r="A8" s="32" t="s">
        <v>281</v>
      </c>
      <c r="B8" s="49"/>
      <c r="C8" s="49"/>
      <c r="D8" s="49"/>
    </row>
    <row r="9" spans="1:4" ht="15.75">
      <c r="A9" s="42" t="s">
        <v>4</v>
      </c>
      <c r="B9" s="50">
        <f>IF(-100869.0871="","-",-100869.0871)</f>
        <v>-100869.0871</v>
      </c>
      <c r="C9" s="50">
        <f>IF(-95645.70452="","-",-95645.70452)</f>
        <v>-95645.70452</v>
      </c>
      <c r="D9" s="50">
        <f>IF(OR(-100869.0871="",-95645.70452="",-100869.0871=0),"-",-95645.70452/-100869.0871*100)</f>
        <v>94.82162203488406</v>
      </c>
    </row>
    <row r="10" spans="1:4" ht="15.75">
      <c r="A10" s="42" t="s">
        <v>3</v>
      </c>
      <c r="B10" s="50">
        <f>IF(-35510.74586="","-",-35510.74586)</f>
        <v>-35510.74586</v>
      </c>
      <c r="C10" s="50">
        <f>IF(-49977.37192="","-",-49977.37192)</f>
        <v>-49977.37192</v>
      </c>
      <c r="D10" s="50">
        <f>IF(OR(-35510.74586="",-49977.37192="",-35510.74586=0),"-",-49977.37192/-35510.74586*100)</f>
        <v>140.73872769959328</v>
      </c>
    </row>
    <row r="11" spans="1:4" ht="15.75">
      <c r="A11" s="42" t="s">
        <v>172</v>
      </c>
      <c r="B11" s="50">
        <f>IF(-45684.40957="","-",-45684.40957)</f>
        <v>-45684.40957</v>
      </c>
      <c r="C11" s="50">
        <f>IF(-49516.03678="","-",-49516.03678)</f>
        <v>-49516.03678</v>
      </c>
      <c r="D11" s="50">
        <f>IF(OR(-45684.40957="",-49516.03678="",-45684.40957=0),"-",-49516.03678/-45684.40957*100)</f>
        <v>108.38716587576552</v>
      </c>
    </row>
    <row r="12" spans="1:4" ht="15.75">
      <c r="A12" s="42" t="s">
        <v>50</v>
      </c>
      <c r="B12" s="50">
        <f>IF(-48706.61915="","-",-48706.61915)</f>
        <v>-48706.61915</v>
      </c>
      <c r="C12" s="50">
        <f>IF(-43907.7257="","-",-43907.7257)</f>
        <v>-43907.7257</v>
      </c>
      <c r="D12" s="50">
        <f>IF(OR(-48706.61915="",-43907.7257="",-48706.61915=0),"-",-43907.7257/-48706.61915*100)</f>
        <v>90.14734848415362</v>
      </c>
    </row>
    <row r="13" spans="1:4" ht="15.75">
      <c r="A13" s="42" t="s">
        <v>5</v>
      </c>
      <c r="B13" s="50">
        <f>IF(-41509.48627="","-",-41509.48627)</f>
        <v>-41509.48627</v>
      </c>
      <c r="C13" s="50">
        <f>IF(-33187.29349="","-",-33187.29349)</f>
        <v>-33187.29349</v>
      </c>
      <c r="D13" s="50">
        <f>IF(OR(-41509.48627="",-33187.29349="",-41509.48627=0),"-",-33187.29349/-41509.48627*100)</f>
        <v>79.95110629443113</v>
      </c>
    </row>
    <row r="14" spans="1:4" ht="15.75">
      <c r="A14" s="42" t="s">
        <v>8</v>
      </c>
      <c r="B14" s="50">
        <f>IF(-28016.95969="","-",-28016.95969)</f>
        <v>-28016.95969</v>
      </c>
      <c r="C14" s="50">
        <f>IF(-26033.81629="","-",-26033.81629)</f>
        <v>-26033.81629</v>
      </c>
      <c r="D14" s="50">
        <f>IF(OR(-28016.95969="",-26033.81629="",-28016.95969=0),"-",-26033.81629/-28016.95969*100)</f>
        <v>92.92163239001326</v>
      </c>
    </row>
    <row r="15" spans="1:4" ht="15.75">
      <c r="A15" s="42" t="s">
        <v>7</v>
      </c>
      <c r="B15" s="50">
        <f>IF(-16129.17239="","-",-16129.17239)</f>
        <v>-16129.17239</v>
      </c>
      <c r="C15" s="50">
        <f>IF(-25046.26914="","-",-25046.26914)</f>
        <v>-25046.26914</v>
      </c>
      <c r="D15" s="50" t="s">
        <v>115</v>
      </c>
    </row>
    <row r="16" spans="1:4" ht="15.75">
      <c r="A16" s="42" t="s">
        <v>48</v>
      </c>
      <c r="B16" s="50">
        <f>IF(-21437.0643="","-",-21437.0643)</f>
        <v>-21437.0643</v>
      </c>
      <c r="C16" s="50">
        <f>IF(-19081.95304="","-",-19081.95304)</f>
        <v>-19081.95304</v>
      </c>
      <c r="D16" s="50">
        <f>IF(OR(-21437.0643="",-19081.95304="",-21437.0643=0),"-",-19081.95304/-21437.0643*100)</f>
        <v>89.01383497739475</v>
      </c>
    </row>
    <row r="17" spans="1:4" ht="15.75">
      <c r="A17" s="42" t="s">
        <v>49</v>
      </c>
      <c r="B17" s="50">
        <f>IF(-12238.25253="","-",-12238.25253)</f>
        <v>-12238.25253</v>
      </c>
      <c r="C17" s="50">
        <f>IF(-10864.15507="","-",-10864.15507)</f>
        <v>-10864.15507</v>
      </c>
      <c r="D17" s="50">
        <f>IF(OR(-12238.25253="",-10864.15507="",-12238.25253=0),"-",-10864.15507/-12238.25253*100)</f>
        <v>88.77211058824263</v>
      </c>
    </row>
    <row r="18" spans="1:4" ht="15.75">
      <c r="A18" s="42" t="s">
        <v>58</v>
      </c>
      <c r="B18" s="50">
        <f>IF(-9281.00633="","-",-9281.00633)</f>
        <v>-9281.00633</v>
      </c>
      <c r="C18" s="50">
        <f>IF(-9813.69403="","-",-9813.69403)</f>
        <v>-9813.69403</v>
      </c>
      <c r="D18" s="50">
        <f>IF(OR(-9281.00633="",-9813.69403="",-9281.00633=0),"-",-9813.69403/-9281.00633*100)</f>
        <v>105.73954678037592</v>
      </c>
    </row>
    <row r="19" spans="1:4" ht="15.75">
      <c r="A19" s="42" t="s">
        <v>52</v>
      </c>
      <c r="B19" s="50">
        <f>IF(-1859.64562="","-",-1859.64562)</f>
        <v>-1859.64562</v>
      </c>
      <c r="C19" s="50">
        <f>IF(-9463.14155="","-",-9463.14155)</f>
        <v>-9463.14155</v>
      </c>
      <c r="D19" s="50" t="s">
        <v>262</v>
      </c>
    </row>
    <row r="20" spans="1:4" ht="15.75">
      <c r="A20" s="42" t="s">
        <v>60</v>
      </c>
      <c r="B20" s="50">
        <f>IF(-8533.7753="","-",-8533.7753)</f>
        <v>-8533.7753</v>
      </c>
      <c r="C20" s="50">
        <f>IF(-9300.62529="","-",-9300.62529)</f>
        <v>-9300.62529</v>
      </c>
      <c r="D20" s="50">
        <f>IF(OR(-8533.7753="",-9300.62529="",-8533.7753=0),"-",-9300.62529/-8533.7753*100)</f>
        <v>108.98605790569621</v>
      </c>
    </row>
    <row r="21" spans="1:4" ht="15.75">
      <c r="A21" s="42" t="s">
        <v>10</v>
      </c>
      <c r="B21" s="50">
        <f>IF(-8999.98919="","-",-8999.98919)</f>
        <v>-8999.98919</v>
      </c>
      <c r="C21" s="50">
        <f>IF(-8238.5201="","-",-8238.5201)</f>
        <v>-8238.5201</v>
      </c>
      <c r="D21" s="50">
        <f>IF(OR(-8999.98919="",-8238.5201="",-8999.98919=0),"-",-8238.5201/-8999.98919*100)</f>
        <v>91.53922217099907</v>
      </c>
    </row>
    <row r="22" spans="1:4" ht="15.75">
      <c r="A22" s="42" t="s">
        <v>2</v>
      </c>
      <c r="B22" s="50">
        <f>IF(-29266.87395="","-",-29266.87395)</f>
        <v>-29266.87395</v>
      </c>
      <c r="C22" s="50">
        <f>IF(-7318.89799="","-",-7318.89799)</f>
        <v>-7318.89799</v>
      </c>
      <c r="D22" s="50">
        <f>IF(OR(-29266.87395="",-7318.89799="",-29266.87395=0),"-",-7318.89799/-29266.87395*100)</f>
        <v>25.007446994522624</v>
      </c>
    </row>
    <row r="23" spans="1:6" ht="15.75">
      <c r="A23" s="42" t="s">
        <v>59</v>
      </c>
      <c r="B23" s="50">
        <f>IF(2552.48727="","-",2552.48727)</f>
        <v>2552.48727</v>
      </c>
      <c r="C23" s="50">
        <f>IF(-7179.2701="","-",-7179.2701)</f>
        <v>-7179.2701</v>
      </c>
      <c r="D23" s="50" t="s">
        <v>22</v>
      </c>
      <c r="F23" t="s">
        <v>119</v>
      </c>
    </row>
    <row r="24" spans="1:4" ht="15.75">
      <c r="A24" s="42" t="s">
        <v>57</v>
      </c>
      <c r="B24" s="50">
        <f>IF(-4359.93875="","-",-4359.93875)</f>
        <v>-4359.93875</v>
      </c>
      <c r="C24" s="50">
        <f>IF(-4938.58607="","-",-4938.58607)</f>
        <v>-4938.58607</v>
      </c>
      <c r="D24" s="50">
        <f>IF(OR(-4359.93875="",-4938.58607="",-4359.93875=0),"-",-4938.58607/-4359.93875*100)</f>
        <v>113.27191396897491</v>
      </c>
    </row>
    <row r="25" spans="1:4" ht="15.75">
      <c r="A25" s="42" t="s">
        <v>56</v>
      </c>
      <c r="B25" s="50">
        <f>IF(-5527.0078="","-",-5527.0078)</f>
        <v>-5527.0078</v>
      </c>
      <c r="C25" s="50">
        <f>IF(-4910.6833="","-",-4910.6833)</f>
        <v>-4910.6833</v>
      </c>
      <c r="D25" s="50">
        <f>IF(OR(-5527.0078="",-4910.6833="",-5527.0078=0),"-",-4910.6833/-5527.0078*100)</f>
        <v>88.84885778521969</v>
      </c>
    </row>
    <row r="26" spans="1:4" ht="15.75">
      <c r="A26" s="42" t="s">
        <v>51</v>
      </c>
      <c r="B26" s="50">
        <f>IF(-524.93569="","-",-524.93569)</f>
        <v>-524.93569</v>
      </c>
      <c r="C26" s="50">
        <f>IF(-3157.82967="","-",-3157.82967)</f>
        <v>-3157.82967</v>
      </c>
      <c r="D26" s="50" t="s">
        <v>263</v>
      </c>
    </row>
    <row r="27" spans="1:4" ht="15.75">
      <c r="A27" s="42" t="s">
        <v>61</v>
      </c>
      <c r="B27" s="50">
        <f>IF(-2198.74452="","-",-2198.74452)</f>
        <v>-2198.74452</v>
      </c>
      <c r="C27" s="50">
        <f>IF(-2431.24347="","-",-2431.24347)</f>
        <v>-2431.24347</v>
      </c>
      <c r="D27" s="50">
        <f>IF(OR(-2198.74452="",-2431.24347="",-2198.74452=0),"-",-2431.24347/-2198.74452*100)</f>
        <v>110.57416848047448</v>
      </c>
    </row>
    <row r="28" spans="1:4" ht="15.75">
      <c r="A28" s="42" t="s">
        <v>6</v>
      </c>
      <c r="B28" s="50">
        <f>IF(-1765.98671="","-",-1765.98671)</f>
        <v>-1765.98671</v>
      </c>
      <c r="C28" s="50">
        <f>IF(-2117.2109="","-",-2117.2109)</f>
        <v>-2117.2109</v>
      </c>
      <c r="D28" s="50">
        <f>IF(OR(-1765.98671="",-2117.2109="",-1765.98671=0),"-",-2117.2109/-1765.98671*100)</f>
        <v>119.88826914784654</v>
      </c>
    </row>
    <row r="29" spans="1:4" ht="15.75">
      <c r="A29" s="42" t="s">
        <v>173</v>
      </c>
      <c r="B29" s="50">
        <f>IF(12806.71789="","-",12806.71789)</f>
        <v>12806.71789</v>
      </c>
      <c r="C29" s="50">
        <f>IF(-2073.70123="","-",-2073.70123)</f>
        <v>-2073.70123</v>
      </c>
      <c r="D29" s="50" t="s">
        <v>22</v>
      </c>
    </row>
    <row r="30" spans="1:4" ht="15.75">
      <c r="A30" s="42" t="s">
        <v>174</v>
      </c>
      <c r="B30" s="50">
        <f>IF(-716.5629="","-",-716.5629)</f>
        <v>-716.5629</v>
      </c>
      <c r="C30" s="50">
        <f>IF(-1829.56115="","-",-1829.56115)</f>
        <v>-1829.56115</v>
      </c>
      <c r="D30" s="50" t="s">
        <v>167</v>
      </c>
    </row>
    <row r="31" spans="1:4" ht="15.75">
      <c r="A31" s="42" t="s">
        <v>53</v>
      </c>
      <c r="B31" s="50">
        <f>IF(-2025.8558="","-",-2025.8558)</f>
        <v>-2025.8558</v>
      </c>
      <c r="C31" s="50">
        <f>IF(-1239.215="","-",-1239.215)</f>
        <v>-1239.215</v>
      </c>
      <c r="D31" s="50">
        <f>IF(OR(-2025.8558="",-1239.215="",-2025.8558=0),"-",-1239.215/-2025.8558*100)</f>
        <v>61.16995099058876</v>
      </c>
    </row>
    <row r="32" spans="1:4" ht="15.75">
      <c r="A32" s="42" t="s">
        <v>62</v>
      </c>
      <c r="B32" s="50">
        <f>IF(-429.56579="","-",-429.56579)</f>
        <v>-429.56579</v>
      </c>
      <c r="C32" s="50">
        <f>IF(-537.15825="","-",-537.15825)</f>
        <v>-537.15825</v>
      </c>
      <c r="D32" s="50">
        <f>IF(OR(-429.56579="",-537.15825="",-429.56579=0),"-",-537.15825/-429.56579*100)</f>
        <v>125.04679434551807</v>
      </c>
    </row>
    <row r="33" spans="1:4" ht="15.75">
      <c r="A33" s="42" t="s">
        <v>54</v>
      </c>
      <c r="B33" s="50">
        <f>IF(-340.43338="","-",-340.43338)</f>
        <v>-340.43338</v>
      </c>
      <c r="C33" s="50">
        <f>IF(-480.60803="","-",-480.60803)</f>
        <v>-480.60803</v>
      </c>
      <c r="D33" s="50">
        <f>IF(OR(-340.43338="",-480.60803="",-340.43338=0),"-",-480.60803/-340.43338*100)</f>
        <v>141.17535419117831</v>
      </c>
    </row>
    <row r="34" spans="1:4" ht="15.75">
      <c r="A34" s="42" t="s">
        <v>63</v>
      </c>
      <c r="B34" s="50">
        <f>IF(531.7874="","-",531.7874)</f>
        <v>531.7874</v>
      </c>
      <c r="C34" s="50">
        <f>IF(413.45734="","-",413.45734)</f>
        <v>413.45734</v>
      </c>
      <c r="D34" s="50">
        <f>IF(OR(531.7874="",413.45734="",531.7874=0),"-",413.45734/531.7874*100)</f>
        <v>77.74861533011124</v>
      </c>
    </row>
    <row r="35" spans="1:4" ht="15.75">
      <c r="A35" s="42" t="s">
        <v>9</v>
      </c>
      <c r="B35" s="50">
        <f>IF(5526.90133="","-",5526.90133)</f>
        <v>5526.90133</v>
      </c>
      <c r="C35" s="50">
        <f>IF(945.23292="","-",945.23292)</f>
        <v>945.23292</v>
      </c>
      <c r="D35" s="50">
        <f>IF(OR(5526.90133="",945.23292="",5526.90133=0),"-",945.23292/5526.90133*100)</f>
        <v>17.102402658597853</v>
      </c>
    </row>
    <row r="36" spans="1:4" ht="15.75">
      <c r="A36" s="42" t="s">
        <v>55</v>
      </c>
      <c r="B36" s="50">
        <f>IF(902.53497="","-",902.53497)</f>
        <v>902.53497</v>
      </c>
      <c r="C36" s="50">
        <f>IF(4088.27598="","-",4088.27598)</f>
        <v>4088.27598</v>
      </c>
      <c r="D36" s="50" t="s">
        <v>237</v>
      </c>
    </row>
    <row r="37" spans="1:4" ht="15.75">
      <c r="A37" s="28" t="s">
        <v>286</v>
      </c>
      <c r="B37" s="49">
        <f>IF(-355607.235="","-",-355607.235)</f>
        <v>-355607.235</v>
      </c>
      <c r="C37" s="49">
        <f>IF(-428759.60761="","-",-428759.60761)</f>
        <v>-428759.60761</v>
      </c>
      <c r="D37" s="49">
        <f>IF(-355607.235="","-",-428759.60761/-355607.235*100)</f>
        <v>120.5711148171662</v>
      </c>
    </row>
    <row r="38" spans="1:4" ht="15.75">
      <c r="A38" s="32" t="s">
        <v>281</v>
      </c>
      <c r="B38" s="49"/>
      <c r="C38" s="49"/>
      <c r="D38" s="49"/>
    </row>
    <row r="39" spans="1:4" ht="15.75">
      <c r="A39" s="42" t="s">
        <v>175</v>
      </c>
      <c r="B39" s="50">
        <f>IF(-195821.41404="","-",-195821.41404)</f>
        <v>-195821.41404</v>
      </c>
      <c r="C39" s="50">
        <f>IF(-215757.53647="","-",-215757.53647)</f>
        <v>-215757.53647</v>
      </c>
      <c r="D39" s="50">
        <f>IF(OR(-195821.41404="",-215757.53647="",-195821.41404=0),"-",-215757.53647/-195821.41404*100)</f>
        <v>110.18076727090107</v>
      </c>
    </row>
    <row r="40" spans="1:4" ht="15.75">
      <c r="A40" s="42" t="s">
        <v>12</v>
      </c>
      <c r="B40" s="50">
        <f>IF(-169949.71424="","-",-169949.71424)</f>
        <v>-169949.71424</v>
      </c>
      <c r="C40" s="50">
        <f>IF(-193047.96455="","-",-193047.96455)</f>
        <v>-193047.96455</v>
      </c>
      <c r="D40" s="50">
        <f>IF(OR(-169949.71424="",-193047.96455="",-169949.71424=0),"-",-193047.96455/-169949.71424*100)</f>
        <v>113.59122633026676</v>
      </c>
    </row>
    <row r="41" spans="1:4" ht="15.75">
      <c r="A41" s="42" t="s">
        <v>11</v>
      </c>
      <c r="B41" s="50">
        <f>IF(3223.36605="","-",3223.36605)</f>
        <v>3223.36605</v>
      </c>
      <c r="C41" s="50">
        <f>IF(-16643.00193="","-",-16643.00193)</f>
        <v>-16643.00193</v>
      </c>
      <c r="D41" s="50" t="s">
        <v>22</v>
      </c>
    </row>
    <row r="42" spans="1:4" ht="15.75">
      <c r="A42" s="42" t="s">
        <v>15</v>
      </c>
      <c r="B42" s="50">
        <f>IF(-540.46471="","-",-540.46471)</f>
        <v>-540.46471</v>
      </c>
      <c r="C42" s="50">
        <f>IF(-2675.27807="","-",-2675.27807)</f>
        <v>-2675.27807</v>
      </c>
      <c r="D42" s="50" t="s">
        <v>264</v>
      </c>
    </row>
    <row r="43" spans="1:4" ht="15.75">
      <c r="A43" s="42" t="s">
        <v>16</v>
      </c>
      <c r="B43" s="50">
        <f>IF(167.07036="","-",167.07036)</f>
        <v>167.07036</v>
      </c>
      <c r="C43" s="50">
        <f>IF(-1756.19463="","-",-1756.19463)</f>
        <v>-1756.19463</v>
      </c>
      <c r="D43" s="50" t="s">
        <v>22</v>
      </c>
    </row>
    <row r="44" spans="1:4" ht="15.75">
      <c r="A44" s="42" t="s">
        <v>13</v>
      </c>
      <c r="B44" s="50">
        <f>IF(4790.6928="","-",4790.6928)</f>
        <v>4790.6928</v>
      </c>
      <c r="C44" s="50">
        <f>IF(-719.69304="","-",-719.69304)</f>
        <v>-719.69304</v>
      </c>
      <c r="D44" s="50" t="s">
        <v>22</v>
      </c>
    </row>
    <row r="45" spans="1:4" ht="15.75">
      <c r="A45" s="42" t="s">
        <v>17</v>
      </c>
      <c r="B45" s="50">
        <f>IF(389.19652="","-",389.19652)</f>
        <v>389.19652</v>
      </c>
      <c r="C45" s="50">
        <f>IF(37.39764="","-",37.39764)</f>
        <v>37.39764</v>
      </c>
      <c r="D45" s="50">
        <f>IF(OR(389.19652="",37.39764="",389.19652=0),"-",37.39764/389.19652*100)</f>
        <v>9.60893483836906</v>
      </c>
    </row>
    <row r="46" spans="1:4" ht="15.75">
      <c r="A46" s="42" t="s">
        <v>18</v>
      </c>
      <c r="B46" s="50">
        <f>IF(213.79224="","-",213.79224)</f>
        <v>213.79224</v>
      </c>
      <c r="C46" s="50">
        <f>IF(100.28556="","-",100.28556)</f>
        <v>100.28556</v>
      </c>
      <c r="D46" s="50">
        <f>IF(OR(213.79224="",100.28556="",213.79224=0),"-",100.28556/213.79224*100)</f>
        <v>46.90795138308108</v>
      </c>
    </row>
    <row r="47" spans="1:4" ht="15.75">
      <c r="A47" s="42" t="s">
        <v>148</v>
      </c>
      <c r="B47" s="50">
        <f>IF(296.53487="","-",296.53487)</f>
        <v>296.53487</v>
      </c>
      <c r="C47" s="50">
        <f>IF(246.22484="","-",246.22484)</f>
        <v>246.22484</v>
      </c>
      <c r="D47" s="50">
        <f>IF(OR(296.53487="",246.22484="",296.53487=0),"-",246.22484/296.53487*100)</f>
        <v>83.03402564426908</v>
      </c>
    </row>
    <row r="48" spans="1:4" ht="15.75">
      <c r="A48" s="42" t="s">
        <v>14</v>
      </c>
      <c r="B48" s="50">
        <f>IF(1623.70515="","-",1623.70515)</f>
        <v>1623.70515</v>
      </c>
      <c r="C48" s="50">
        <f>IF(1456.15304="","-",1456.15304)</f>
        <v>1456.15304</v>
      </c>
      <c r="D48" s="50">
        <f>IF(OR(1623.70515="",1456.15304="",1623.70515=0),"-",1456.15304/1623.70515*100)</f>
        <v>89.68087832941836</v>
      </c>
    </row>
    <row r="49" spans="1:4" ht="15.75">
      <c r="A49" s="28" t="s">
        <v>265</v>
      </c>
      <c r="B49" s="49">
        <f>IF(-416313.33383="","-",-416313.33383)</f>
        <v>-416313.33383</v>
      </c>
      <c r="C49" s="49">
        <f>IF(-351220.0718="","-",-351220.0718)</f>
        <v>-351220.0718</v>
      </c>
      <c r="D49" s="49">
        <f>IF(-416313.33383="","-",-351220.0718/-416313.33383*100)</f>
        <v>84.36435810711251</v>
      </c>
    </row>
    <row r="50" spans="1:4" ht="15.75">
      <c r="A50" s="32" t="s">
        <v>281</v>
      </c>
      <c r="B50" s="49"/>
      <c r="C50" s="49"/>
      <c r="D50" s="49"/>
    </row>
    <row r="51" spans="1:4" ht="15.75">
      <c r="A51" s="42" t="s">
        <v>67</v>
      </c>
      <c r="B51" s="50">
        <f>IF(-232229.32639="","-",-232229.32639)</f>
        <v>-232229.32639</v>
      </c>
      <c r="C51" s="50">
        <f>IF(-227539.55952="","-",-227539.55952)</f>
        <v>-227539.55952</v>
      </c>
      <c r="D51" s="50">
        <f>IF(OR(-232229.32639="",-227539.55952="",-232229.32639=0),"-",-227539.55952/-232229.32639*100)</f>
        <v>97.98054494541998</v>
      </c>
    </row>
    <row r="52" spans="1:4" ht="15.75">
      <c r="A52" s="42" t="s">
        <v>64</v>
      </c>
      <c r="B52" s="50">
        <f>IF(-93712.19504="","-",-93712.19504)</f>
        <v>-93712.19504</v>
      </c>
      <c r="C52" s="50">
        <f>IF(-43010.71618="","-",-43010.71618)</f>
        <v>-43010.71618</v>
      </c>
      <c r="D52" s="50">
        <f>IF(OR(-93712.19504="",-43010.71618="",-93712.19504=0),"-",-43010.71618/-93712.19504*100)</f>
        <v>45.89660519811894</v>
      </c>
    </row>
    <row r="53" spans="1:4" ht="15.75">
      <c r="A53" s="42" t="s">
        <v>19</v>
      </c>
      <c r="B53" s="50">
        <f>IF(-23994.39867="","-",-23994.39867)</f>
        <v>-23994.39867</v>
      </c>
      <c r="C53" s="50">
        <f>IF(-20920.0651="","-",-20920.0651)</f>
        <v>-20920.0651</v>
      </c>
      <c r="D53" s="50">
        <f>IF(OR(-23994.39867="",-20920.0651="",-23994.39867=0),"-",-20920.0651/-23994.39867*100)</f>
        <v>87.18728644846678</v>
      </c>
    </row>
    <row r="54" spans="1:4" ht="15.75">
      <c r="A54" s="42" t="s">
        <v>84</v>
      </c>
      <c r="B54" s="50">
        <f>IF(-23512.98521="","-",-23512.98521)</f>
        <v>-23512.98521</v>
      </c>
      <c r="C54" s="50">
        <f>IF(-17825.27139="","-",-17825.27139)</f>
        <v>-17825.27139</v>
      </c>
      <c r="D54" s="50">
        <f>IF(OR(-23512.98521="",-17825.27139="",-23512.98521=0),"-",-17825.27139/-23512.98521*100)</f>
        <v>75.8103287642905</v>
      </c>
    </row>
    <row r="55" spans="1:4" ht="15.75">
      <c r="A55" s="42" t="s">
        <v>80</v>
      </c>
      <c r="B55" s="50">
        <f>IF(-13615.2844="","-",-13615.2844)</f>
        <v>-13615.2844</v>
      </c>
      <c r="C55" s="50">
        <f>IF(-16480.44051="","-",-16480.44051)</f>
        <v>-16480.44051</v>
      </c>
      <c r="D55" s="50">
        <f>IF(OR(-13615.2844="",-16480.44051="",-13615.2844=0),"-",-16480.44051/-13615.2844*100)</f>
        <v>121.04367434293184</v>
      </c>
    </row>
    <row r="56" spans="1:4" ht="15.75">
      <c r="A56" s="42" t="s">
        <v>77</v>
      </c>
      <c r="B56" s="50">
        <f>IF(-12949.65623="","-",-12949.65623)</f>
        <v>-12949.65623</v>
      </c>
      <c r="C56" s="50">
        <f>IF(-14704.40151="","-",-14704.40151)</f>
        <v>-14704.40151</v>
      </c>
      <c r="D56" s="50">
        <f>IF(OR(-12949.65623="",-14704.40151="",-12949.65623=0),"-",-14704.40151/-12949.65623*100)</f>
        <v>113.5505163135902</v>
      </c>
    </row>
    <row r="57" spans="1:4" ht="15.75">
      <c r="A57" s="42" t="s">
        <v>44</v>
      </c>
      <c r="B57" s="50">
        <f>IF(-14529.48303="","-",-14529.48303)</f>
        <v>-14529.48303</v>
      </c>
      <c r="C57" s="50">
        <f>IF(-13783.26378="","-",-13783.26378)</f>
        <v>-13783.26378</v>
      </c>
      <c r="D57" s="50">
        <f>IF(OR(-14529.48303="",-13783.26378="",-14529.48303=0),"-",-13783.26378/-14529.48303*100)</f>
        <v>94.86410322749109</v>
      </c>
    </row>
    <row r="58" spans="1:4" ht="15.75">
      <c r="A58" s="42" t="s">
        <v>78</v>
      </c>
      <c r="B58" s="50">
        <f>IF(-7828.2929="","-",-7828.2929)</f>
        <v>-7828.2929</v>
      </c>
      <c r="C58" s="50">
        <f>IF(-9006.70805="","-",-9006.70805)</f>
        <v>-9006.70805</v>
      </c>
      <c r="D58" s="50">
        <f>IF(OR(-7828.2929="",-9006.70805="",-7828.2929=0),"-",-9006.70805/-7828.2929*100)</f>
        <v>115.05328383918796</v>
      </c>
    </row>
    <row r="59" spans="1:4" ht="15.75">
      <c r="A59" s="42" t="s">
        <v>88</v>
      </c>
      <c r="B59" s="50">
        <f>IF(-7344.88279="","-",-7344.88279)</f>
        <v>-7344.88279</v>
      </c>
      <c r="C59" s="50">
        <f>IF(-8314.97237="","-",-8314.97237)</f>
        <v>-8314.97237</v>
      </c>
      <c r="D59" s="50">
        <f>IF(OR(-7344.88279="",-8314.97237="",-7344.88279=0),"-",-8314.97237/-7344.88279*100)</f>
        <v>113.20769313461025</v>
      </c>
    </row>
    <row r="60" spans="1:4" ht="15.75">
      <c r="A60" s="42" t="s">
        <v>91</v>
      </c>
      <c r="B60" s="50">
        <f>IF(-2946.80261="","-",-2946.80261)</f>
        <v>-2946.80261</v>
      </c>
      <c r="C60" s="50">
        <f>IF(-4097.4615="","-",-4097.4615)</f>
        <v>-4097.4615</v>
      </c>
      <c r="D60" s="50">
        <f>IF(OR(-2946.80261="",-4097.4615="",-2946.80261=0),"-",-4097.4615/-2946.80261*100)</f>
        <v>139.0477083906207</v>
      </c>
    </row>
    <row r="61" spans="1:4" ht="15.75">
      <c r="A61" s="42" t="s">
        <v>79</v>
      </c>
      <c r="B61" s="50">
        <f>IF(-4912.34651="","-",-4912.34651)</f>
        <v>-4912.34651</v>
      </c>
      <c r="C61" s="50">
        <f>IF(-3681.39685="","-",-3681.39685)</f>
        <v>-3681.39685</v>
      </c>
      <c r="D61" s="50">
        <f>IF(OR(-4912.34651="",-3681.39685="",-4912.34651=0),"-",-3681.39685/-4912.34651*100)</f>
        <v>74.94171761918318</v>
      </c>
    </row>
    <row r="62" spans="1:4" ht="15.75">
      <c r="A62" s="42" t="s">
        <v>74</v>
      </c>
      <c r="B62" s="50">
        <f>IF(-902.8735="","-",-902.8735)</f>
        <v>-902.8735</v>
      </c>
      <c r="C62" s="50">
        <f>IF(-3653.66449="","-",-3653.66449)</f>
        <v>-3653.66449</v>
      </c>
      <c r="D62" s="50" t="s">
        <v>266</v>
      </c>
    </row>
    <row r="63" spans="1:4" ht="15.75">
      <c r="A63" s="42" t="s">
        <v>86</v>
      </c>
      <c r="B63" s="50">
        <f>IF(-3471.11613="","-",-3471.11613)</f>
        <v>-3471.11613</v>
      </c>
      <c r="C63" s="50">
        <f>IF(-3527.91203="","-",-3527.91203)</f>
        <v>-3527.91203</v>
      </c>
      <c r="D63" s="50">
        <f>IF(OR(-3471.11613="",-3527.91203="",-3471.11613=0),"-",-3527.91203/-3471.11613*100)</f>
        <v>101.63624315271758</v>
      </c>
    </row>
    <row r="64" spans="1:7" ht="15.75">
      <c r="A64" s="42" t="s">
        <v>71</v>
      </c>
      <c r="B64" s="50">
        <f>IF(-3067.39829="","-",-3067.39829)</f>
        <v>-3067.39829</v>
      </c>
      <c r="C64" s="50">
        <f>IF(-3302.57468="","-",-3302.57468)</f>
        <v>-3302.57468</v>
      </c>
      <c r="D64" s="50">
        <f>IF(OR(-3067.39829="",-3302.57468="",-3067.39829=0),"-",-3302.57468/-3067.39829*100)</f>
        <v>107.66696619629398</v>
      </c>
      <c r="E64" s="1"/>
      <c r="F64" s="1"/>
      <c r="G64" s="1"/>
    </row>
    <row r="65" spans="1:4" ht="15.75">
      <c r="A65" s="42" t="s">
        <v>92</v>
      </c>
      <c r="B65" s="50">
        <f>IF(-5070.58721="","-",-5070.58721)</f>
        <v>-5070.58721</v>
      </c>
      <c r="C65" s="50">
        <f>IF(-3051.7072="","-",-3051.7072)</f>
        <v>-3051.7072</v>
      </c>
      <c r="D65" s="50">
        <f>IF(OR(-5070.58721="",-3051.7072="",-5070.58721=0),"-",-3051.7072/-5070.58721*100)</f>
        <v>60.184492912015216</v>
      </c>
    </row>
    <row r="66" spans="1:4" ht="15.75">
      <c r="A66" s="42" t="s">
        <v>183</v>
      </c>
      <c r="B66" s="50">
        <f>IF(-1846.07859="","-",-1846.07859)</f>
        <v>-1846.07859</v>
      </c>
      <c r="C66" s="50">
        <f>IF(-2692.76467="","-",-2692.76467)</f>
        <v>-2692.76467</v>
      </c>
      <c r="D66" s="50">
        <f>IF(OR(-1846.07859="",-2692.76467="",-1846.07859=0),"-",-2692.76467/-1846.07859*100)</f>
        <v>145.86403225661155</v>
      </c>
    </row>
    <row r="67" spans="1:4" ht="15.75">
      <c r="A67" s="42" t="s">
        <v>89</v>
      </c>
      <c r="B67" s="50">
        <f>IF(-3406.8629="","-",-3406.8629)</f>
        <v>-3406.8629</v>
      </c>
      <c r="C67" s="50">
        <f>IF(-2568.75731="","-",-2568.75731)</f>
        <v>-2568.75731</v>
      </c>
      <c r="D67" s="50">
        <f>IF(OR(-3406.8629="",-2568.75731="",-3406.8629=0),"-",-2568.75731/-3406.8629*100)</f>
        <v>75.39949171421016</v>
      </c>
    </row>
    <row r="68" spans="1:4" ht="15.75">
      <c r="A68" s="42" t="s">
        <v>69</v>
      </c>
      <c r="B68" s="50">
        <f>IF(-1752.78592="","-",-1752.78592)</f>
        <v>-1752.78592</v>
      </c>
      <c r="C68" s="50">
        <f>IF(-2464.87575="","-",-2464.87575)</f>
        <v>-2464.87575</v>
      </c>
      <c r="D68" s="50">
        <f>IF(OR(-1752.78592="",-2464.87575="",-1752.78592=0),"-",-2464.87575/-1752.78592*100)</f>
        <v>140.6261724192764</v>
      </c>
    </row>
    <row r="69" spans="1:4" ht="15.75">
      <c r="A69" s="42" t="s">
        <v>82</v>
      </c>
      <c r="B69" s="50">
        <f>IF(-1675.42599="","-",-1675.42599)</f>
        <v>-1675.42599</v>
      </c>
      <c r="C69" s="50">
        <f>IF(-2462.07744="","-",-2462.07744)</f>
        <v>-2462.07744</v>
      </c>
      <c r="D69" s="50">
        <f>IF(OR(-1675.42599="",-2462.07744="",-1675.42599=0),"-",-2462.07744/-1675.42599*100)</f>
        <v>146.95232464431328</v>
      </c>
    </row>
    <row r="70" spans="1:4" ht="15.75">
      <c r="A70" s="42" t="s">
        <v>70</v>
      </c>
      <c r="B70" s="50">
        <f>IF(-5820.06868="","-",-5820.06868)</f>
        <v>-5820.06868</v>
      </c>
      <c r="C70" s="50">
        <f>IF(-2399.24437="","-",-2399.24437)</f>
        <v>-2399.24437</v>
      </c>
      <c r="D70" s="50">
        <f>IF(OR(-5820.06868="",-2399.24437="",-5820.06868=0),"-",-2399.24437/-5820.06868*100)</f>
        <v>41.22364360140162</v>
      </c>
    </row>
    <row r="71" spans="1:7" ht="15.75">
      <c r="A71" s="42" t="s">
        <v>94</v>
      </c>
      <c r="B71" s="50">
        <f>IF(-1015.74239="","-",-1015.74239)</f>
        <v>-1015.74239</v>
      </c>
      <c r="C71" s="50">
        <f>IF(-2181.43106="","-",-2181.43106)</f>
        <v>-2181.43106</v>
      </c>
      <c r="D71" s="50" t="s">
        <v>104</v>
      </c>
      <c r="E71" s="1"/>
      <c r="F71" s="1"/>
      <c r="G71" s="1"/>
    </row>
    <row r="72" spans="1:4" ht="15.75">
      <c r="A72" s="42" t="s">
        <v>93</v>
      </c>
      <c r="B72" s="50">
        <f>IF(-2361.20482="","-",-2361.20482)</f>
        <v>-2361.20482</v>
      </c>
      <c r="C72" s="50">
        <f>IF(-1878.20563="","-",-1878.20563)</f>
        <v>-1878.20563</v>
      </c>
      <c r="D72" s="50">
        <f>IF(OR(-2361.20482="",-1878.20563="",-2361.20482=0),"-",-1878.20563/-2361.20482*100)</f>
        <v>79.54437557009561</v>
      </c>
    </row>
    <row r="73" spans="1:4" ht="15.75">
      <c r="A73" s="42" t="s">
        <v>156</v>
      </c>
      <c r="B73" s="50">
        <f>IF(-498.20926="","-",-498.20926)</f>
        <v>-498.20926</v>
      </c>
      <c r="C73" s="50">
        <f>IF(-1622.20644="","-",-1622.20644)</f>
        <v>-1622.20644</v>
      </c>
      <c r="D73" s="50" t="s">
        <v>168</v>
      </c>
    </row>
    <row r="74" spans="1:4" ht="15.75">
      <c r="A74" s="42" t="s">
        <v>97</v>
      </c>
      <c r="B74" s="50">
        <f>IF(-1005.60673="","-",-1005.60673)</f>
        <v>-1005.60673</v>
      </c>
      <c r="C74" s="50">
        <f>IF(-1348.18762="","-",-1348.18762)</f>
        <v>-1348.18762</v>
      </c>
      <c r="D74" s="50">
        <f>IF(OR(-1005.60673="",-1348.18762="",-1005.60673=0),"-",-1348.18762/-1005.60673*100)</f>
        <v>134.0670840578006</v>
      </c>
    </row>
    <row r="75" spans="1:4" ht="15.75">
      <c r="A75" s="42" t="s">
        <v>90</v>
      </c>
      <c r="B75" s="50">
        <f>IF(-1627.96807="","-",-1627.96807)</f>
        <v>-1627.96807</v>
      </c>
      <c r="C75" s="50">
        <f>IF(-1224.80684="","-",-1224.80684)</f>
        <v>-1224.80684</v>
      </c>
      <c r="D75" s="50">
        <f>IF(OR(-1627.96807="",-1224.80684="",-1627.96807=0),"-",-1224.80684/-1627.96807*100)</f>
        <v>75.23531097265317</v>
      </c>
    </row>
    <row r="76" spans="1:4" ht="15.75">
      <c r="A76" s="42" t="s">
        <v>95</v>
      </c>
      <c r="B76" s="50">
        <f>IF(-644.19269="","-",-644.19269)</f>
        <v>-644.19269</v>
      </c>
      <c r="C76" s="50">
        <f>IF(-961.56924="","-",-961.56924)</f>
        <v>-961.56924</v>
      </c>
      <c r="D76" s="50">
        <f>IF(OR(-644.19269="",-961.56924="",-644.19269=0),"-",-961.56924/-644.19269*100)</f>
        <v>149.26733179788178</v>
      </c>
    </row>
    <row r="77" spans="1:4" ht="15.75">
      <c r="A77" s="42" t="s">
        <v>96</v>
      </c>
      <c r="B77" s="50">
        <f>IF(-1175.68098="","-",-1175.68098)</f>
        <v>-1175.68098</v>
      </c>
      <c r="C77" s="50">
        <f>IF(-953.7702="","-",-953.7702)</f>
        <v>-953.7702</v>
      </c>
      <c r="D77" s="50">
        <f>IF(OR(-1175.68098="",-953.7702="",-1175.68098=0),"-",-953.7702/-1175.68098*100)</f>
        <v>81.12491536607149</v>
      </c>
    </row>
    <row r="78" spans="1:4" ht="15.75">
      <c r="A78" s="42" t="s">
        <v>75</v>
      </c>
      <c r="B78" s="50">
        <f>IF(-1006.70628="","-",-1006.70628)</f>
        <v>-1006.70628</v>
      </c>
      <c r="C78" s="50">
        <f>IF(-951.43537="","-",-951.43537)</f>
        <v>-951.43537</v>
      </c>
      <c r="D78" s="50">
        <f>IF(OR(-1006.70628="",-951.43537="",-1006.70628=0),"-",-951.43537/-1006.70628*100)</f>
        <v>94.50972829930096</v>
      </c>
    </row>
    <row r="79" spans="1:7" ht="15.75">
      <c r="A79" s="42" t="s">
        <v>81</v>
      </c>
      <c r="B79" s="50">
        <f>IF(-708.06136="","-",-708.06136)</f>
        <v>-708.06136</v>
      </c>
      <c r="C79" s="50">
        <f>IF(-809.42941="","-",-809.42941)</f>
        <v>-809.42941</v>
      </c>
      <c r="D79" s="50">
        <f>IF(OR(-708.06136="",-809.42941="",-708.06136=0),"-",-809.42941/-708.06136*100)</f>
        <v>114.31628044213569</v>
      </c>
      <c r="E79" s="14"/>
      <c r="F79" s="14"/>
      <c r="G79" s="14"/>
    </row>
    <row r="80" spans="1:4" ht="15.75">
      <c r="A80" s="42" t="s">
        <v>98</v>
      </c>
      <c r="B80" s="50">
        <f>IF(-768.86809="","-",-768.86809)</f>
        <v>-768.86809</v>
      </c>
      <c r="C80" s="50">
        <f>IF(-601.01571="","-",-601.01571)</f>
        <v>-601.01571</v>
      </c>
      <c r="D80" s="50">
        <f>IF(OR(-768.86809="",-601.01571="",-768.86809=0),"-",-601.01571/-768.86809*100)</f>
        <v>78.16889760635013</v>
      </c>
    </row>
    <row r="81" spans="1:4" ht="15.75">
      <c r="A81" s="42" t="s">
        <v>179</v>
      </c>
      <c r="B81" s="50">
        <f>IF(107.87257="","-",107.87257)</f>
        <v>107.87257</v>
      </c>
      <c r="C81" s="50">
        <f>IF(-578.79052="","-",-578.79052)</f>
        <v>-578.79052</v>
      </c>
      <c r="D81" s="50" t="s">
        <v>22</v>
      </c>
    </row>
    <row r="82" spans="1:4" ht="15.75">
      <c r="A82" s="42" t="s">
        <v>87</v>
      </c>
      <c r="B82" s="50">
        <f>IF(-375.42505="","-",-375.42505)</f>
        <v>-375.42505</v>
      </c>
      <c r="C82" s="50">
        <f>IF(-512.1372="","-",-512.1372)</f>
        <v>-512.1372</v>
      </c>
      <c r="D82" s="50">
        <f>IF(OR(-375.42505="",-512.1372="",-375.42505=0),"-",-512.1372/-375.42505*100)</f>
        <v>136.41529780711224</v>
      </c>
    </row>
    <row r="83" spans="1:4" ht="15.75">
      <c r="A83" s="42" t="s">
        <v>83</v>
      </c>
      <c r="B83" s="50">
        <f>IF(6090.76603="","-",6090.76603)</f>
        <v>6090.76603</v>
      </c>
      <c r="C83" s="50">
        <f>IF(-499.15044="","-",-499.15044)</f>
        <v>-499.15044</v>
      </c>
      <c r="D83" s="50" t="s">
        <v>22</v>
      </c>
    </row>
    <row r="84" spans="1:4" ht="15.75">
      <c r="A84" s="42" t="s">
        <v>107</v>
      </c>
      <c r="B84" s="50">
        <f>IF(-430.76753="","-",-430.76753)</f>
        <v>-430.76753</v>
      </c>
      <c r="C84" s="50">
        <f>IF(-479.06178="","-",-479.06178)</f>
        <v>-479.06178</v>
      </c>
      <c r="D84" s="50">
        <f>IF(OR(-430.76753="",-479.06178="",-430.76753=0),"-",-479.06178/-430.76753*100)</f>
        <v>111.21120944282869</v>
      </c>
    </row>
    <row r="85" spans="1:4" ht="15.75">
      <c r="A85" s="42" t="s">
        <v>106</v>
      </c>
      <c r="B85" s="50">
        <f>IF(-446.72877="","-",-446.72877)</f>
        <v>-446.72877</v>
      </c>
      <c r="C85" s="50">
        <f>IF(-471.08533="","-",-471.08533)</f>
        <v>-471.08533</v>
      </c>
      <c r="D85" s="50">
        <f>IF(OR(-446.72877="",-471.08533="",-446.72877=0),"-",-471.08533/-446.72877*100)</f>
        <v>105.45220313435375</v>
      </c>
    </row>
    <row r="86" spans="1:4" ht="15.75">
      <c r="A86" s="42" t="s">
        <v>46</v>
      </c>
      <c r="B86" s="50">
        <f>IF(-782.0788="","-",-782.0788)</f>
        <v>-782.0788</v>
      </c>
      <c r="C86" s="50">
        <f>IF(-438.43105="","-",-438.43105)</f>
        <v>-438.43105</v>
      </c>
      <c r="D86" s="50">
        <f>IF(OR(-782.0788="",-438.43105="",-782.0788=0),"-",-438.43105/-782.0788*100)</f>
        <v>56.05970267957654</v>
      </c>
    </row>
    <row r="87" spans="1:4" ht="15.75">
      <c r="A87" s="42" t="s">
        <v>47</v>
      </c>
      <c r="B87" s="50">
        <f>IF(-1658.36093="","-",-1658.36093)</f>
        <v>-1658.36093</v>
      </c>
      <c r="C87" s="50">
        <f>IF(-413.14089="","-",-413.14089)</f>
        <v>-413.14089</v>
      </c>
      <c r="D87" s="50">
        <f>IF(OR(-1658.36093="",-413.14089="",-1658.36093=0),"-",-413.14089/-1658.36093*100)</f>
        <v>24.912603916687786</v>
      </c>
    </row>
    <row r="88" spans="1:4" ht="15.75">
      <c r="A88" s="42" t="s">
        <v>176</v>
      </c>
      <c r="B88" s="50">
        <f>IF(-232.55137="","-",-232.55137)</f>
        <v>-232.55137</v>
      </c>
      <c r="C88" s="50">
        <f>IF(-361.1418="","-",-361.1418)</f>
        <v>-361.1418</v>
      </c>
      <c r="D88" s="50" t="s">
        <v>115</v>
      </c>
    </row>
    <row r="89" spans="1:4" ht="15.75">
      <c r="A89" s="42" t="s">
        <v>102</v>
      </c>
      <c r="B89" s="50">
        <f>IF(-184.94965="","-",-184.94965)</f>
        <v>-184.94965</v>
      </c>
      <c r="C89" s="50">
        <f>IF(-337.82264="","-",-337.82264)</f>
        <v>-337.82264</v>
      </c>
      <c r="D89" s="50" t="s">
        <v>113</v>
      </c>
    </row>
    <row r="90" spans="1:4" ht="15.75">
      <c r="A90" s="42" t="s">
        <v>157</v>
      </c>
      <c r="B90" s="50">
        <f>IF(-664.40198="","-",-664.40198)</f>
        <v>-664.40198</v>
      </c>
      <c r="C90" s="50">
        <f>IF(-327.2732="","-",-327.2732)</f>
        <v>-327.2732</v>
      </c>
      <c r="D90" s="50">
        <f>IF(OR(-664.40198="",-327.2732="",-664.40198=0),"-",-327.2732/-664.40198*100)</f>
        <v>49.258311963489334</v>
      </c>
    </row>
    <row r="91" spans="1:4" ht="15.75">
      <c r="A91" s="42" t="s">
        <v>101</v>
      </c>
      <c r="B91" s="50">
        <f>IF(-736.8032="","-",-736.8032)</f>
        <v>-736.8032</v>
      </c>
      <c r="C91" s="50">
        <f>IF(-309.9984="","-",-309.9984)</f>
        <v>-309.9984</v>
      </c>
      <c r="D91" s="50">
        <f>IF(OR(-736.8032="",-309.9984="",-736.8032=0),"-",-309.9984/-736.8032*100)</f>
        <v>42.07343290582886</v>
      </c>
    </row>
    <row r="92" spans="1:4" ht="15.75">
      <c r="A92" s="42" t="s">
        <v>99</v>
      </c>
      <c r="B92" s="50">
        <f>IF(-566.48308="","-",-566.48308)</f>
        <v>-566.48308</v>
      </c>
      <c r="C92" s="50">
        <f>IF(-229.20302="","-",-229.20302)</f>
        <v>-229.20302</v>
      </c>
      <c r="D92" s="50">
        <f>IF(OR(-566.48308="",-229.20302="",-566.48308=0),"-",-229.20302/-566.48308*100)</f>
        <v>40.46070007951518</v>
      </c>
    </row>
    <row r="93" spans="1:4" ht="15.75">
      <c r="A93" s="42" t="s">
        <v>103</v>
      </c>
      <c r="B93" s="50">
        <f>IF(-245.22814="","-",-245.22814)</f>
        <v>-245.22814</v>
      </c>
      <c r="C93" s="50">
        <f>IF(-228.37281="","-",-228.37281)</f>
        <v>-228.37281</v>
      </c>
      <c r="D93" s="50">
        <f>IF(OR(-245.22814="",-228.37281="",-245.22814=0),"-",-228.37281/-245.22814*100)</f>
        <v>93.126673798529</v>
      </c>
    </row>
    <row r="94" spans="1:4" ht="15.75">
      <c r="A94" s="42" t="s">
        <v>112</v>
      </c>
      <c r="B94" s="50">
        <f>IF(-308.5658="","-",-308.5658)</f>
        <v>-308.5658</v>
      </c>
      <c r="C94" s="50">
        <f>IF(-130.38779="","-",-130.38779)</f>
        <v>-130.38779</v>
      </c>
      <c r="D94" s="50">
        <f>IF(OR(-308.5658="",-130.38779="",-308.5658=0),"-",-130.38779/-308.5658*100)</f>
        <v>42.25607309688889</v>
      </c>
    </row>
    <row r="95" spans="1:4" ht="15.75">
      <c r="A95" s="42" t="s">
        <v>169</v>
      </c>
      <c r="B95" s="50">
        <f>IF(-84.18465="","-",-84.18465)</f>
        <v>-84.18465</v>
      </c>
      <c r="C95" s="50">
        <f>IF(-124.88103="","-",-124.88103)</f>
        <v>-124.88103</v>
      </c>
      <c r="D95" s="50">
        <f>IF(OR(-84.18465="",-124.88103="",-84.18465=0),"-",-124.88103/-84.18465*100)</f>
        <v>148.34180578050749</v>
      </c>
    </row>
    <row r="96" spans="1:4" ht="15.75">
      <c r="A96" s="42" t="s">
        <v>158</v>
      </c>
      <c r="B96" s="50">
        <f>IF(-16.97719="","-",-16.97719)</f>
        <v>-16.97719</v>
      </c>
      <c r="C96" s="50">
        <f>IF(-121.45322="","-",-121.45322)</f>
        <v>-121.45322</v>
      </c>
      <c r="D96" s="50" t="s">
        <v>242</v>
      </c>
    </row>
    <row r="97" spans="1:4" ht="15.75">
      <c r="A97" s="42" t="s">
        <v>159</v>
      </c>
      <c r="B97" s="50">
        <f>IF(911.9217="","-",911.9217)</f>
        <v>911.9217</v>
      </c>
      <c r="C97" s="50">
        <f>IF(-113.53679="","-",-113.53679)</f>
        <v>-113.53679</v>
      </c>
      <c r="D97" s="50" t="s">
        <v>22</v>
      </c>
    </row>
    <row r="98" spans="1:4" ht="15.75">
      <c r="A98" s="42" t="s">
        <v>267</v>
      </c>
      <c r="B98" s="50">
        <f>IF(-198.92417="","-",-198.92417)</f>
        <v>-198.92417</v>
      </c>
      <c r="C98" s="50">
        <f>IF(-81.60976="","-",-81.60976)</f>
        <v>-81.60976</v>
      </c>
      <c r="D98" s="50">
        <f>IF(OR(-198.92417="",-81.60976="",-198.92417=0),"-",-81.60976/-198.92417*100)</f>
        <v>41.02556265535756</v>
      </c>
    </row>
    <row r="99" spans="1:7" ht="15.75">
      <c r="A99" s="42" t="s">
        <v>100</v>
      </c>
      <c r="B99" s="50">
        <f>IF(-767.0124="","-",-767.0124)</f>
        <v>-767.0124</v>
      </c>
      <c r="C99" s="50">
        <f>IF(-49.97888="","-",-49.97888)</f>
        <v>-49.97888</v>
      </c>
      <c r="D99" s="50">
        <f>IF(OR(-767.0124="",-49.97888="",-767.0124=0),"-",-49.97888/-767.0124*100)</f>
        <v>6.51604589443404</v>
      </c>
      <c r="E99" s="14"/>
      <c r="F99" s="14"/>
      <c r="G99" s="14"/>
    </row>
    <row r="100" spans="1:7" ht="15.75">
      <c r="A100" s="42" t="s">
        <v>110</v>
      </c>
      <c r="B100" s="50">
        <f>IF(-488.4436="","-",-488.4436)</f>
        <v>-488.4436</v>
      </c>
      <c r="C100" s="50">
        <f>IF(-38.91794="","-",-38.91794)</f>
        <v>-38.91794</v>
      </c>
      <c r="D100" s="50">
        <f>IF(OR(-488.4436="",-38.91794="",-488.4436=0),"-",-38.91794/-488.4436*100)</f>
        <v>7.967744894190446</v>
      </c>
      <c r="E100" s="14"/>
      <c r="F100" s="14"/>
      <c r="G100" s="14"/>
    </row>
    <row r="101" spans="1:4" ht="15.75">
      <c r="A101" s="42" t="s">
        <v>268</v>
      </c>
      <c r="B101" s="50">
        <f>IF(-91.13283="","-",-91.13283)</f>
        <v>-91.13283</v>
      </c>
      <c r="C101" s="50">
        <f>IF(-33.53186="","-",-33.53186)</f>
        <v>-33.53186</v>
      </c>
      <c r="D101" s="50">
        <f>IF(OR(-91.13283="",-33.53186="",-91.13283=0),"-",-33.53186/-91.13283*100)</f>
        <v>36.79448997688319</v>
      </c>
    </row>
    <row r="102" spans="1:4" ht="15.75">
      <c r="A102" s="42" t="s">
        <v>124</v>
      </c>
      <c r="B102" s="50">
        <f>IF(409.8874="","-",409.8874)</f>
        <v>409.8874</v>
      </c>
      <c r="C102" s="50">
        <f>IF(-14.54836="","-",-14.54836)</f>
        <v>-14.54836</v>
      </c>
      <c r="D102" s="50" t="s">
        <v>22</v>
      </c>
    </row>
    <row r="103" spans="1:7" ht="15.75">
      <c r="A103" s="42" t="s">
        <v>269</v>
      </c>
      <c r="B103" s="50">
        <f>IF(891.36339="","-",891.36339)</f>
        <v>891.36339</v>
      </c>
      <c r="C103" s="50">
        <f>IF(-9.06919="","-",-9.06919)</f>
        <v>-9.06919</v>
      </c>
      <c r="D103" s="50" t="s">
        <v>22</v>
      </c>
      <c r="E103" s="13"/>
      <c r="F103" s="13"/>
      <c r="G103" s="13"/>
    </row>
    <row r="104" spans="1:4" ht="15.75">
      <c r="A104" s="42" t="s">
        <v>166</v>
      </c>
      <c r="B104" s="50">
        <f>IF(166.02503="","-",166.02503)</f>
        <v>166.02503</v>
      </c>
      <c r="C104" s="50">
        <f>IF(38.38854="","-",38.38854)</f>
        <v>38.38854</v>
      </c>
      <c r="D104" s="50">
        <f>IF(OR(166.02503="",38.38854="",166.02503=0),"-",38.38854/166.02503*100)</f>
        <v>23.12214007731244</v>
      </c>
    </row>
    <row r="105" spans="1:7" ht="15.75">
      <c r="A105" s="42" t="s">
        <v>270</v>
      </c>
      <c r="B105" s="50">
        <f>IF(105.16189="","-",105.16189)</f>
        <v>105.16189</v>
      </c>
      <c r="C105" s="50">
        <f>IF(43.23246="","-",43.23246)</f>
        <v>43.23246</v>
      </c>
      <c r="D105" s="50">
        <f>IF(OR(105.16189="",43.23246="",105.16189=0),"-",43.23246/105.16189*100)</f>
        <v>41.110387042302115</v>
      </c>
      <c r="E105" s="13"/>
      <c r="F105" s="13"/>
      <c r="G105" s="13"/>
    </row>
    <row r="106" spans="1:7" ht="15.75">
      <c r="A106" s="42" t="s">
        <v>181</v>
      </c>
      <c r="B106" s="50">
        <f>IF(48.96218="","-",48.96218)</f>
        <v>48.96218</v>
      </c>
      <c r="C106" s="50">
        <f>IF(70.1905="","-",70.1905)</f>
        <v>70.1905</v>
      </c>
      <c r="D106" s="50">
        <f>IF(OR(48.96218="",70.1905="",48.96218=0),"-",70.1905/48.96218*100)</f>
        <v>143.35656623132388</v>
      </c>
      <c r="E106" s="1"/>
      <c r="F106" s="1"/>
      <c r="G106" s="1"/>
    </row>
    <row r="107" spans="1:4" ht="15.75">
      <c r="A107" s="42" t="s">
        <v>118</v>
      </c>
      <c r="B107" s="50">
        <f>IF(98.16652="","-",98.16652)</f>
        <v>98.16652</v>
      </c>
      <c r="C107" s="50">
        <f>IF(83.51523="","-",83.51523)</f>
        <v>83.51523</v>
      </c>
      <c r="D107" s="50">
        <f>IF(OR(98.16652="",83.51523="",98.16652=0),"-",83.51523/98.16652*100)</f>
        <v>85.07506428872084</v>
      </c>
    </row>
    <row r="108" spans="1:4" ht="15.75">
      <c r="A108" s="42" t="s">
        <v>160</v>
      </c>
      <c r="B108" s="50">
        <f>IF(7.147="","-",7.147)</f>
        <v>7.147</v>
      </c>
      <c r="C108" s="50">
        <f>IF(86.0057="","-",86.0057)</f>
        <v>86.0057</v>
      </c>
      <c r="D108" s="50" t="s">
        <v>271</v>
      </c>
    </row>
    <row r="109" spans="1:4" ht="15.75">
      <c r="A109" s="42" t="s">
        <v>180</v>
      </c>
      <c r="B109" s="50">
        <f>IF(162.9725="","-",162.9725)</f>
        <v>162.9725</v>
      </c>
      <c r="C109" s="50">
        <f>IF(124.02514="","-",124.02514)</f>
        <v>124.02514</v>
      </c>
      <c r="D109" s="50">
        <f>IF(OR(162.9725="",124.02514="",162.9725=0),"-",124.02514/162.9725*100)</f>
        <v>76.10188221939283</v>
      </c>
    </row>
    <row r="110" spans="1:7" ht="15.75">
      <c r="A110" s="42" t="s">
        <v>111</v>
      </c>
      <c r="B110" s="50">
        <f>IF(-303.98494="","-",-303.98494)</f>
        <v>-303.98494</v>
      </c>
      <c r="C110" s="50">
        <f>IF(200.3737="","-",200.3737)</f>
        <v>200.3737</v>
      </c>
      <c r="D110" s="50" t="s">
        <v>22</v>
      </c>
      <c r="E110" s="14"/>
      <c r="F110" s="14"/>
      <c r="G110" s="14"/>
    </row>
    <row r="111" spans="1:7" ht="15.75">
      <c r="A111" s="42" t="s">
        <v>161</v>
      </c>
      <c r="B111" s="50">
        <f>IF(204.24648="","-",204.24648)</f>
        <v>204.24648</v>
      </c>
      <c r="C111" s="50">
        <f>IF(219.73291="","-",219.73291)</f>
        <v>219.73291</v>
      </c>
      <c r="D111" s="50">
        <f>IF(OR(204.24648="",219.73291="",204.24648=0),"-",219.73291/204.24648*100)</f>
        <v>107.58222614166961</v>
      </c>
      <c r="E111" s="10"/>
      <c r="F111" s="10"/>
      <c r="G111" s="10"/>
    </row>
    <row r="112" spans="1:4" ht="15.75">
      <c r="A112" s="42" t="s">
        <v>152</v>
      </c>
      <c r="B112" s="50" t="str">
        <f>IF(OR(0="",221.24821="",0=0),"-",221.24821/0*100)</f>
        <v>-</v>
      </c>
      <c r="C112" s="50">
        <f>IF(221.24821="","-",221.24821)</f>
        <v>221.24821</v>
      </c>
      <c r="D112" s="50" t="str">
        <f>IF(OR(0="",221.24821="",0=0),"-",221.24821/0*100)</f>
        <v>-</v>
      </c>
    </row>
    <row r="113" spans="1:7" ht="15.75">
      <c r="A113" s="42" t="s">
        <v>151</v>
      </c>
      <c r="B113" s="50">
        <f>IF(19.15="","-",19.15)</f>
        <v>19.15</v>
      </c>
      <c r="C113" s="50">
        <f>IF(233.65875="","-",233.65875)</f>
        <v>233.65875</v>
      </c>
      <c r="D113" s="50" t="s">
        <v>272</v>
      </c>
      <c r="E113" s="14"/>
      <c r="F113" s="14"/>
      <c r="G113" s="14"/>
    </row>
    <row r="114" spans="1:4" ht="15.75">
      <c r="A114" s="42" t="s">
        <v>153</v>
      </c>
      <c r="B114" s="50">
        <f>IF(10.58665="","-",10.58665)</f>
        <v>10.58665</v>
      </c>
      <c r="C114" s="50">
        <f>IF(270.25243="","-",270.25243)</f>
        <v>270.25243</v>
      </c>
      <c r="D114" s="50" t="s">
        <v>273</v>
      </c>
    </row>
    <row r="115" spans="1:4" ht="15.75">
      <c r="A115" s="42" t="s">
        <v>105</v>
      </c>
      <c r="B115" s="50">
        <f>IF(255.87693="","-",255.87693)</f>
        <v>255.87693</v>
      </c>
      <c r="C115" s="50">
        <f>IF(323.47451="","-",323.47451)</f>
        <v>323.47451</v>
      </c>
      <c r="D115" s="50">
        <f>IF(OR(255.87693="",323.47451="",255.87693=0),"-",323.47451/255.87693*100)</f>
        <v>126.41800493698281</v>
      </c>
    </row>
    <row r="116" spans="1:7" ht="15.75">
      <c r="A116" s="42" t="s">
        <v>85</v>
      </c>
      <c r="B116" s="50">
        <f>IF(721.40815="","-",721.40815)</f>
        <v>721.40815</v>
      </c>
      <c r="C116" s="50">
        <f>IF(497.48638="","-",497.48638)</f>
        <v>497.48638</v>
      </c>
      <c r="D116" s="50">
        <f>IF(OR(721.40815="",497.48638="",721.40815=0),"-",497.48638/721.40815*100)</f>
        <v>68.9604601777787</v>
      </c>
      <c r="E116" s="14"/>
      <c r="F116" s="14"/>
      <c r="G116" s="14"/>
    </row>
    <row r="117" spans="1:4" ht="15.75">
      <c r="A117" s="42" t="s">
        <v>72</v>
      </c>
      <c r="B117" s="50">
        <f>IF(1575.25928="","-",1575.25928)</f>
        <v>1575.25928</v>
      </c>
      <c r="C117" s="50">
        <f>IF(500.42862="","-",500.42862)</f>
        <v>500.42862</v>
      </c>
      <c r="D117" s="50">
        <f>IF(OR(1575.25928="",500.42862="",1575.25928=0),"-",500.42862/1575.25928*100)</f>
        <v>31.768015992897375</v>
      </c>
    </row>
    <row r="118" spans="1:4" ht="15.75">
      <c r="A118" s="42" t="s">
        <v>45</v>
      </c>
      <c r="B118" s="50">
        <f>IF(1809.99794="","-",1809.99794)</f>
        <v>1809.99794</v>
      </c>
      <c r="C118" s="50">
        <f>IF(561.79292="","-",561.79292)</f>
        <v>561.79292</v>
      </c>
      <c r="D118" s="50">
        <f>IF(OR(1809.99794="",561.79292="",1809.99794=0),"-",561.79292/1809.99794*100)</f>
        <v>31.038318198306897</v>
      </c>
    </row>
    <row r="119" spans="1:4" ht="15.75">
      <c r="A119" s="42" t="s">
        <v>121</v>
      </c>
      <c r="B119" s="50">
        <f>IF(420.24593="","-",420.24593)</f>
        <v>420.24593</v>
      </c>
      <c r="C119" s="50">
        <f>IF(721.83181="","-",721.83181)</f>
        <v>721.83181</v>
      </c>
      <c r="D119" s="50" t="s">
        <v>114</v>
      </c>
    </row>
    <row r="120" spans="1:4" ht="15.75">
      <c r="A120" s="42" t="s">
        <v>178</v>
      </c>
      <c r="B120" s="50">
        <f>IF(69.71556="","-",69.71556)</f>
        <v>69.71556</v>
      </c>
      <c r="C120" s="50">
        <f>IF(1001.23142="","-",1001.23142)</f>
        <v>1001.23142</v>
      </c>
      <c r="D120" s="50" t="s">
        <v>274</v>
      </c>
    </row>
    <row r="121" spans="1:4" ht="15.75">
      <c r="A121" s="42" t="s">
        <v>76</v>
      </c>
      <c r="B121" s="50">
        <f>IF(-1079.95375="","-",-1079.95375)</f>
        <v>-1079.95375</v>
      </c>
      <c r="C121" s="50">
        <f>IF(2400.29557="","-",2400.29557)</f>
        <v>2400.29557</v>
      </c>
      <c r="D121" s="50" t="s">
        <v>22</v>
      </c>
    </row>
    <row r="122" spans="1:4" ht="15.75">
      <c r="A122" s="42" t="s">
        <v>150</v>
      </c>
      <c r="B122" s="50">
        <f>IF(41.0439="","-",41.0439)</f>
        <v>41.0439</v>
      </c>
      <c r="C122" s="50">
        <f>IF(2588.27613="","-",2588.27613)</f>
        <v>2588.27613</v>
      </c>
      <c r="D122" s="50" t="s">
        <v>241</v>
      </c>
    </row>
    <row r="123" spans="1:4" ht="15.75">
      <c r="A123" s="42" t="s">
        <v>73</v>
      </c>
      <c r="B123" s="50">
        <f>IF(241.33016="","-",241.33016)</f>
        <v>241.33016</v>
      </c>
      <c r="C123" s="50">
        <f>IF(3203.58138="","-",3203.58138)</f>
        <v>3203.58138</v>
      </c>
      <c r="D123" s="50" t="s">
        <v>275</v>
      </c>
    </row>
    <row r="124" spans="1:4" ht="15.75">
      <c r="A124" s="42" t="s">
        <v>65</v>
      </c>
      <c r="B124" s="50">
        <f>IF(6176.40729="","-",6176.40729)</f>
        <v>6176.40729</v>
      </c>
      <c r="C124" s="50">
        <f>IF(5609.2559="","-",5609.2559)</f>
        <v>5609.2559</v>
      </c>
      <c r="D124" s="50">
        <f>IF(OR(6176.40729="",5609.2559="",6176.40729=0),"-",5609.2559/6176.40729*100)</f>
        <v>90.81745481846292</v>
      </c>
    </row>
    <row r="125" spans="1:4" ht="15.75">
      <c r="A125" s="42" t="s">
        <v>68</v>
      </c>
      <c r="B125" s="50">
        <f>IF(6055.0064="","-",6055.0064)</f>
        <v>6055.0064</v>
      </c>
      <c r="C125" s="50">
        <f>IF(5819.33725="","-",5819.33725)</f>
        <v>5819.33725</v>
      </c>
      <c r="D125" s="50">
        <f>IF(OR(6055.0064="",5819.33725="",6055.0064=0),"-",5819.33725/6055.0064*100)</f>
        <v>96.10786290828692</v>
      </c>
    </row>
    <row r="126" spans="1:4" ht="15.75">
      <c r="A126" s="42" t="s">
        <v>149</v>
      </c>
      <c r="B126" s="50">
        <f>IF(1773.44095="","-",1773.44095)</f>
        <v>1773.44095</v>
      </c>
      <c r="C126" s="50">
        <f>IF(5875.36543="","-",5875.36543)</f>
        <v>5875.36543</v>
      </c>
      <c r="D126" s="50" t="s">
        <v>168</v>
      </c>
    </row>
    <row r="127" spans="1:4" ht="15.75">
      <c r="A127" s="42" t="s">
        <v>66</v>
      </c>
      <c r="B127" s="50">
        <f>IF(8068.45651="","-",8068.45651)</f>
        <v>8068.45651</v>
      </c>
      <c r="C127" s="50">
        <f>IF(6147.14603="","-",6147.14603)</f>
        <v>6147.14603</v>
      </c>
      <c r="D127" s="50">
        <f>IF(OR(8068.45651="",6147.14603="",8068.45651=0),"-",6147.14603/8068.45651*100)</f>
        <v>76.18738506406103</v>
      </c>
    </row>
    <row r="128" spans="1:4" ht="15.75">
      <c r="A128" s="44" t="s">
        <v>177</v>
      </c>
      <c r="B128" s="51">
        <f>IF(14928.6508="","-",14928.6508)</f>
        <v>14928.6508</v>
      </c>
      <c r="C128" s="51">
        <f>IF(17414.76088="","-",17414.76088)</f>
        <v>17414.76088</v>
      </c>
      <c r="D128" s="51">
        <f>IF(OR(14928.6508="",17414.76088="",14928.6508=0),"-",17414.76088/14928.6508*100)</f>
        <v>116.65328041566892</v>
      </c>
    </row>
    <row r="129" ht="15.75">
      <c r="A129" s="29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zoomScalePageLayoutView="0" workbookViewId="0" topLeftCell="A24">
      <selection activeCell="L42" sqref="L42"/>
    </sheetView>
  </sheetViews>
  <sheetFormatPr defaultColWidth="9.00390625" defaultRowHeight="15.75"/>
  <cols>
    <col min="1" max="1" width="32.625" style="0" customWidth="1"/>
    <col min="2" max="2" width="13.00390625" style="0" customWidth="1"/>
    <col min="3" max="3" width="15.00390625" style="0" customWidth="1"/>
    <col min="4" max="5" width="10.50390625" style="0" customWidth="1"/>
  </cols>
  <sheetData>
    <row r="1" spans="1:5" ht="15.75">
      <c r="A1" s="63" t="s">
        <v>137</v>
      </c>
      <c r="B1" s="63"/>
      <c r="C1" s="63"/>
      <c r="D1" s="63"/>
      <c r="E1" s="63"/>
    </row>
    <row r="2" spans="1:5" ht="15.75">
      <c r="A2" s="9"/>
      <c r="B2" s="9"/>
      <c r="C2" s="9"/>
      <c r="D2" s="9"/>
      <c r="E2" s="9"/>
    </row>
    <row r="3" spans="1:6" ht="15.75">
      <c r="A3" s="64"/>
      <c r="B3" s="67" t="s">
        <v>289</v>
      </c>
      <c r="C3" s="68"/>
      <c r="D3" s="67" t="s">
        <v>120</v>
      </c>
      <c r="E3" s="83"/>
      <c r="F3" s="1"/>
    </row>
    <row r="4" spans="1:6" ht="18" customHeight="1">
      <c r="A4" s="65"/>
      <c r="B4" s="71" t="s">
        <v>146</v>
      </c>
      <c r="C4" s="73" t="s">
        <v>283</v>
      </c>
      <c r="D4" s="75" t="s">
        <v>284</v>
      </c>
      <c r="E4" s="67"/>
      <c r="F4" s="1"/>
    </row>
    <row r="5" spans="1:6" ht="18" customHeight="1">
      <c r="A5" s="66"/>
      <c r="B5" s="72"/>
      <c r="C5" s="74"/>
      <c r="D5" s="25">
        <v>2018</v>
      </c>
      <c r="E5" s="24">
        <v>2019</v>
      </c>
      <c r="F5" s="1"/>
    </row>
    <row r="6" spans="1:5" ht="15.75" customHeight="1">
      <c r="A6" s="30" t="s">
        <v>164</v>
      </c>
      <c r="B6" s="52">
        <f>IF(1159333.75195="","-",1159333.75195)</f>
        <v>1159333.75195</v>
      </c>
      <c r="C6" s="47">
        <f>IF(1100674.36139="","-",1159333.75195/1100674.36139*100)</f>
        <v>105.32940464661331</v>
      </c>
      <c r="D6" s="47">
        <v>100</v>
      </c>
      <c r="E6" s="47">
        <v>100</v>
      </c>
    </row>
    <row r="7" spans="1:5" ht="15.75" customHeight="1">
      <c r="A7" s="31" t="s">
        <v>162</v>
      </c>
      <c r="B7" s="39"/>
      <c r="C7" s="40"/>
      <c r="D7" s="39"/>
      <c r="E7" s="39"/>
    </row>
    <row r="8" spans="1:5" ht="15.75">
      <c r="A8" s="32" t="s">
        <v>127</v>
      </c>
      <c r="B8" s="43">
        <f>IF(87711.11469="","-",87711.11469)</f>
        <v>87711.11469</v>
      </c>
      <c r="C8" s="53">
        <v>101.82</v>
      </c>
      <c r="D8" s="43">
        <f>IF(86139.77875="","-",86139.77875/1100674.36139*100)</f>
        <v>7.826091146632809</v>
      </c>
      <c r="E8" s="43">
        <f>IF(87711.11469="","-",87711.11469/1159333.75195*100)</f>
        <v>7.5656483340082055</v>
      </c>
    </row>
    <row r="9" spans="1:5" ht="15.75">
      <c r="A9" s="32" t="s">
        <v>128</v>
      </c>
      <c r="B9" s="43">
        <f>IF(55296.80054="","-",55296.80054)</f>
        <v>55296.80054</v>
      </c>
      <c r="C9" s="53" t="s">
        <v>115</v>
      </c>
      <c r="D9" s="43">
        <f>IF(33984.50576="","-",33984.50576/1100674.36139*100)</f>
        <v>3.087607647831667</v>
      </c>
      <c r="E9" s="43">
        <f>IF(55296.80054="","-",55296.80054/1159333.75195*100)</f>
        <v>4.769705052319123</v>
      </c>
    </row>
    <row r="10" spans="1:5" ht="15.75">
      <c r="A10" s="32" t="s">
        <v>129</v>
      </c>
      <c r="B10" s="43">
        <f>IF(996973.4881="","-",996973.4881)</f>
        <v>996973.4881</v>
      </c>
      <c r="C10" s="53">
        <v>104.2</v>
      </c>
      <c r="D10" s="43">
        <f>IF(956773.71506="","-",956773.71506/1100674.36139*100)</f>
        <v>86.92613806791381</v>
      </c>
      <c r="E10" s="43">
        <f>IF(996973.4881="","-",996973.4881/1159333.75195*100)</f>
        <v>85.99538195304761</v>
      </c>
    </row>
    <row r="11" spans="1:5" ht="15.75">
      <c r="A11" s="32" t="s">
        <v>130</v>
      </c>
      <c r="B11" s="43">
        <f>IF(18440.01089="","-",18440.01089)</f>
        <v>18440.01089</v>
      </c>
      <c r="C11" s="53">
        <v>79.54</v>
      </c>
      <c r="D11" s="43">
        <f>IF(23182.38892="","-",23182.38892/1100674.36139*100)</f>
        <v>2.106198684479562</v>
      </c>
      <c r="E11" s="43">
        <f>IF(18440.01089="","-",18440.01089/1159333.75195*100)</f>
        <v>1.5905696577007176</v>
      </c>
    </row>
    <row r="12" spans="1:5" ht="15.75">
      <c r="A12" s="32" t="s">
        <v>131</v>
      </c>
      <c r="B12" s="43">
        <f>IF(631.62096="","-",631.62096)</f>
        <v>631.62096</v>
      </c>
      <c r="C12" s="53">
        <v>108.38</v>
      </c>
      <c r="D12" s="43">
        <f>IF(582.79093="","-",582.79093/1100674.36139*100)</f>
        <v>0.052948533230483846</v>
      </c>
      <c r="E12" s="43">
        <f>IF(631.62096="","-",631.62096/1159333.75195*100)</f>
        <v>0.054481374232192695</v>
      </c>
    </row>
    <row r="13" spans="1:5" ht="15.75">
      <c r="A13" s="32" t="s">
        <v>132</v>
      </c>
      <c r="B13" s="43">
        <f>IF(3.03599="","-",3.03599)</f>
        <v>3.03599</v>
      </c>
      <c r="C13" s="53">
        <v>88.37</v>
      </c>
      <c r="D13" s="43">
        <f>IF(3.43643="","-",3.43643/1100674.36139*100)</f>
        <v>0.0003122113243066971</v>
      </c>
      <c r="E13" s="43">
        <f>IF(3.03599="","-",3.03599/1159333.75195*100)</f>
        <v>0.0002618736834749668</v>
      </c>
    </row>
    <row r="14" spans="1:5" ht="15.75">
      <c r="A14" s="32" t="s">
        <v>133</v>
      </c>
      <c r="B14" s="43">
        <f>IF(277.68078="","-",277.68078)</f>
        <v>277.68078</v>
      </c>
      <c r="C14" s="53" t="s">
        <v>276</v>
      </c>
      <c r="D14" s="43">
        <f>IF(7.74554="","-",7.74554/1100674.36139*100)</f>
        <v>0.0007037085873626102</v>
      </c>
      <c r="E14" s="43">
        <f>IF(277.68078="","-",277.68078/1159333.75195*100)</f>
        <v>0.02395175500867984</v>
      </c>
    </row>
    <row r="15" spans="1:5" ht="15.75">
      <c r="A15" s="28" t="s">
        <v>292</v>
      </c>
      <c r="B15" s="41">
        <f>IF(742190.18615="","-",742190.18615)</f>
        <v>742190.18615</v>
      </c>
      <c r="C15" s="41">
        <f>IF(746666.3827="","-",742190.18615/746666.3827*100)</f>
        <v>99.40050916263115</v>
      </c>
      <c r="D15" s="41">
        <f>IF(746666.3827="","-",746666.3827/1100674.36139*100)</f>
        <v>67.83717408998818</v>
      </c>
      <c r="E15" s="41">
        <f>IF(742190.18615="","-",742190.18615/1159333.75195*100)</f>
        <v>64.01868184219046</v>
      </c>
    </row>
    <row r="16" spans="1:5" ht="15.75">
      <c r="A16" s="32" t="s">
        <v>281</v>
      </c>
      <c r="B16" s="41"/>
      <c r="C16" s="41"/>
      <c r="D16" s="41"/>
      <c r="E16" s="41"/>
    </row>
    <row r="17" spans="1:5" ht="15.75">
      <c r="A17" s="32" t="s">
        <v>127</v>
      </c>
      <c r="B17" s="43">
        <f>IF(32710.16047="","-",32710.16047)</f>
        <v>32710.16047</v>
      </c>
      <c r="C17" s="53">
        <v>60.42</v>
      </c>
      <c r="D17" s="43">
        <f>IF(54135.1578="","-",54135.1578/1100674.36139*100)</f>
        <v>4.918362750962488</v>
      </c>
      <c r="E17" s="43">
        <f>IF(32710.16047="","-",32710.16047/1159333.75195*100)</f>
        <v>2.8214619314741327</v>
      </c>
    </row>
    <row r="18" spans="1:11" ht="15.75">
      <c r="A18" s="32" t="s">
        <v>128</v>
      </c>
      <c r="B18" s="43">
        <f>IF(13872.32979="","-",13872.32979)</f>
        <v>13872.32979</v>
      </c>
      <c r="C18" s="53">
        <v>113.45</v>
      </c>
      <c r="D18" s="43">
        <f>IF(12228.03956="","-",12228.03956/1100674.36139*100)</f>
        <v>1.1109588802048291</v>
      </c>
      <c r="E18" s="43">
        <f>IF(13872.32979="","-",13872.32979/1159333.75195*100)</f>
        <v>1.1965777556865513</v>
      </c>
      <c r="K18" s="27"/>
    </row>
    <row r="19" spans="1:5" ht="15.75">
      <c r="A19" s="32" t="s">
        <v>129</v>
      </c>
      <c r="B19" s="43">
        <f>IF(692996.69248="","-",692996.69248)</f>
        <v>692996.69248</v>
      </c>
      <c r="C19" s="53">
        <v>102.71</v>
      </c>
      <c r="D19" s="43">
        <f>IF(674726.44809="","-",674726.44809/1100674.36139*100)</f>
        <v>61.30118695941218</v>
      </c>
      <c r="E19" s="43">
        <f>IF(692996.69248="","-",692996.69248/1159333.75195*100)</f>
        <v>59.77542630104396</v>
      </c>
    </row>
    <row r="20" spans="1:5" ht="15.75">
      <c r="A20" s="32" t="s">
        <v>130</v>
      </c>
      <c r="B20" s="43">
        <f>IF(2248.01776="","-",2248.01776)</f>
        <v>2248.01776</v>
      </c>
      <c r="C20" s="53">
        <v>42.86</v>
      </c>
      <c r="D20" s="43">
        <f>IF(5244.75285="","-",5244.75285/1100674.36139*100)</f>
        <v>0.47650359034225165</v>
      </c>
      <c r="E20" s="43">
        <f>IF(2248.01776="","-",2248.01776/1159333.75195*100)</f>
        <v>0.19390600473925937</v>
      </c>
    </row>
    <row r="21" spans="1:5" ht="15.75">
      <c r="A21" s="32" t="s">
        <v>131</v>
      </c>
      <c r="B21" s="43">
        <f>IF(213.14678="","-",213.14678)</f>
        <v>213.14678</v>
      </c>
      <c r="C21" s="54">
        <v>65.24</v>
      </c>
      <c r="D21" s="43">
        <f>IF(326.70635="","-",326.70635/1100674.36139*100)</f>
        <v>0.029682380317046262</v>
      </c>
      <c r="E21" s="43">
        <f>IF(213.14678="","-",213.14678/1159333.75195*100)</f>
        <v>0.01838528203302</v>
      </c>
    </row>
    <row r="22" spans="1:5" ht="15.75">
      <c r="A22" s="32" t="s">
        <v>133</v>
      </c>
      <c r="B22" s="43">
        <f>IF(149.83887="","-",149.83887)</f>
        <v>149.83887</v>
      </c>
      <c r="C22" s="54" t="s">
        <v>277</v>
      </c>
      <c r="D22" s="43">
        <f>IF(5.27805="","-",5.27805/1100674.36139*100)</f>
        <v>0.00047952874938728937</v>
      </c>
      <c r="E22" s="43">
        <f>IF(149.83887="","-",149.83887/1159333.75195*100)</f>
        <v>0.012924567213537167</v>
      </c>
    </row>
    <row r="23" spans="1:5" ht="15.75">
      <c r="A23" s="28" t="s">
        <v>294</v>
      </c>
      <c r="B23" s="41">
        <f>IF(170294.53676="","-",170294.53676)</f>
        <v>170294.53676</v>
      </c>
      <c r="C23" s="41">
        <f>IF(177482.19654="","-",170294.53676/177482.19654*100)</f>
        <v>95.95020800952274</v>
      </c>
      <c r="D23" s="41">
        <f>IF(177482.19654="","-",177482.19654/1100674.36139*100)</f>
        <v>16.124859701089473</v>
      </c>
      <c r="E23" s="41">
        <f>IF(170294.53676="","-",170294.53676/1159333.75195*100)</f>
        <v>14.689000166998028</v>
      </c>
    </row>
    <row r="24" spans="1:5" ht="15.75">
      <c r="A24" s="32" t="s">
        <v>293</v>
      </c>
      <c r="B24" s="41"/>
      <c r="C24" s="41"/>
      <c r="D24" s="41"/>
      <c r="E24" s="41"/>
    </row>
    <row r="25" spans="1:5" ht="15.75">
      <c r="A25" s="32" t="s">
        <v>127</v>
      </c>
      <c r="B25" s="43">
        <f>IF(2875.60081="","-",2875.60081)</f>
        <v>2875.60081</v>
      </c>
      <c r="C25" s="53" t="s">
        <v>20</v>
      </c>
      <c r="D25" s="43">
        <f>IF(1465.55729="","-",1465.55729/1100674.36139*100)</f>
        <v>0.13315085200578336</v>
      </c>
      <c r="E25" s="43">
        <f>IF(2875.60081="","-",2875.60081/1159333.75195*100)</f>
        <v>0.24803908323752655</v>
      </c>
    </row>
    <row r="26" spans="1:5" ht="15.75">
      <c r="A26" s="32" t="s">
        <v>128</v>
      </c>
      <c r="B26" s="43">
        <f>IF(7674.18793="","-",7674.18793)</f>
        <v>7674.18793</v>
      </c>
      <c r="C26" s="53">
        <v>138.3</v>
      </c>
      <c r="D26" s="43">
        <f>IF(5548.78552="","-",5548.78552/1100674.36139*100)</f>
        <v>0.5041259899061017</v>
      </c>
      <c r="E26" s="43">
        <f>IF(7674.18793="","-",7674.18793/1159333.75195*100)</f>
        <v>0.6619481160702871</v>
      </c>
    </row>
    <row r="27" spans="1:5" ht="15.75">
      <c r="A27" s="32" t="s">
        <v>129</v>
      </c>
      <c r="B27" s="43">
        <f>IF(155578.51116="","-",155578.51116)</f>
        <v>155578.51116</v>
      </c>
      <c r="C27" s="50">
        <v>94.6</v>
      </c>
      <c r="D27" s="43">
        <f>IF(164466.69314="","-",164466.69314/1100674.36139*100)</f>
        <v>14.942357059385051</v>
      </c>
      <c r="E27" s="43">
        <f>IF(155578.51116="","-",155578.51116/1159333.75195*100)</f>
        <v>13.419648215909946</v>
      </c>
    </row>
    <row r="28" spans="1:7" ht="15.75">
      <c r="A28" s="32" t="s">
        <v>130</v>
      </c>
      <c r="B28" s="43">
        <f>IF(3790.20145="","-",3790.20145)</f>
        <v>3790.20145</v>
      </c>
      <c r="C28" s="50">
        <v>63.33</v>
      </c>
      <c r="D28" s="43">
        <f>IF(5984.89501="","-",5984.89501/1100674.36139*100)</f>
        <v>0.5437480166651564</v>
      </c>
      <c r="E28" s="43">
        <f>IF(3790.20145="","-",3790.20145/1159333.75195*100)</f>
        <v>0.3269292767181909</v>
      </c>
      <c r="F28" s="1"/>
      <c r="G28" s="1"/>
    </row>
    <row r="29" spans="1:7" ht="15.75">
      <c r="A29" s="32" t="s">
        <v>131</v>
      </c>
      <c r="B29" s="43">
        <f>IF(357.84198="","-",357.84198)</f>
        <v>357.84198</v>
      </c>
      <c r="C29" s="50" t="s">
        <v>278</v>
      </c>
      <c r="D29" s="43">
        <f>IF(10.36166="","-",10.36166/1100674.36139*100)</f>
        <v>0.0009413919650962572</v>
      </c>
      <c r="E29" s="43">
        <f>IF(357.84198="","-",357.84198/1159333.75195*100)</f>
        <v>0.03086617459364998</v>
      </c>
      <c r="F29" s="14"/>
      <c r="G29" s="14"/>
    </row>
    <row r="30" spans="1:5" ht="15.75">
      <c r="A30" s="32" t="s">
        <v>132</v>
      </c>
      <c r="B30" s="43">
        <f>IF(3.03599="","-",3.03599)</f>
        <v>3.03599</v>
      </c>
      <c r="C30" s="50">
        <v>88.37</v>
      </c>
      <c r="D30" s="43">
        <f>IF(3.43643="","-",3.43643/1100674.36139*100)</f>
        <v>0.0003122113243066971</v>
      </c>
      <c r="E30" s="43">
        <f>IF(3.03599="","-",3.03599/1159333.75195*100)</f>
        <v>0.0002618736834749668</v>
      </c>
    </row>
    <row r="31" spans="1:5" ht="15.75">
      <c r="A31" s="32" t="s">
        <v>133</v>
      </c>
      <c r="B31" s="43">
        <f>IF(15.15744="","-",15.15744)</f>
        <v>15.15744</v>
      </c>
      <c r="C31" s="50" t="s">
        <v>279</v>
      </c>
      <c r="D31" s="43">
        <f>IF(2.46749="","-",2.46749/1100674.36139*100)</f>
        <v>0.00022417983797532094</v>
      </c>
      <c r="E31" s="43">
        <f>IF(15.15744="","-",15.15744/1159333.75195*100)</f>
        <v>0.0013074267849534423</v>
      </c>
    </row>
    <row r="32" spans="1:5" ht="15.75">
      <c r="A32" s="28" t="s">
        <v>295</v>
      </c>
      <c r="B32" s="41">
        <f>IF(246849.02904="","-",246849.02904)</f>
        <v>246849.02904</v>
      </c>
      <c r="C32" s="41">
        <f>IF(176525.78215="","-",246849.02904/176525.78215*100)</f>
        <v>139.83738014554945</v>
      </c>
      <c r="D32" s="41">
        <f>IF(176525.78215="","-",176525.78215/1100674.36139*100)</f>
        <v>16.037966208922345</v>
      </c>
      <c r="E32" s="41">
        <f>IF(246849.02904="","-",246849.02904/1159333.75195*100)</f>
        <v>21.292317990811515</v>
      </c>
    </row>
    <row r="33" spans="1:5" ht="15.75">
      <c r="A33" s="32" t="s">
        <v>293</v>
      </c>
      <c r="B33" s="41"/>
      <c r="C33" s="41"/>
      <c r="D33" s="41"/>
      <c r="E33" s="41"/>
    </row>
    <row r="34" spans="1:5" ht="15.75">
      <c r="A34" s="32" t="s">
        <v>127</v>
      </c>
      <c r="B34" s="43">
        <f>IF(52125.35341="","-",52125.35341)</f>
        <v>52125.35341</v>
      </c>
      <c r="C34" s="53" t="s">
        <v>114</v>
      </c>
      <c r="D34" s="43">
        <f>IF(30539.06366="","-",30539.06366/1100674.36139*100)</f>
        <v>2.774577543664538</v>
      </c>
      <c r="E34" s="43">
        <f>IF(52125.35341="","-",52125.35341/1159333.75195*100)</f>
        <v>4.496147319296547</v>
      </c>
    </row>
    <row r="35" spans="1:5" ht="15.75">
      <c r="A35" s="32" t="s">
        <v>128</v>
      </c>
      <c r="B35" s="43">
        <f>IF(33750.28282="","-",33750.28282)</f>
        <v>33750.28282</v>
      </c>
      <c r="C35" s="53" t="s">
        <v>104</v>
      </c>
      <c r="D35" s="43">
        <f>IF(16207.68068="","-",16207.68068/1100674.36139*100)</f>
        <v>1.472522777720736</v>
      </c>
      <c r="E35" s="43">
        <f>IF(33750.28282="","-",33750.28282/1159333.75195*100)</f>
        <v>2.911179180562285</v>
      </c>
    </row>
    <row r="36" spans="1:5" ht="15.75">
      <c r="A36" s="32" t="s">
        <v>129</v>
      </c>
      <c r="B36" s="43">
        <f>IF(148398.28446="","-",148398.28446)</f>
        <v>148398.28446</v>
      </c>
      <c r="C36" s="53">
        <v>126.21</v>
      </c>
      <c r="D36" s="43">
        <f>IF(117580.57383="","-",117580.57383/1100674.36139*100)</f>
        <v>10.682594049116574</v>
      </c>
      <c r="E36" s="43">
        <f>IF(148398.28446="","-",148398.28446/1159333.75195*100)</f>
        <v>12.800307436093705</v>
      </c>
    </row>
    <row r="37" spans="1:5" ht="15.75">
      <c r="A37" s="32" t="s">
        <v>130</v>
      </c>
      <c r="B37" s="43">
        <f>IF(12401.79168="","-",12401.79168)</f>
        <v>12401.79168</v>
      </c>
      <c r="C37" s="54">
        <v>103.76</v>
      </c>
      <c r="D37" s="43">
        <f>IF(11952.74106="","-",11952.74106/1100674.36139*100)</f>
        <v>1.0859470774721542</v>
      </c>
      <c r="E37" s="43">
        <f>IF(12401.79168="","-",12401.79168/1159333.75195*100)</f>
        <v>1.0697343762432674</v>
      </c>
    </row>
    <row r="38" spans="1:5" ht="15.75">
      <c r="A38" s="55" t="s">
        <v>131</v>
      </c>
      <c r="B38" s="56">
        <f>IF(60.6322="","-",60.6322)</f>
        <v>60.6322</v>
      </c>
      <c r="C38" s="54">
        <v>24.67</v>
      </c>
      <c r="D38" s="56">
        <f>IF(245.72292="","-",245.72292/1100674.36139*100)</f>
        <v>0.022324760948341328</v>
      </c>
      <c r="E38" s="56">
        <f>IF(60.6322="","-",60.6322/1159333.75195*100)</f>
        <v>0.005229917605522707</v>
      </c>
    </row>
    <row r="39" spans="1:5" ht="15.75">
      <c r="A39" s="33" t="s">
        <v>133</v>
      </c>
      <c r="B39" s="45">
        <f>IF(112.68447="","-",112.68447)</f>
        <v>112.68447</v>
      </c>
      <c r="C39" s="57" t="s">
        <v>22</v>
      </c>
      <c r="D39" s="51" t="s">
        <v>126</v>
      </c>
      <c r="E39" s="45">
        <f>IF(112.68447="","-",112.68447/1159333.75195*100)</f>
        <v>0.009719761010189228</v>
      </c>
    </row>
    <row r="40" ht="15.75">
      <c r="A40" s="36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="95" zoomScaleNormal="95" zoomScalePageLayoutView="0" workbookViewId="0" topLeftCell="A1">
      <selection activeCell="I30" sqref="I30"/>
    </sheetView>
  </sheetViews>
  <sheetFormatPr defaultColWidth="9.00390625" defaultRowHeight="15.75"/>
  <cols>
    <col min="1" max="1" width="32.125" style="0" customWidth="1"/>
    <col min="2" max="2" width="12.375" style="0" customWidth="1"/>
    <col min="3" max="3" width="14.875" style="0" customWidth="1"/>
    <col min="4" max="5" width="11.25390625" style="0" customWidth="1"/>
  </cols>
  <sheetData>
    <row r="1" spans="1:5" ht="15.75">
      <c r="A1" s="63" t="s">
        <v>138</v>
      </c>
      <c r="B1" s="63"/>
      <c r="C1" s="63"/>
      <c r="D1" s="63"/>
      <c r="E1" s="63"/>
    </row>
    <row r="2" spans="1:5" ht="15.75">
      <c r="A2" s="9"/>
      <c r="B2" s="9"/>
      <c r="C2" s="9"/>
      <c r="D2" s="9"/>
      <c r="E2" s="9"/>
    </row>
    <row r="3" spans="1:6" ht="15.75">
      <c r="A3" s="64"/>
      <c r="B3" s="67" t="s">
        <v>289</v>
      </c>
      <c r="C3" s="68"/>
      <c r="D3" s="67" t="s">
        <v>120</v>
      </c>
      <c r="E3" s="83"/>
      <c r="F3" s="1"/>
    </row>
    <row r="4" spans="1:6" ht="18" customHeight="1">
      <c r="A4" s="65"/>
      <c r="B4" s="71" t="s">
        <v>108</v>
      </c>
      <c r="C4" s="73" t="s">
        <v>283</v>
      </c>
      <c r="D4" s="75" t="s">
        <v>284</v>
      </c>
      <c r="E4" s="67"/>
      <c r="F4" s="1"/>
    </row>
    <row r="5" spans="1:6" ht="18" customHeight="1">
      <c r="A5" s="66"/>
      <c r="B5" s="72"/>
      <c r="C5" s="74"/>
      <c r="D5" s="25">
        <v>2018</v>
      </c>
      <c r="E5" s="24">
        <v>2019</v>
      </c>
      <c r="F5" s="1"/>
    </row>
    <row r="6" spans="1:5" ht="15.75" customHeight="1">
      <c r="A6" s="30" t="s">
        <v>163</v>
      </c>
      <c r="B6" s="47">
        <f>IF(2362156.7372="","-",2362156.7372)</f>
        <v>2362156.7372</v>
      </c>
      <c r="C6" s="47">
        <f>IF(2276206.61995="","-",2362156.7372/2276206.61995*100)</f>
        <v>103.77602439500365</v>
      </c>
      <c r="D6" s="47">
        <v>100</v>
      </c>
      <c r="E6" s="47">
        <v>100</v>
      </c>
    </row>
    <row r="7" spans="1:5" ht="15.75" customHeight="1">
      <c r="A7" s="31" t="s">
        <v>162</v>
      </c>
      <c r="B7" s="39"/>
      <c r="C7" s="40"/>
      <c r="D7" s="39"/>
      <c r="E7" s="39"/>
    </row>
    <row r="8" spans="1:5" ht="15.75">
      <c r="A8" s="32" t="s">
        <v>127</v>
      </c>
      <c r="B8" s="43">
        <f>IF(51130.3985="","-",51130.3985)</f>
        <v>51130.3985</v>
      </c>
      <c r="C8" s="53">
        <v>80.9</v>
      </c>
      <c r="D8" s="43">
        <f>IF(63201.02434="","-",63201.02434/2276206.61995*100)</f>
        <v>2.776594347194557</v>
      </c>
      <c r="E8" s="43">
        <f>IF(51130.3985="","-",51130.3985/2362156.7372*100)</f>
        <v>2.1645641753903173</v>
      </c>
    </row>
    <row r="9" spans="1:5" ht="15.75">
      <c r="A9" s="32" t="s">
        <v>128</v>
      </c>
      <c r="B9" s="43">
        <f>IF(110177.18515="","-",110177.18515)</f>
        <v>110177.18515</v>
      </c>
      <c r="C9" s="53">
        <v>91.53</v>
      </c>
      <c r="D9" s="43">
        <f>IF(120370.55102="","-",120370.55102/2276206.61995*100)</f>
        <v>5.288208458977423</v>
      </c>
      <c r="E9" s="43">
        <f>IF(110177.18515="","-",110177.18515/2362156.7372*100)</f>
        <v>4.664262257236976</v>
      </c>
    </row>
    <row r="10" spans="1:5" ht="15.75">
      <c r="A10" s="32" t="s">
        <v>129</v>
      </c>
      <c r="B10" s="43">
        <f>IF(1962161.26016="","-",1962161.26016)</f>
        <v>1962161.26016</v>
      </c>
      <c r="C10" s="53">
        <v>104.18</v>
      </c>
      <c r="D10" s="43">
        <f>IF(1883449.74704="","-",1883449.74704/2276206.61995*100)</f>
        <v>82.74511331846371</v>
      </c>
      <c r="E10" s="43">
        <f>IF(1962161.26016="","-",1962161.26016/2362156.7372*100)</f>
        <v>83.06651414189655</v>
      </c>
    </row>
    <row r="11" spans="1:5" ht="15.75">
      <c r="A11" s="32" t="s">
        <v>130</v>
      </c>
      <c r="B11" s="43">
        <f>IF(60531.92646="","-",60531.92646)</f>
        <v>60531.92646</v>
      </c>
      <c r="C11" s="53">
        <v>105.03</v>
      </c>
      <c r="D11" s="43">
        <f>IF(57630.72274="","-",57630.72274/2276206.61995*100)</f>
        <v>2.5318757196684514</v>
      </c>
      <c r="E11" s="43">
        <f>IF(60531.92646="","-",60531.92646/2362156.7372*100)</f>
        <v>2.562570277692579</v>
      </c>
    </row>
    <row r="12" spans="1:5" ht="15.75">
      <c r="A12" s="32" t="s">
        <v>131</v>
      </c>
      <c r="B12" s="43">
        <f>IF(4397.74094="","-",4397.74094)</f>
        <v>4397.74094</v>
      </c>
      <c r="C12" s="53">
        <v>73.02</v>
      </c>
      <c r="D12" s="43">
        <f>IF(6022.97083="","-",6022.97083/2276206.61995*100)</f>
        <v>0.26460562838237867</v>
      </c>
      <c r="E12" s="43">
        <f>IF(4397.74094="","-",4397.74094/2362156.7372*100)</f>
        <v>0.18617481519083678</v>
      </c>
    </row>
    <row r="13" spans="1:5" ht="15.75">
      <c r="A13" s="32" t="s">
        <v>132</v>
      </c>
      <c r="B13" s="43">
        <f>IF(158215.41143="","-",158215.41143)</f>
        <v>158215.41143</v>
      </c>
      <c r="C13" s="53">
        <v>120.13</v>
      </c>
      <c r="D13" s="43">
        <f>IF(131706.39752="","-",131706.39752/2276206.61995*100)</f>
        <v>5.786223287712479</v>
      </c>
      <c r="E13" s="43">
        <f>IF(158215.41143="","-",158215.41143/2362156.7372*100)</f>
        <v>6.697921816040956</v>
      </c>
    </row>
    <row r="14" spans="1:5" ht="15.75">
      <c r="A14" s="32" t="s">
        <v>133</v>
      </c>
      <c r="B14" s="43">
        <f>IF(15542.81456="","-",15542.81456)</f>
        <v>15542.81456</v>
      </c>
      <c r="C14" s="53">
        <v>112.42</v>
      </c>
      <c r="D14" s="43">
        <f>IF(13825.20646="","-",13825.20646/2276206.61995*100)</f>
        <v>0.6073792396010028</v>
      </c>
      <c r="E14" s="43">
        <f>IF(15542.81456="","-",15542.81456/2362156.7372*100)</f>
        <v>0.6579925165517929</v>
      </c>
    </row>
    <row r="15" spans="1:5" ht="15.75">
      <c r="A15" s="28" t="s">
        <v>292</v>
      </c>
      <c r="B15" s="41">
        <f>IF(1165033.49199="","-",1165033.49199)</f>
        <v>1165033.49199</v>
      </c>
      <c r="C15" s="41">
        <f>IF(1150278.07243="","-",1165033.49199/1150278.07243*100)</f>
        <v>101.28276978529452</v>
      </c>
      <c r="D15" s="41">
        <f>IF(1150278.07243="","-",1150278.07243/2276206.61995*100)</f>
        <v>50.53487070761912</v>
      </c>
      <c r="E15" s="41">
        <f>IF(1165033.49199="","-",1165033.49199/2362156.7372*100)</f>
        <v>49.320753091557386</v>
      </c>
    </row>
    <row r="16" spans="1:5" ht="15.75">
      <c r="A16" s="32" t="s">
        <v>281</v>
      </c>
      <c r="B16" s="41"/>
      <c r="C16" s="41"/>
      <c r="D16" s="41"/>
      <c r="E16" s="41"/>
    </row>
    <row r="17" spans="1:5" ht="15.75">
      <c r="A17" s="32" t="s">
        <v>127</v>
      </c>
      <c r="B17" s="43">
        <f>IF(36091.91749="","-",36091.91749)</f>
        <v>36091.91749</v>
      </c>
      <c r="C17" s="53">
        <v>103.87</v>
      </c>
      <c r="D17" s="43">
        <f>IF(34747.00994="","-",34747.00994/2276206.61995*100)</f>
        <v>1.5265314508558658</v>
      </c>
      <c r="E17" s="43">
        <f>IF(36091.91749="","-",36091.91749/2362156.7372*100)</f>
        <v>1.527922212849509</v>
      </c>
    </row>
    <row r="18" spans="1:5" ht="15.75">
      <c r="A18" s="32" t="s">
        <v>128</v>
      </c>
      <c r="B18" s="43">
        <f>IF(13983.48501="","-",13983.48501)</f>
        <v>13983.48501</v>
      </c>
      <c r="C18" s="53">
        <v>76.57</v>
      </c>
      <c r="D18" s="43">
        <f>IF(18262.54852="","-",18262.54852/2276206.61995*100)</f>
        <v>0.8023238470504562</v>
      </c>
      <c r="E18" s="43">
        <f>IF(13983.48501="","-",13983.48501/2362156.7372*100)</f>
        <v>0.5919795579092448</v>
      </c>
    </row>
    <row r="19" spans="1:5" ht="15.75">
      <c r="A19" s="32" t="s">
        <v>129</v>
      </c>
      <c r="B19" s="43">
        <f>IF(1082084.09408="","-",1082084.09408)</f>
        <v>1082084.09408</v>
      </c>
      <c r="C19" s="53">
        <v>101.45</v>
      </c>
      <c r="D19" s="43">
        <f>IF(1066648.41628="","-",1066648.41628/2276206.61995*100)</f>
        <v>46.86079053330538</v>
      </c>
      <c r="E19" s="43">
        <f>IF(1082084.09408="","-",1082084.09408/2362156.7372*100)</f>
        <v>45.80915724342054</v>
      </c>
    </row>
    <row r="20" spans="1:5" ht="15.75">
      <c r="A20" s="32" t="s">
        <v>130</v>
      </c>
      <c r="B20" s="43">
        <f>IF(18211.69831="","-",18211.69831)</f>
        <v>18211.69831</v>
      </c>
      <c r="C20" s="53">
        <v>114.64</v>
      </c>
      <c r="D20" s="43">
        <f>IF(15886.08587="","-",15886.08587/2276206.61995*100)</f>
        <v>0.6979193246678528</v>
      </c>
      <c r="E20" s="43">
        <f>IF(18211.69831="","-",18211.69831/2362156.7372*100)</f>
        <v>0.7709775572127094</v>
      </c>
    </row>
    <row r="21" spans="1:5" ht="15.75">
      <c r="A21" s="32" t="s">
        <v>131</v>
      </c>
      <c r="B21" s="43">
        <f>IF(1971.25478="","-",1971.25478)</f>
        <v>1971.25478</v>
      </c>
      <c r="C21" s="53">
        <v>79.55</v>
      </c>
      <c r="D21" s="43">
        <f>IF(2478.09741="","-",2478.09741/2276206.61995*100)</f>
        <v>0.10886961615349464</v>
      </c>
      <c r="E21" s="43">
        <f>IF(1971.25478="","-",1971.25478/2362156.7372*100)</f>
        <v>0.08345148096889801</v>
      </c>
    </row>
    <row r="22" spans="1:5" ht="15.75">
      <c r="A22" s="32" t="s">
        <v>133</v>
      </c>
      <c r="B22" s="43">
        <f>IF(12691.04232="","-",12691.04232)</f>
        <v>12691.04232</v>
      </c>
      <c r="C22" s="53">
        <v>103.55</v>
      </c>
      <c r="D22" s="43">
        <f>IF(12255.91441="","-",12255.91441/2276206.61995*100)</f>
        <v>0.5384359355860768</v>
      </c>
      <c r="E22" s="43">
        <f>IF(12691.04232="","-",12691.04232/2362156.7372*100)</f>
        <v>0.5372650391964854</v>
      </c>
    </row>
    <row r="23" spans="1:5" ht="15.75">
      <c r="A23" s="28" t="s">
        <v>294</v>
      </c>
      <c r="B23" s="41">
        <f>IF(599054.14437="","-",599054.14437)</f>
        <v>599054.14437</v>
      </c>
      <c r="C23" s="41">
        <f>IF(533089.43154="","-",599054.14437/533089.43154*100)</f>
        <v>112.3740425015442</v>
      </c>
      <c r="D23" s="41">
        <f>IF(533089.43154="","-",533089.43154/2276206.61995*100)</f>
        <v>23.420080886668803</v>
      </c>
      <c r="E23" s="41">
        <f>IF(599054.14437="","-",599054.14437/2362156.7372*100)</f>
        <v>25.360473965842473</v>
      </c>
    </row>
    <row r="24" spans="1:5" ht="15.75">
      <c r="A24" s="32" t="s">
        <v>281</v>
      </c>
      <c r="B24" s="41"/>
      <c r="C24" s="41"/>
      <c r="D24" s="41"/>
      <c r="E24" s="41"/>
    </row>
    <row r="25" spans="1:5" ht="15.75">
      <c r="A25" s="32" t="s">
        <v>127</v>
      </c>
      <c r="B25" s="43">
        <f>IF(11771.66954="","-",11771.66954)</f>
        <v>11771.66954</v>
      </c>
      <c r="C25" s="53">
        <v>80.68</v>
      </c>
      <c r="D25" s="43">
        <f>IF(14590.67357="","-",14590.67357/2276206.61995*100)</f>
        <v>0.6410083092685366</v>
      </c>
      <c r="E25" s="43">
        <f>IF(11771.66954="","-",11771.66954/2362156.7372*100)</f>
        <v>0.49834413418110596</v>
      </c>
    </row>
    <row r="26" spans="1:5" ht="15.75">
      <c r="A26" s="32" t="s">
        <v>128</v>
      </c>
      <c r="B26" s="43">
        <f>IF(95900.07297="","-",95900.07297)</f>
        <v>95900.07297</v>
      </c>
      <c r="C26" s="53">
        <v>94.45</v>
      </c>
      <c r="D26" s="43">
        <f>IF(101537.0673="","-",101537.0673/2276206.61995*100)</f>
        <v>4.460801862628375</v>
      </c>
      <c r="E26" s="43">
        <f>IF(95900.07297="","-",95900.07297/2362156.7372*100)</f>
        <v>4.059852229944566</v>
      </c>
    </row>
    <row r="27" spans="1:5" ht="15.75">
      <c r="A27" s="32" t="s">
        <v>129</v>
      </c>
      <c r="B27" s="43">
        <f>IF(324867.86627="","-",324867.86627)</f>
        <v>324867.86627</v>
      </c>
      <c r="C27" s="53">
        <v>116.76</v>
      </c>
      <c r="D27" s="43">
        <f>IF(278228.93268="","-",278228.93268/2276206.61995*100)</f>
        <v>12.22336013969205</v>
      </c>
      <c r="E27" s="43">
        <f>IF(324867.86627="","-",324867.86627/2362156.7372*100)</f>
        <v>13.753019058975932</v>
      </c>
    </row>
    <row r="28" spans="1:7" ht="15.75">
      <c r="A28" s="32" t="s">
        <v>130</v>
      </c>
      <c r="B28" s="43">
        <f>IF(6229.59975="","-",6229.59975)</f>
        <v>6229.59975</v>
      </c>
      <c r="C28" s="53">
        <v>102.25</v>
      </c>
      <c r="D28" s="43">
        <f>IF(6092.27645="","-",6092.27645/2276206.61995*100)</f>
        <v>0.2676504143606183</v>
      </c>
      <c r="E28" s="43">
        <f>IF(6229.59975="","-",6229.59975/2362156.7372*100)</f>
        <v>0.2637250802156466</v>
      </c>
      <c r="F28" s="1"/>
      <c r="G28" s="1"/>
    </row>
    <row r="29" spans="1:7" ht="15.75">
      <c r="A29" s="32" t="s">
        <v>131</v>
      </c>
      <c r="B29" s="43">
        <f>IF(205.71367="","-",205.71367)</f>
        <v>205.71367</v>
      </c>
      <c r="C29" s="53">
        <v>75.85</v>
      </c>
      <c r="D29" s="43">
        <f>IF(271.18647="","-",271.18647/2276206.61995*100)</f>
        <v>0.0119139654380742</v>
      </c>
      <c r="E29" s="43">
        <f>IF(205.71367="","-",205.71367/2362156.7372*100)</f>
        <v>0.008708722277415183</v>
      </c>
      <c r="F29" s="1"/>
      <c r="G29" s="1"/>
    </row>
    <row r="30" spans="1:7" ht="15.75">
      <c r="A30" s="32" t="s">
        <v>132</v>
      </c>
      <c r="B30" s="43">
        <f>IF(158215.41143="","-",158215.41143)</f>
        <v>158215.41143</v>
      </c>
      <c r="C30" s="53">
        <v>120.13</v>
      </c>
      <c r="D30" s="43">
        <f>IF(131706.39752="","-",131706.39752/2276206.61995*100)</f>
        <v>5.786223287712479</v>
      </c>
      <c r="E30" s="43">
        <f>IF(158215.41143="","-",158215.41143/2362156.7372*100)</f>
        <v>6.697921816040956</v>
      </c>
      <c r="F30" s="14"/>
      <c r="G30" s="14"/>
    </row>
    <row r="31" spans="1:5" ht="15.75">
      <c r="A31" s="32" t="s">
        <v>133</v>
      </c>
      <c r="B31" s="43">
        <f>IF(1863.81074="","-",1863.81074)</f>
        <v>1863.81074</v>
      </c>
      <c r="C31" s="53" t="s">
        <v>280</v>
      </c>
      <c r="D31" s="43">
        <f>IF(662.89755="","-",662.89755/2276206.61995*100)</f>
        <v>0.029122907568670607</v>
      </c>
      <c r="E31" s="43">
        <f>IF(1863.81074="","-",1863.81074/2362156.7372*100)</f>
        <v>0.07890292420685352</v>
      </c>
    </row>
    <row r="32" spans="1:5" ht="15.75">
      <c r="A32" s="28" t="s">
        <v>296</v>
      </c>
      <c r="B32" s="41">
        <f>IF(598069.10084="","-",598069.10084)</f>
        <v>598069.10084</v>
      </c>
      <c r="C32" s="41">
        <f>IF(592839.11598="","-",598069.10084/592839.11598*100)</f>
        <v>100.8821929456113</v>
      </c>
      <c r="D32" s="41">
        <f>IF(592839.11598="","-",592839.11598/2276206.61995*100)</f>
        <v>26.045048405712063</v>
      </c>
      <c r="E32" s="41">
        <f>IF(598069.10084="","-",598069.10084/2362156.7372*100)</f>
        <v>25.31877294260014</v>
      </c>
    </row>
    <row r="33" spans="1:5" ht="15.75">
      <c r="A33" s="32" t="s">
        <v>281</v>
      </c>
      <c r="B33" s="41"/>
      <c r="C33" s="41"/>
      <c r="D33" s="41"/>
      <c r="E33" s="41"/>
    </row>
    <row r="34" spans="1:5" ht="15.75">
      <c r="A34" s="32" t="s">
        <v>127</v>
      </c>
      <c r="B34" s="43">
        <f>IF(3266.81147="","-",3266.81147)</f>
        <v>3266.81147</v>
      </c>
      <c r="C34" s="53">
        <v>23.56</v>
      </c>
      <c r="D34" s="43">
        <f>IF(13863.34083="","-",13863.34083/2276206.61995*100)</f>
        <v>0.6090545870701547</v>
      </c>
      <c r="E34" s="43">
        <f>IF(3266.81147="","-",3266.81147/2362156.7372*100)</f>
        <v>0.1382978283597023</v>
      </c>
    </row>
    <row r="35" spans="1:5" ht="15.75">
      <c r="A35" s="32" t="s">
        <v>128</v>
      </c>
      <c r="B35" s="43">
        <f>IF(293.62717="","-",293.62717)</f>
        <v>293.62717</v>
      </c>
      <c r="C35" s="53">
        <v>51.43</v>
      </c>
      <c r="D35" s="43">
        <f>IF(570.9352="","-",570.9352/2276206.61995*100)</f>
        <v>0.025082749298591417</v>
      </c>
      <c r="E35" s="43">
        <f>IF(293.62717="","-",293.62717/2362156.7372*100)</f>
        <v>0.01243046938316435</v>
      </c>
    </row>
    <row r="36" spans="1:5" ht="15.75">
      <c r="A36" s="32" t="s">
        <v>129</v>
      </c>
      <c r="B36" s="43">
        <f>IF(555209.29981="","-",555209.29981)</f>
        <v>555209.29981</v>
      </c>
      <c r="C36" s="53">
        <v>103.09</v>
      </c>
      <c r="D36" s="43">
        <f>IF(538572.39808="","-",538572.39808/2276206.61995*100)</f>
        <v>23.66096264546627</v>
      </c>
      <c r="E36" s="43">
        <f>IF(555209.29981="","-",555209.29981/2362156.7372*100)</f>
        <v>23.504337839500078</v>
      </c>
    </row>
    <row r="37" spans="1:5" ht="15.75">
      <c r="A37" s="32" t="s">
        <v>130</v>
      </c>
      <c r="B37" s="43">
        <f>IF(36090.6284="","-",36090.6284)</f>
        <v>36090.6284</v>
      </c>
      <c r="C37" s="53">
        <v>101.23</v>
      </c>
      <c r="D37" s="43">
        <f>IF(35652.36042="","-",35652.36042/2276206.61995*100)</f>
        <v>1.5663059806399802</v>
      </c>
      <c r="E37" s="43">
        <f>IF(36090.6284="","-",36090.6284/2362156.7372*100)</f>
        <v>1.527867640264223</v>
      </c>
    </row>
    <row r="38" spans="1:5" ht="15.75">
      <c r="A38" s="32" t="s">
        <v>131</v>
      </c>
      <c r="B38" s="43">
        <f>IF(2220.77249="","-",2220.77249)</f>
        <v>2220.77249</v>
      </c>
      <c r="C38" s="53">
        <v>67.84</v>
      </c>
      <c r="D38" s="43">
        <f>IF(3273.68695="","-",3273.68695/2276206.61995*100)</f>
        <v>0.14382204679080982</v>
      </c>
      <c r="E38" s="43">
        <f>IF(2220.77249="","-",2220.77249/2362156.7372*100)</f>
        <v>0.0940146119445236</v>
      </c>
    </row>
    <row r="39" spans="1:5" ht="15.75">
      <c r="A39" s="33" t="s">
        <v>133</v>
      </c>
      <c r="B39" s="45">
        <f>IF(987.9615="","-",987.9615)</f>
        <v>987.9615</v>
      </c>
      <c r="C39" s="57">
        <v>109</v>
      </c>
      <c r="D39" s="45">
        <f>IF(906.3945="","-",906.3945/2276206.61995*100)</f>
        <v>0.0398203964462554</v>
      </c>
      <c r="E39" s="45">
        <f>IF(987.9615="","-",987.9615/2362156.7372*100)</f>
        <v>0.041824553148453965</v>
      </c>
    </row>
    <row r="40" ht="15.75">
      <c r="A40" s="37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6"/>
  <sheetViews>
    <sheetView zoomScale="96" zoomScaleNormal="96" zoomScalePageLayoutView="0" workbookViewId="0" topLeftCell="A1">
      <selection activeCell="P16" sqref="P16"/>
    </sheetView>
  </sheetViews>
  <sheetFormatPr defaultColWidth="9.00390625" defaultRowHeight="15.75"/>
  <cols>
    <col min="1" max="1" width="28.50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375" style="0" customWidth="1"/>
    <col min="7" max="7" width="10.25390625" style="0" customWidth="1"/>
  </cols>
  <sheetData>
    <row r="1" spans="1:7" ht="15.75">
      <c r="A1" s="76" t="s">
        <v>139</v>
      </c>
      <c r="B1" s="76"/>
      <c r="C1" s="76"/>
      <c r="D1" s="76"/>
      <c r="E1" s="76"/>
      <c r="F1" s="76"/>
      <c r="G1" s="76"/>
    </row>
    <row r="2" spans="1:7" ht="15.75">
      <c r="A2" s="76" t="s">
        <v>23</v>
      </c>
      <c r="B2" s="76"/>
      <c r="C2" s="76"/>
      <c r="D2" s="76"/>
      <c r="E2" s="76"/>
      <c r="F2" s="76"/>
      <c r="G2" s="76"/>
    </row>
    <row r="3" ht="15.75">
      <c r="A3" s="6"/>
    </row>
    <row r="4" spans="1:7" ht="57" customHeight="1">
      <c r="A4" s="84"/>
      <c r="B4" s="87" t="s">
        <v>289</v>
      </c>
      <c r="C4" s="82"/>
      <c r="D4" s="87" t="s">
        <v>0</v>
      </c>
      <c r="E4" s="82"/>
      <c r="F4" s="79" t="s">
        <v>117</v>
      </c>
      <c r="G4" s="88"/>
    </row>
    <row r="5" spans="1:7" ht="26.25" customHeight="1">
      <c r="A5" s="85"/>
      <c r="B5" s="89" t="s">
        <v>123</v>
      </c>
      <c r="C5" s="77" t="s">
        <v>283</v>
      </c>
      <c r="D5" s="91" t="s">
        <v>284</v>
      </c>
      <c r="E5" s="91"/>
      <c r="F5" s="91" t="s">
        <v>284</v>
      </c>
      <c r="G5" s="87"/>
    </row>
    <row r="6" spans="1:7" ht="21" customHeight="1">
      <c r="A6" s="86"/>
      <c r="B6" s="90"/>
      <c r="C6" s="78"/>
      <c r="D6" s="26">
        <v>2018</v>
      </c>
      <c r="E6" s="26">
        <v>2019</v>
      </c>
      <c r="F6" s="26" t="s">
        <v>122</v>
      </c>
      <c r="G6" s="22" t="s">
        <v>145</v>
      </c>
    </row>
    <row r="7" spans="1:7" ht="16.5" customHeight="1">
      <c r="A7" s="46" t="s">
        <v>109</v>
      </c>
      <c r="B7" s="48">
        <f>IF(1159333.75195="","-",1159333.75195)</f>
        <v>1159333.75195</v>
      </c>
      <c r="C7" s="48">
        <f>IF(1100674.36139="","-",1159333.75195/1100674.36139*100)</f>
        <v>105.32940464661331</v>
      </c>
      <c r="D7" s="48">
        <v>100</v>
      </c>
      <c r="E7" s="48">
        <v>100</v>
      </c>
      <c r="F7" s="48">
        <f>IF(857110.78655="","-",(1100674.36139-857110.78655)/857110.78655*100)</f>
        <v>28.416813632737036</v>
      </c>
      <c r="G7" s="48">
        <f>IF(1100674.36139="","-",(1159333.75195-1100674.36139)/1100674.36139*100)</f>
        <v>5.329404646613304</v>
      </c>
    </row>
    <row r="8" spans="1:7" ht="16.5" customHeight="1">
      <c r="A8" s="55" t="s">
        <v>162</v>
      </c>
      <c r="B8" s="58"/>
      <c r="C8" s="58"/>
      <c r="D8" s="58"/>
      <c r="E8" s="58"/>
      <c r="F8" s="58"/>
      <c r="G8" s="58"/>
    </row>
    <row r="9" spans="1:7" ht="13.5" customHeight="1">
      <c r="A9" s="34" t="s">
        <v>185</v>
      </c>
      <c r="B9" s="49">
        <f>IF(251557.14206="","-",251557.14206)</f>
        <v>251557.14206</v>
      </c>
      <c r="C9" s="49">
        <f>IF(239508.16038="","-",251557.14206/239508.16038*100)</f>
        <v>105.0307186447774</v>
      </c>
      <c r="D9" s="49">
        <f>IF(239508.16038="","-",239508.16038/1100674.36139*100)</f>
        <v>21.760128951993956</v>
      </c>
      <c r="E9" s="49">
        <f>IF(251557.14206="","-",251557.14206/1159333.75195*100)</f>
        <v>21.698423050038937</v>
      </c>
      <c r="F9" s="49">
        <f>IF(857110.78655="","-",(239508.16038-182675.9743)/857110.78655*100)</f>
        <v>6.630669800430128</v>
      </c>
      <c r="G9" s="49">
        <f>IF(1100674.36139="","-",(251557.14206-239508.16038)/1100674.36139*100)</f>
        <v>1.094690864315566</v>
      </c>
    </row>
    <row r="10" spans="1:10" ht="13.5" customHeight="1">
      <c r="A10" s="42" t="s">
        <v>24</v>
      </c>
      <c r="B10" s="50">
        <f>IF(4026.12612="","-",4026.12612)</f>
        <v>4026.12612</v>
      </c>
      <c r="C10" s="50">
        <f>IF(OR(5882.10325="",4026.12612=""),"-",4026.12612/5882.10325*100)</f>
        <v>68.44704944613136</v>
      </c>
      <c r="D10" s="50">
        <f>IF(5882.10325="","-",5882.10325/1100674.36139*100)</f>
        <v>0.5344090365266358</v>
      </c>
      <c r="E10" s="50">
        <f>IF(4026.12612="","-",4026.12612/1159333.75195*100)</f>
        <v>0.3472792984098025</v>
      </c>
      <c r="F10" s="50">
        <f>IF(OR(857110.78655="",2418.99934="",5882.10325=""),"-",(5882.10325-2418.99934)/857110.78655*100)</f>
        <v>0.40404390708224724</v>
      </c>
      <c r="G10" s="50">
        <f>IF(OR(1100674.36139="",4026.12612="",5882.10325=""),"-",(4026.12612-5882.10325)/1100674.36139*100)</f>
        <v>-0.16862181905065518</v>
      </c>
      <c r="J10" s="19"/>
    </row>
    <row r="11" spans="1:10" s="9" customFormat="1" ht="13.5" customHeight="1">
      <c r="A11" s="42" t="s">
        <v>186</v>
      </c>
      <c r="B11" s="50">
        <f>IF(2282.29333="","-",2282.29333)</f>
        <v>2282.29333</v>
      </c>
      <c r="C11" s="50">
        <f>IF(OR(2258.89698="",2282.29333=""),"-",2282.29333/2258.89698*100)</f>
        <v>101.03574223203398</v>
      </c>
      <c r="D11" s="50">
        <f>IF(2258.89698="","-",2258.89698/1100674.36139*100)</f>
        <v>0.2052284544129223</v>
      </c>
      <c r="E11" s="50">
        <f>IF(2282.29333="","-",2282.29333/1159333.75195*100)</f>
        <v>0.1968624933209424</v>
      </c>
      <c r="F11" s="50">
        <f>IF(OR(857110.78655="",3321.04138="",2258.89698=""),"-",(2258.89698-3321.04138)/857110.78655*100)</f>
        <v>-0.12392148327467575</v>
      </c>
      <c r="G11" s="50">
        <f>IF(OR(1100674.36139="",2282.29333="",2258.89698=""),"-",(2282.29333-2258.89698)/1100674.36139*100)</f>
        <v>0.0021256377745052244</v>
      </c>
      <c r="J11" s="19"/>
    </row>
    <row r="12" spans="1:10" s="9" customFormat="1" ht="14.25" customHeight="1">
      <c r="A12" s="42" t="s">
        <v>187</v>
      </c>
      <c r="B12" s="50">
        <f>IF(7027.49399="","-",7027.49399)</f>
        <v>7027.49399</v>
      </c>
      <c r="C12" s="50">
        <f>IF(OR(8805.54175="",7027.49399=""),"-",7027.49399/8805.54175*100)</f>
        <v>79.80762784981401</v>
      </c>
      <c r="D12" s="50">
        <f>IF(8805.54175="","-",8805.54175/1100674.36139*100)</f>
        <v>0.8000133426274975</v>
      </c>
      <c r="E12" s="50">
        <f>IF(7027.49399="","-",7027.49399/1159333.75195*100)</f>
        <v>0.606166600271902</v>
      </c>
      <c r="F12" s="50">
        <f>IF(OR(857110.78655="",9795.47135="",8805.54175=""),"-",(8805.54175-9795.47135)/857110.78655*100)</f>
        <v>-0.11549610803343348</v>
      </c>
      <c r="G12" s="50">
        <f>IF(OR(1100674.36139="",7027.49399="",8805.54175=""),"-",(7027.49399-8805.54175)/1100674.36139*100)</f>
        <v>-0.16154167139448686</v>
      </c>
      <c r="J12" s="19"/>
    </row>
    <row r="13" spans="1:10" s="9" customFormat="1" ht="15.75">
      <c r="A13" s="42" t="s">
        <v>188</v>
      </c>
      <c r="B13" s="50">
        <f>IF(13.59376="","-",13.59376)</f>
        <v>13.59376</v>
      </c>
      <c r="C13" s="50" t="s">
        <v>115</v>
      </c>
      <c r="D13" s="50">
        <f>IF(8.5687="","-",8.5687/1100674.36139*100)</f>
        <v>0.0007784954661048806</v>
      </c>
      <c r="E13" s="50">
        <f>IF(13.59376="","-",13.59376/1159333.75195*100)</f>
        <v>0.0011725493178418457</v>
      </c>
      <c r="F13" s="50">
        <f>IF(OR(857110.78655="",6.94368="",8.5687=""),"-",(8.5687-6.94368)/857110.78655*100)</f>
        <v>0.00018959276041093245</v>
      </c>
      <c r="G13" s="50">
        <f>IF(OR(1100674.36139="",13.59376="",8.5687=""),"-",(13.59376-8.5687)/1100674.36139*100)</f>
        <v>0.00045654374956586083</v>
      </c>
      <c r="J13" s="19"/>
    </row>
    <row r="14" spans="1:10" s="9" customFormat="1" ht="15.75">
      <c r="A14" s="42" t="s">
        <v>189</v>
      </c>
      <c r="B14" s="50">
        <f>IF(99954.94924="","-",99954.94924)</f>
        <v>99954.94924</v>
      </c>
      <c r="C14" s="50">
        <f>IF(OR(83774.63915="",99954.94924=""),"-",99954.94924/83774.63915*100)</f>
        <v>119.314091059263</v>
      </c>
      <c r="D14" s="50">
        <f>IF(83774.63915="","-",83774.63915/1100674.36139*100)</f>
        <v>7.611210189742604</v>
      </c>
      <c r="E14" s="50">
        <f>IF(99954.94924="","-",99954.94924/1159333.75195*100)</f>
        <v>8.621757890846853</v>
      </c>
      <c r="F14" s="50">
        <f>IF(OR(857110.78655="",56792.26219="",83774.63915=""),"-",(83774.63915-56792.26219)/857110.78655*100)</f>
        <v>3.148061765575035</v>
      </c>
      <c r="G14" s="50">
        <f>IF(OR(1100674.36139="",99954.94924="",83774.63915=""),"-",(99954.94924-83774.63915)/1100674.36139*100)</f>
        <v>1.4700360667587913</v>
      </c>
      <c r="J14" s="19"/>
    </row>
    <row r="15" spans="1:10" s="9" customFormat="1" ht="15" customHeight="1">
      <c r="A15" s="42" t="s">
        <v>190</v>
      </c>
      <c r="B15" s="50">
        <f>IF(117741.89546="","-",117741.89546)</f>
        <v>117741.89546</v>
      </c>
      <c r="C15" s="50">
        <f>IF(OR(113132.83268="",117741.89546=""),"-",117741.89546/113132.83268*100)</f>
        <v>104.07402755753219</v>
      </c>
      <c r="D15" s="50">
        <f>IF(113132.83268="","-",113132.83268/1100674.36139*100)</f>
        <v>10.278501675748023</v>
      </c>
      <c r="E15" s="50">
        <f>IF(117741.89546="","-",117741.89546/1159333.75195*100)</f>
        <v>10.155996516271356</v>
      </c>
      <c r="F15" s="50">
        <f>IF(OR(857110.78655="",81841.142="",113132.83268=""),"-",(113132.83268-81841.142)/857110.78655*100)</f>
        <v>3.6508338444734516</v>
      </c>
      <c r="G15" s="50">
        <f>IF(OR(1100674.36139="",117741.89546="",113132.83268=""),"-",(117741.89546-113132.83268)/1100674.36139*100)</f>
        <v>0.4187489907713833</v>
      </c>
      <c r="J15" s="19"/>
    </row>
    <row r="16" spans="1:10" s="9" customFormat="1" ht="15.75">
      <c r="A16" s="42" t="s">
        <v>25</v>
      </c>
      <c r="B16" s="50">
        <f>IF(4820.59831="","-",4820.59831)</f>
        <v>4820.59831</v>
      </c>
      <c r="C16" s="50">
        <f>IF(OR(9388.68904="",4820.59831=""),"-",4820.59831/9388.68904*100)</f>
        <v>51.34474354685838</v>
      </c>
      <c r="D16" s="50">
        <f>IF(9388.68904="","-",9388.68904/1100674.36139*100)</f>
        <v>0.852994252373007</v>
      </c>
      <c r="E16" s="50">
        <f>IF(4820.59831="","-",4820.59831/1159333.75195*100)</f>
        <v>0.41580763968026907</v>
      </c>
      <c r="F16" s="50">
        <f>IF(OR(857110.78655="",17572.57313="",9388.68904=""),"-",(9388.68904-17572.57313)/857110.78655*100)</f>
        <v>-0.9548222024997921</v>
      </c>
      <c r="G16" s="50">
        <f>IF(OR(1100674.36139="",4820.59831="",9388.68904=""),"-",(4820.59831-9388.68904)/1100674.36139*100)</f>
        <v>-0.4150265410226445</v>
      </c>
      <c r="J16" s="19"/>
    </row>
    <row r="17" spans="1:10" s="9" customFormat="1" ht="25.5">
      <c r="A17" s="42" t="s">
        <v>191</v>
      </c>
      <c r="B17" s="50">
        <f>IF(4128.01604="","-",4128.01604)</f>
        <v>4128.01604</v>
      </c>
      <c r="C17" s="50">
        <f>IF(OR(4561.49899="",4128.01604=""),"-",4128.01604/4561.49899*100)</f>
        <v>90.49691886482256</v>
      </c>
      <c r="D17" s="50">
        <f>IF(4561.49899="","-",4561.49899/1100674.36139*100)</f>
        <v>0.41442765907978957</v>
      </c>
      <c r="E17" s="50">
        <f>IF(4128.01604="","-",4128.01604/1159333.75195*100)</f>
        <v>0.3560679599862141</v>
      </c>
      <c r="F17" s="50">
        <f>IF(OR(857110.78655="",3659.15009="",4561.49899=""),"-",(4561.49899-3659.15009)/857110.78655*100)</f>
        <v>0.10527797738167433</v>
      </c>
      <c r="G17" s="50">
        <f>IF(OR(1100674.36139="",4128.01604="",4561.49899=""),"-",(4128.01604-4561.49899)/1100674.36139*100)</f>
        <v>-0.039383396688968966</v>
      </c>
      <c r="J17" s="19"/>
    </row>
    <row r="18" spans="1:10" s="9" customFormat="1" ht="25.5">
      <c r="A18" s="42" t="s">
        <v>26</v>
      </c>
      <c r="B18" s="50">
        <f>IF(10393.8014="","-",10393.8014)</f>
        <v>10393.8014</v>
      </c>
      <c r="C18" s="50">
        <f>IF(OR(10721.0219="",10393.8014=""),"-",10393.8014/10721.0219*100)</f>
        <v>96.94786091240053</v>
      </c>
      <c r="D18" s="50">
        <f>IF(10721.0219="","-",10721.0219/1100674.36139*100)</f>
        <v>0.974041212921579</v>
      </c>
      <c r="E18" s="50">
        <f>IF(10393.8014="","-",10393.8014/1159333.75195*100)</f>
        <v>0.8965322869723772</v>
      </c>
      <c r="F18" s="50">
        <f>IF(OR(857110.78655="",6141.95832="",10721.0219=""),"-",(10721.0219-6141.95832)/857110.78655*100)</f>
        <v>0.5342440734448601</v>
      </c>
      <c r="G18" s="50">
        <f>IF(OR(1100674.36139="",10393.8014="",10721.0219=""),"-",(10393.8014-10721.0219)/1100674.36139*100)</f>
        <v>-0.0297290925889075</v>
      </c>
      <c r="J18" s="19"/>
    </row>
    <row r="19" spans="1:10" s="9" customFormat="1" ht="15.75">
      <c r="A19" s="42" t="s">
        <v>192</v>
      </c>
      <c r="B19" s="50">
        <f>IF(1168.37441="","-",1168.37441)</f>
        <v>1168.37441</v>
      </c>
      <c r="C19" s="50">
        <f>IF(OR(974.36794="",1168.37441=""),"-",1168.37441/974.36794*100)</f>
        <v>119.91100712940124</v>
      </c>
      <c r="D19" s="50">
        <f>IF(974.36794="","-",974.36794/1100674.36139*100)</f>
        <v>0.08852463309579661</v>
      </c>
      <c r="E19" s="50">
        <f>IF(1168.37441="","-",1168.37441/1159333.75195*100)</f>
        <v>0.10077981496137704</v>
      </c>
      <c r="F19" s="50">
        <f>IF(OR(857110.78655="",1126.43282="",974.36794=""),"-",(974.36794-1126.43282)/857110.78655*100)</f>
        <v>-0.017741566479647756</v>
      </c>
      <c r="G19" s="50">
        <f>IF(OR(1100674.36139="",1168.37441="",974.36794=""),"-",(1168.37441-974.36794)/1100674.36139*100)</f>
        <v>0.01762614600698035</v>
      </c>
      <c r="J19" s="19"/>
    </row>
    <row r="20" spans="1:7" s="9" customFormat="1" ht="15.75">
      <c r="A20" s="34" t="s">
        <v>193</v>
      </c>
      <c r="B20" s="49">
        <f>IF(84491.32106="","-",84491.32106)</f>
        <v>84491.32106</v>
      </c>
      <c r="C20" s="49">
        <f>IF(89069.56505="","-",84491.32106/89069.56505*100)</f>
        <v>94.85992326623582</v>
      </c>
      <c r="D20" s="49">
        <f>IF(89069.56505="","-",89069.56505/1100674.36139*100)</f>
        <v>8.092272171899909</v>
      </c>
      <c r="E20" s="49">
        <f>IF(84491.32106="","-",84491.32106/1159333.75195*100)</f>
        <v>7.287920404101541</v>
      </c>
      <c r="F20" s="49">
        <f>IF(857110.78655="","-",(89069.56505-67777.52988)/857110.78655*100)</f>
        <v>2.4841637165370014</v>
      </c>
      <c r="G20" s="49">
        <f>IF(1100674.36139="","-",(84491.32106-89069.56505)/1100674.36139*100)</f>
        <v>-0.41594899914070055</v>
      </c>
    </row>
    <row r="21" spans="1:7" s="9" customFormat="1" ht="15.75">
      <c r="A21" s="42" t="s">
        <v>254</v>
      </c>
      <c r="B21" s="50">
        <f>IF(74228.09729="","-",74228.09729)</f>
        <v>74228.09729</v>
      </c>
      <c r="C21" s="50">
        <f>IF(OR(80118.35783="",74228.09729=""),"-",74228.09729/80118.35783*100)</f>
        <v>92.64805133363029</v>
      </c>
      <c r="D21" s="50">
        <f>IF(80118.35783="","-",80118.35783/1100674.36139*100)</f>
        <v>7.2790246271223715</v>
      </c>
      <c r="E21" s="50">
        <f>IF(74228.09729="","-",74228.09729/1159333.75195*100)</f>
        <v>6.402651278387117</v>
      </c>
      <c r="F21" s="50">
        <f>IF(OR(857110.78655="",62537.47672="",80118.35783=""),"-",(80118.35783-62537.47672)/857110.78655*100)</f>
        <v>2.05117954246798</v>
      </c>
      <c r="G21" s="50">
        <f>IF(OR(1100674.36139="",74228.09729="",80118.35783=""),"-",(74228.09729-80118.35783)/1100674.36139*100)</f>
        <v>-0.5351501539984452</v>
      </c>
    </row>
    <row r="22" spans="1:7" s="9" customFormat="1" ht="15.75">
      <c r="A22" s="42" t="s">
        <v>194</v>
      </c>
      <c r="B22" s="50">
        <f>IF(10263.22377="","-",10263.22377)</f>
        <v>10263.22377</v>
      </c>
      <c r="C22" s="50">
        <f>IF(OR(8951.20722="",10263.22377=""),"-",10263.22377/8951.20722*100)</f>
        <v>114.6574257276551</v>
      </c>
      <c r="D22" s="50">
        <f>IF(8951.20722="","-",8951.20722/1100674.36139*100)</f>
        <v>0.8132475447775362</v>
      </c>
      <c r="E22" s="50">
        <f>IF(10263.22377="","-",10263.22377/1159333.75195*100)</f>
        <v>0.8852691257144246</v>
      </c>
      <c r="F22" s="50">
        <f>IF(OR(857110.78655="",5240.05316="",8951.20722=""),"-",(8951.20722-5240.05316)/857110.78655*100)</f>
        <v>0.4329841740690202</v>
      </c>
      <c r="G22" s="50">
        <f>IF(OR(1100674.36139="",10263.22377="",8951.20722=""),"-",(10263.22377-8951.20722)/1100674.36139*100)</f>
        <v>0.11920115485774598</v>
      </c>
    </row>
    <row r="23" spans="1:7" s="9" customFormat="1" ht="25.5">
      <c r="A23" s="34" t="s">
        <v>27</v>
      </c>
      <c r="B23" s="49">
        <f>IF(136126.54842="","-",136126.54842)</f>
        <v>136126.54842</v>
      </c>
      <c r="C23" s="49">
        <f>IF(124371.3281="","-",136126.54842/124371.3281*100)</f>
        <v>109.4517124642653</v>
      </c>
      <c r="D23" s="49">
        <f>IF(124371.3281="","-",124371.3281/1100674.36139*100)</f>
        <v>11.299557113598627</v>
      </c>
      <c r="E23" s="49">
        <f>IF(136126.54842="","-",136126.54842/1159333.75195*100)</f>
        <v>11.741791196110272</v>
      </c>
      <c r="F23" s="49">
        <f>IF(857110.78655="","-",(124371.3281-101186.13939)/857110.78655*100)</f>
        <v>2.705039893771945</v>
      </c>
      <c r="G23" s="49">
        <f>IF(1100674.36139="","-",(136126.54842-124371.3281)/1100674.36139*100)</f>
        <v>1.0680016481127792</v>
      </c>
    </row>
    <row r="24" spans="1:8" s="9" customFormat="1" ht="15.75">
      <c r="A24" s="42" t="s">
        <v>195</v>
      </c>
      <c r="B24" s="50">
        <f>IF(699.57073="","-",699.57073)</f>
        <v>699.57073</v>
      </c>
      <c r="C24" s="50">
        <f>IF(OR(1594.0132="",699.57073=""),"-",699.57073/1594.0132*100)</f>
        <v>43.88738625251033</v>
      </c>
      <c r="D24" s="50">
        <f>IF(1594.0132="","-",1594.0132/1100674.36139*100)</f>
        <v>0.1448215072427944</v>
      </c>
      <c r="E24" s="50">
        <f>IF(699.57073="","-",699.57073/1159333.75195*100)</f>
        <v>0.06034247936138508</v>
      </c>
      <c r="F24" s="50">
        <f>IF(OR(857110.78655="",1792.81104="",1594.0132=""),"-",(1594.0132-1792.81104)/857110.78655*100)</f>
        <v>-0.023193949150983294</v>
      </c>
      <c r="G24" s="50">
        <f>IF(OR(1100674.36139="",699.57073="",1594.0132=""),"-",(699.57073-1594.0132)/1100674.36139*100)</f>
        <v>-0.08126313298244202</v>
      </c>
      <c r="H24" s="7"/>
    </row>
    <row r="25" spans="1:8" s="9" customFormat="1" ht="15.75">
      <c r="A25" s="42" t="s">
        <v>228</v>
      </c>
      <c r="B25" s="50">
        <f>IF(120769.64261="","-",120769.64261)</f>
        <v>120769.64261</v>
      </c>
      <c r="C25" s="50">
        <f>IF(OR(107996.19004="",120769.64261=""),"-",120769.64261/107996.19004*100)</f>
        <v>111.82768814832164</v>
      </c>
      <c r="D25" s="50">
        <f>IF(107996.19004="","-",107996.19004/1100674.36139*100)</f>
        <v>9.811820264770745</v>
      </c>
      <c r="E25" s="50">
        <f>IF(120769.64261="","-",120769.64261/1159333.75195*100)</f>
        <v>10.417159200865617</v>
      </c>
      <c r="F25" s="50">
        <f>IF(OR(857110.78655="",86555.53214="",107996.19004=""),"-",(107996.19004-86555.53214)/857110.78655*100)</f>
        <v>2.5015036838238713</v>
      </c>
      <c r="G25" s="50">
        <f>IF(OR(1100674.36139="",120769.64261="",107996.19004=""),"-",(120769.64261-107996.19004)/1100674.36139*100)</f>
        <v>1.1605115025909103</v>
      </c>
      <c r="H25" s="8"/>
    </row>
    <row r="26" spans="1:8" s="9" customFormat="1" ht="15.75">
      <c r="A26" s="42" t="s">
        <v>196</v>
      </c>
      <c r="B26" s="50">
        <f>IF(286.98806="","-",286.98806)</f>
        <v>286.98806</v>
      </c>
      <c r="C26" s="50">
        <f>IF(OR(280.64164="",286.98806=""),"-",286.98806/280.64164*100)</f>
        <v>102.26139642000382</v>
      </c>
      <c r="D26" s="50">
        <f>IF(280.64164="","-",280.64164/1100674.36139*100)</f>
        <v>0.025497245129393973</v>
      </c>
      <c r="E26" s="50">
        <f>IF(286.98806="","-",286.98806/1159333.75195*100)</f>
        <v>0.024754567829780333</v>
      </c>
      <c r="F26" s="50">
        <f>IF(OR(857110.78655="",184.22443="",280.64164=""),"-",(280.64164-184.22443)/857110.78655*100)</f>
        <v>0.01124909539268474</v>
      </c>
      <c r="G26" s="50">
        <f>IF(OR(1100674.36139="",286.98806="",280.64164=""),"-",(286.98806-280.64164)/1100674.36139*100)</f>
        <v>0.0005765937885557151</v>
      </c>
      <c r="H26" s="8"/>
    </row>
    <row r="27" spans="1:8" s="9" customFormat="1" ht="15.75">
      <c r="A27" s="42" t="s">
        <v>255</v>
      </c>
      <c r="B27" s="50">
        <f>IF(1065.97357="","-",1065.97357)</f>
        <v>1065.97357</v>
      </c>
      <c r="C27" s="50">
        <f>IF(OR(1335.43117="",1065.97357=""),"-",1065.97357/1335.43117*100)</f>
        <v>79.82242693945807</v>
      </c>
      <c r="D27" s="50">
        <f>IF(1335.43117="","-",1335.43117/1100674.36139*100)</f>
        <v>0.12132845252373595</v>
      </c>
      <c r="E27" s="50">
        <f>IF(1065.97357="","-",1065.97357/1159333.75195*100)</f>
        <v>0.09194708324561689</v>
      </c>
      <c r="F27" s="50">
        <f>IF(OR(857110.78655="",1043.93974="",1335.43117=""),"-",(1335.43117-1043.93974)/857110.78655*100)</f>
        <v>0.03400860595551446</v>
      </c>
      <c r="G27" s="50">
        <f>IF(OR(1100674.36139="",1065.97357="",1335.43117=""),"-",(1065.97357-1335.43117)/1100674.36139*100)</f>
        <v>-0.024481137151201756</v>
      </c>
      <c r="H27" s="8"/>
    </row>
    <row r="28" spans="1:8" s="9" customFormat="1" ht="38.25">
      <c r="A28" s="42" t="s">
        <v>230</v>
      </c>
      <c r="B28" s="50">
        <f>IF(142.42015="","-",142.42015)</f>
        <v>142.42015</v>
      </c>
      <c r="C28" s="50">
        <f>IF(OR(169.32913="",142.42015=""),"-",142.42015/169.32913*100)</f>
        <v>84.10847560605787</v>
      </c>
      <c r="D28" s="50">
        <f>IF(169.32913="","-",169.32913/1100674.36139*100)</f>
        <v>0.015384125944948937</v>
      </c>
      <c r="E28" s="50">
        <f>IF(142.42015="","-",142.42015/1159333.75195*100)</f>
        <v>0.012284654851154746</v>
      </c>
      <c r="F28" s="50">
        <f>IF(OR(857110.78655="",125.89759="",169.32913=""),"-",(169.32913-125.89759)/857110.78655*100)</f>
        <v>0.005067202592889828</v>
      </c>
      <c r="G28" s="50">
        <f>IF(OR(1100674.36139="",142.42015="",169.32913=""),"-",(142.42015-169.32913)/1100674.36139*100)</f>
        <v>-0.0024447721273363407</v>
      </c>
      <c r="H28" s="8"/>
    </row>
    <row r="29" spans="1:8" s="9" customFormat="1" ht="38.25">
      <c r="A29" s="42" t="s">
        <v>198</v>
      </c>
      <c r="B29" s="50">
        <f>IF(4018.66374="","-",4018.66374)</f>
        <v>4018.66374</v>
      </c>
      <c r="C29" s="50">
        <f>IF(OR(4533.35082="",4018.66374=""),"-",4018.66374/4533.35082*100)</f>
        <v>88.64665232328083</v>
      </c>
      <c r="D29" s="50">
        <f>IF(4533.35082="","-",4533.35082/1100674.36139*100)</f>
        <v>0.4118703023367422</v>
      </c>
      <c r="E29" s="50">
        <f>IF(4018.66374="","-",4018.66374/1159333.75195*100)</f>
        <v>0.3466356200913331</v>
      </c>
      <c r="F29" s="50">
        <f>IF(OR(857110.78655="",3828.37672="",4533.35082=""),"-",(4533.35082-3828.37672)/857110.78655*100)</f>
        <v>0.08225005577605976</v>
      </c>
      <c r="G29" s="50">
        <f>IF(OR(1100674.36139="",4018.66374="",4533.35082=""),"-",(4018.66374-4533.35082)/1100674.36139*100)</f>
        <v>-0.04676106740144477</v>
      </c>
      <c r="H29" s="8"/>
    </row>
    <row r="30" spans="1:8" s="9" customFormat="1" ht="15.75">
      <c r="A30" s="42" t="s">
        <v>199</v>
      </c>
      <c r="B30" s="50">
        <f>IF(7134.51295="","-",7134.51295)</f>
        <v>7134.51295</v>
      </c>
      <c r="C30" s="50">
        <f>IF(OR(6482.90494="",7134.51295=""),"-",7134.51295/6482.90494*100)</f>
        <v>110.0511732939277</v>
      </c>
      <c r="D30" s="50">
        <f>IF(6482.90494="","-",6482.90494/1100674.36139*100)</f>
        <v>0.5889939084083856</v>
      </c>
      <c r="E30" s="50">
        <f>IF(7134.51295="","-",7134.51295/1159333.75195*100)</f>
        <v>0.6153976745695314</v>
      </c>
      <c r="F30" s="50">
        <f>IF(OR(857110.78655="",6554.01653="",6482.90494=""),"-",(6482.90494-6554.01653)/857110.78655*100)</f>
        <v>-0.008296662592036017</v>
      </c>
      <c r="G30" s="50">
        <f>IF(OR(1100674.36139="",7134.51295="",6482.90494=""),"-",(7134.51295-6482.90494)/1100674.36139*100)</f>
        <v>0.05920079842480466</v>
      </c>
      <c r="H30" s="8"/>
    </row>
    <row r="31" spans="1:8" s="9" customFormat="1" ht="27.75" customHeight="1">
      <c r="A31" s="42" t="s">
        <v>28</v>
      </c>
      <c r="B31" s="50">
        <f>IF(2008.53825="","-",2008.53825)</f>
        <v>2008.53825</v>
      </c>
      <c r="C31" s="50">
        <f>IF(OR(1979.26271="",2008.53825=""),"-",2008.53825/1979.26271*100)</f>
        <v>101.47911340177778</v>
      </c>
      <c r="D31" s="50">
        <f>IF(1979.26271="","-",1979.26271/1100674.36139*100)</f>
        <v>0.17982273226574153</v>
      </c>
      <c r="E31" s="50">
        <f>IF(2008.53825="","-",2008.53825/1159333.75195*100)</f>
        <v>0.17324935521127008</v>
      </c>
      <c r="F31" s="50">
        <f>IF(OR(857110.78655="",1100.95276="",1979.26271=""),"-",(1979.26271-1100.95276)/857110.78655*100)</f>
        <v>0.10247332827712156</v>
      </c>
      <c r="G31" s="50">
        <f>IF(OR(1100674.36139="",2008.53825="",1979.26271=""),"-",(2008.53825-1979.26271)/1100674.36139*100)</f>
        <v>0.0026597821323855607</v>
      </c>
      <c r="H31" s="8"/>
    </row>
    <row r="32" spans="1:7" s="9" customFormat="1" ht="27" customHeight="1">
      <c r="A32" s="34" t="s">
        <v>200</v>
      </c>
      <c r="B32" s="49">
        <f>IF(5717.91025="","-",5717.91025)</f>
        <v>5717.91025</v>
      </c>
      <c r="C32" s="49">
        <f>IF(7344.99053="","-",5717.91025/7344.99053*100)</f>
        <v>77.84775523733725</v>
      </c>
      <c r="D32" s="49">
        <f>IF(7344.99053="","-",7344.99053/1100674.36139*100)</f>
        <v>0.6673173090653524</v>
      </c>
      <c r="E32" s="49">
        <f>IF(5717.91025="","-",5717.91025/1159333.75195*100)</f>
        <v>0.4932065714797376</v>
      </c>
      <c r="F32" s="49">
        <f>IF(857110.78655="","-",(7344.99053-5659.31182)/857110.78655*100)</f>
        <v>0.19666987470605882</v>
      </c>
      <c r="G32" s="49">
        <f>IF(1100674.36139="","-",(5717.91025-7344.99053)/1100674.36139*100)</f>
        <v>-0.14782576364777153</v>
      </c>
    </row>
    <row r="33" spans="1:7" s="9" customFormat="1" ht="25.5">
      <c r="A33" s="42" t="s">
        <v>201</v>
      </c>
      <c r="B33" s="50">
        <f>IF(5714.77695="","-",5714.77695)</f>
        <v>5714.77695</v>
      </c>
      <c r="C33" s="50">
        <f>IF(OR(7319.15477="",5714.77695=""),"-",5714.77695/7319.15477*100)</f>
        <v>78.07973911719864</v>
      </c>
      <c r="D33" s="50">
        <f>IF(7319.15477="","-",7319.15477/1100674.36139*100)</f>
        <v>0.6649700426161391</v>
      </c>
      <c r="E33" s="50">
        <f>IF(5714.77695="","-",5714.77695/1159333.75195*100)</f>
        <v>0.49293630418227213</v>
      </c>
      <c r="F33" s="50">
        <f>IF(OR(857110.78655="",5656.53763="",7319.15477=""),"-",(7319.15477-5656.53763)/857110.78655*100)</f>
        <v>0.19397925753475634</v>
      </c>
      <c r="G33" s="50">
        <f>IF(OR(1100674.36139="",5714.77695="",7319.15477=""),"-",(5714.77695-7319.15477)/1100674.36139*100)</f>
        <v>-0.14576316813393306</v>
      </c>
    </row>
    <row r="34" spans="1:7" s="9" customFormat="1" ht="15.75">
      <c r="A34" s="42" t="s">
        <v>29</v>
      </c>
      <c r="B34" s="50">
        <f>IF(3.03599="","-",3.03599)</f>
        <v>3.03599</v>
      </c>
      <c r="C34" s="50">
        <f>IF(OR(3.43643="",3.03599=""),"-",3.03599/3.43643*100)</f>
        <v>88.34720916765365</v>
      </c>
      <c r="D34" s="50">
        <f>IF(3.43643="","-",3.43643/1100674.36139*100)</f>
        <v>0.0003122113243066971</v>
      </c>
      <c r="E34" s="50">
        <f>IF(3.03599="","-",3.03599/1159333.75195*100)</f>
        <v>0.0002618736834749668</v>
      </c>
      <c r="F34" s="50">
        <f>IF(OR(857110.78655="",2.77419="",3.43643=""),"-",(3.43643-2.77419)/857110.78655*100)</f>
        <v>7.726422422772392E-05</v>
      </c>
      <c r="G34" s="50">
        <f>IF(OR(1100674.36139="",3.03599="",3.43643=""),"-",(3.03599-3.43643)/1100674.36139*100)</f>
        <v>-3.6381332576357976E-05</v>
      </c>
    </row>
    <row r="35" spans="1:7" s="9" customFormat="1" ht="27.75" customHeight="1">
      <c r="A35" s="34" t="s">
        <v>202</v>
      </c>
      <c r="B35" s="49">
        <f>IF(30793.7115="","-",30793.7115)</f>
        <v>30793.7115</v>
      </c>
      <c r="C35" s="49">
        <f>IF(40807.62775="","-",30793.7115/40807.62775*100)</f>
        <v>75.46067536356608</v>
      </c>
      <c r="D35" s="49">
        <f>IF(40807.62775="","-",40807.62775/1100674.36139*100)</f>
        <v>3.7075114294899714</v>
      </c>
      <c r="E35" s="49">
        <f>IF(30793.7115="","-",30793.7115/1159333.75195*100)</f>
        <v>2.656155869541878</v>
      </c>
      <c r="F35" s="49">
        <f>IF(857110.78655="","-",(40807.62775-24354.06101)/857110.78655*100)</f>
        <v>1.919654611538385</v>
      </c>
      <c r="G35" s="49">
        <f>IF(1100674.36139="","-",(30793.7115-40807.62775)/1100674.36139*100)</f>
        <v>-0.9097982656154363</v>
      </c>
    </row>
    <row r="36" spans="1:7" s="9" customFormat="1" ht="25.5">
      <c r="A36" s="42" t="s">
        <v>203</v>
      </c>
      <c r="B36" s="50">
        <f>IF(30793.57574="","-",30793.57574)</f>
        <v>30793.57574</v>
      </c>
      <c r="C36" s="50">
        <f>IF(OR(40732.21727="",30793.57574=""),"-",30793.57574/40732.21727*100)</f>
        <v>75.60004783407658</v>
      </c>
      <c r="D36" s="50">
        <f>IF(40732.21727="","-",40732.21727/1100674.36139*100)</f>
        <v>3.7006601315361634</v>
      </c>
      <c r="E36" s="50">
        <f>IF(30793.57574="","-",30793.57574/1159333.75195*100)</f>
        <v>2.656144159367843</v>
      </c>
      <c r="F36" s="50">
        <f>IF(OR(857110.78655="",24262.73068="",40732.21727=""),"-",(40732.21727-24262.73068)/857110.78655*100)</f>
        <v>1.9215119968670753</v>
      </c>
      <c r="G36" s="50">
        <f>IF(OR(1100674.36139="",30793.57574="",40732.21727=""),"-",(30793.57574-40732.21727)/1100674.36139*100)</f>
        <v>-0.9029593019182227</v>
      </c>
    </row>
    <row r="37" spans="1:7" s="9" customFormat="1" ht="25.5">
      <c r="A37" s="34" t="s">
        <v>204</v>
      </c>
      <c r="B37" s="49">
        <f>IF(47642.18919="","-",47642.18919)</f>
        <v>47642.18919</v>
      </c>
      <c r="C37" s="49">
        <f>IF(53882.44621="","-",47642.18919/53882.44621*100)</f>
        <v>88.41875701841859</v>
      </c>
      <c r="D37" s="49">
        <f>IF(53882.44621="","-",53882.44621/1100674.36139*100)</f>
        <v>4.895403045634124</v>
      </c>
      <c r="E37" s="49">
        <f>IF(47642.18919="","-",47642.18919/1159333.75195*100)</f>
        <v>4.109445542309607</v>
      </c>
      <c r="F37" s="49">
        <f>IF(857110.78655="","-",(53882.44621-47040.70333)/857110.78655*100)</f>
        <v>0.7982332024473815</v>
      </c>
      <c r="G37" s="49">
        <f>IF(1100674.36139="","-",(47642.18919-53882.44621)/1100674.36139*100)</f>
        <v>-0.5669485216426245</v>
      </c>
    </row>
    <row r="38" spans="1:7" s="9" customFormat="1" ht="15.75">
      <c r="A38" s="42" t="s">
        <v>30</v>
      </c>
      <c r="B38" s="50">
        <f>IF(6652.81404="","-",6652.81404)</f>
        <v>6652.81404</v>
      </c>
      <c r="C38" s="50">
        <f>IF(OR(11417.45003="",6652.81404=""),"-",6652.81404/11417.45003*100)</f>
        <v>58.26882554790564</v>
      </c>
      <c r="D38" s="50">
        <f>IF(11417.45003="","-",11417.45003/1100674.36139*100)</f>
        <v>1.0373140713100044</v>
      </c>
      <c r="E38" s="50">
        <f>IF(6652.81404="","-",6652.81404/1159333.75195*100)</f>
        <v>0.5738480423613962</v>
      </c>
      <c r="F38" s="50">
        <f>IF(OR(857110.78655="",9868.3444="",11417.45003=""),"-",(11417.45003-9868.3444)/857110.78655*100)</f>
        <v>0.1807357525198561</v>
      </c>
      <c r="G38" s="50">
        <f>IF(OR(1100674.36139="",6652.81404="",11417.45003=""),"-",(6652.81404-11417.45003)/1100674.36139*100)</f>
        <v>-0.4328833447145004</v>
      </c>
    </row>
    <row r="39" spans="1:7" s="9" customFormat="1" ht="15.75">
      <c r="A39" s="42" t="s">
        <v>31</v>
      </c>
      <c r="B39" s="50">
        <f>IF(462.45649="","-",462.45649)</f>
        <v>462.45649</v>
      </c>
      <c r="C39" s="50" t="s">
        <v>115</v>
      </c>
      <c r="D39" s="50">
        <f>IF(287.1079="","-",287.1079/1100674.36139*100)</f>
        <v>0.026084726788531923</v>
      </c>
      <c r="E39" s="50">
        <f>IF(462.45649="","-",462.45649/1159333.75195*100)</f>
        <v>0.039889849598715464</v>
      </c>
      <c r="F39" s="50">
        <f>IF(OR(857110.78655="",480.05303="",287.1079=""),"-",(287.1079-480.05303)/857110.78655*100)</f>
        <v>-0.02251110743532154</v>
      </c>
      <c r="G39" s="50">
        <f>IF(OR(1100674.36139="",462.45649="",287.1079=""),"-",(462.45649-287.1079)/1100674.36139*100)</f>
        <v>0.015931014308224543</v>
      </c>
    </row>
    <row r="40" spans="1:7" s="9" customFormat="1" ht="15.75">
      <c r="A40" s="42" t="s">
        <v>205</v>
      </c>
      <c r="B40" s="50">
        <f>IF(448.51946="","-",448.51946)</f>
        <v>448.51946</v>
      </c>
      <c r="C40" s="50">
        <f>IF(OR(1178.9767="",448.51946=""),"-",448.51946/1178.9767*100)</f>
        <v>38.043114846968564</v>
      </c>
      <c r="D40" s="50">
        <f>IF(1178.9767="","-",1178.9767/1100674.36139*100)</f>
        <v>0.10711403311976077</v>
      </c>
      <c r="E40" s="50">
        <f>IF(448.51946="","-",448.51946/1159333.75195*100)</f>
        <v>0.03868769103337068</v>
      </c>
      <c r="F40" s="50">
        <f>IF(OR(857110.78655="",376.70918="",1178.9767=""),"-",(1178.9767-376.70918)/857110.78655*100)</f>
        <v>0.09360137949368803</v>
      </c>
      <c r="G40" s="50">
        <f>IF(OR(1100674.36139="",448.51946="",1178.9767=""),"-",(448.51946-1178.9767)/1100674.36139*100)</f>
        <v>-0.06636451848279024</v>
      </c>
    </row>
    <row r="41" spans="1:7" s="9" customFormat="1" ht="15.75">
      <c r="A41" s="42" t="s">
        <v>206</v>
      </c>
      <c r="B41" s="50">
        <f>IF(31913.4157899999="","-",31913.4157899999)</f>
        <v>31913.4157899999</v>
      </c>
      <c r="C41" s="50">
        <f>IF(OR(28265.4124="",31913.4157899999=""),"-",31913.4157899999/28265.4124*100)</f>
        <v>112.90624505446769</v>
      </c>
      <c r="D41" s="50">
        <f>IF(28265.4124="","-",28265.4124/1100674.36139*100)</f>
        <v>2.5680086128566386</v>
      </c>
      <c r="E41" s="50">
        <f>IF(31913.4157899999="","-",31913.4157899999/1159333.75195*100)</f>
        <v>2.752737573310664</v>
      </c>
      <c r="F41" s="50">
        <f>IF(OR(857110.78655="",20719.74235="",28265.4124=""),"-",(28265.4124-20719.74235)/857110.78655*100)</f>
        <v>0.8803611118199153</v>
      </c>
      <c r="G41" s="50">
        <f>IF(OR(1100674.36139="",31913.4157899999="",28265.4124=""),"-",(31913.4157899999-28265.4124)/1100674.36139*100)</f>
        <v>0.33143348459511446</v>
      </c>
    </row>
    <row r="42" spans="1:7" s="9" customFormat="1" ht="38.25">
      <c r="A42" s="42" t="s">
        <v>207</v>
      </c>
      <c r="B42" s="50">
        <f>IF(5348.16993="","-",5348.16993)</f>
        <v>5348.16993</v>
      </c>
      <c r="C42" s="50">
        <f>IF(OR(9528.23357="",5348.16993=""),"-",5348.16993/9528.23357*100)</f>
        <v>56.12971061959389</v>
      </c>
      <c r="D42" s="50">
        <f>IF(9528.23357="","-",9528.23357/1100674.36139*100)</f>
        <v>0.865672346357478</v>
      </c>
      <c r="E42" s="50">
        <f>IF(5348.16993="","-",5348.16993/1159333.75195*100)</f>
        <v>0.46131408845851124</v>
      </c>
      <c r="F42" s="50">
        <f>IF(OR(857110.78655="",11773.70889="",9528.23357=""),"-",(9528.23357-11773.70889)/857110.78655*100)</f>
        <v>-0.2619819229015162</v>
      </c>
      <c r="G42" s="50">
        <f>IF(OR(1100674.36139="",5348.16993="",9528.23357=""),"-",(5348.16993-9528.23357)/1100674.36139*100)</f>
        <v>-0.3797729634331771</v>
      </c>
    </row>
    <row r="43" spans="1:7" s="9" customFormat="1" ht="15.75">
      <c r="A43" s="42" t="s">
        <v>32</v>
      </c>
      <c r="B43" s="50">
        <f>IF(744.6458="","-",744.6458)</f>
        <v>744.6458</v>
      </c>
      <c r="C43" s="50">
        <f>IF(OR(1041.16181="",744.6458=""),"-",744.6458/1041.16181*100)</f>
        <v>71.5206601748099</v>
      </c>
      <c r="D43" s="50">
        <f>IF(1041.16181="","-",1041.16181/1100674.36139*100)</f>
        <v>0.09459308279745485</v>
      </c>
      <c r="E43" s="50">
        <f>IF(744.6458="","-",744.6458/1159333.75195*100)</f>
        <v>0.0642304943462144</v>
      </c>
      <c r="F43" s="50">
        <f>IF(OR(857110.78655="",1104.99964="",1041.16181=""),"-",(1041.16181-1104.99964)/857110.78655*100)</f>
        <v>-0.007448025506359198</v>
      </c>
      <c r="G43" s="50">
        <f>IF(OR(1100674.36139="",744.6458="",1041.16181=""),"-",(744.6458-1041.16181)/1100674.36139*100)</f>
        <v>-0.0269394855010106</v>
      </c>
    </row>
    <row r="44" spans="1:7" s="9" customFormat="1" ht="15.75">
      <c r="A44" s="42" t="s">
        <v>33</v>
      </c>
      <c r="B44" s="50">
        <f>IF(1141.16666="","-",1141.16666)</f>
        <v>1141.16666</v>
      </c>
      <c r="C44" s="50">
        <f>IF(OR(861.35469="",1141.16666=""),"-",1141.16666/861.35469*100)</f>
        <v>132.4851043650787</v>
      </c>
      <c r="D44" s="50">
        <f>IF(861.35469="","-",861.35469/1100674.36139*100)</f>
        <v>0.07825699591223582</v>
      </c>
      <c r="E44" s="50">
        <f>IF(1141.16666="","-",1141.16666/1159333.75195*100)</f>
        <v>0.09843297135795082</v>
      </c>
      <c r="F44" s="50">
        <f>IF(OR(857110.78655="",1396.45084="",861.35469=""),"-",(861.35469-1396.45084)/857110.78655*100)</f>
        <v>-0.06243022003653023</v>
      </c>
      <c r="G44" s="50">
        <f>IF(OR(1100674.36139="",1141.16666="",861.35469=""),"-",(1141.16666-861.35469)/1100674.36139*100)</f>
        <v>0.025421866795065178</v>
      </c>
    </row>
    <row r="45" spans="1:7" s="9" customFormat="1" ht="15.75">
      <c r="A45" s="42" t="s">
        <v>209</v>
      </c>
      <c r="B45" s="50">
        <f>IF(910.82698="","-",910.82698)</f>
        <v>910.82698</v>
      </c>
      <c r="C45" s="50">
        <f>IF(OR(1302.74911="",910.82698=""),"-",910.82698/1302.74911*100)</f>
        <v>69.91576298217545</v>
      </c>
      <c r="D45" s="50">
        <f>IF(1302.74911="","-",1302.74911/1100674.36139*100)</f>
        <v>0.11835917649201963</v>
      </c>
      <c r="E45" s="50">
        <f>IF(910.82698="","-",910.82698/1159333.75195*100)</f>
        <v>0.07856469101050396</v>
      </c>
      <c r="F45" s="50">
        <f>IF(OR(857110.78655="",1295.495="",1302.74911=""),"-",(1302.74911-1295.495)/857110.78655*100)</f>
        <v>0.0008463444998981951</v>
      </c>
      <c r="G45" s="50">
        <f>IF(OR(1100674.36139="",910.82698="",1302.74911=""),"-",(910.82698-1302.74911)/1100674.36139*100)</f>
        <v>-0.03560745518820447</v>
      </c>
    </row>
    <row r="46" spans="1:7" s="9" customFormat="1" ht="25.5">
      <c r="A46" s="34" t="s">
        <v>34</v>
      </c>
      <c r="B46" s="49">
        <f>IF(70855.93991="","-",70855.93991)</f>
        <v>70855.93991</v>
      </c>
      <c r="C46" s="49">
        <f>IF(73874.28796="","-",70855.93991/73874.28796*100)</f>
        <v>95.91421029785855</v>
      </c>
      <c r="D46" s="49">
        <f>IF(73874.28796="","-",73874.28796/1100674.36139*100)</f>
        <v>6.711729695121359</v>
      </c>
      <c r="E46" s="49">
        <f>IF(70855.93991="","-",70855.93991/1159333.75195*100)</f>
        <v>6.111780994111513</v>
      </c>
      <c r="F46" s="49">
        <f>IF(857110.78655="","-",(73874.28796-67736.04104)/857110.78655*100)</f>
        <v>0.7161556027905533</v>
      </c>
      <c r="G46" s="49">
        <f>IF(1100674.36139="","-",(70855.93991-73874.28796)/1100674.36139*100)</f>
        <v>-0.2742271607188381</v>
      </c>
    </row>
    <row r="47" spans="1:7" s="9" customFormat="1" ht="15.75">
      <c r="A47" s="42" t="s">
        <v>210</v>
      </c>
      <c r="B47" s="50">
        <f>IF(113.32322="","-",113.32322)</f>
        <v>113.32322</v>
      </c>
      <c r="C47" s="50">
        <f>IF(OR(679.03918="",113.32322=""),"-",113.32322/679.03918*100)</f>
        <v>16.68876013899522</v>
      </c>
      <c r="D47" s="50">
        <f>IF(679.03918="","-",679.03918/1100674.36139*100)</f>
        <v>0.06169301328527968</v>
      </c>
      <c r="E47" s="50">
        <f>IF(113.32322="","-",113.32322/1159333.75195*100)</f>
        <v>0.009774857310018818</v>
      </c>
      <c r="F47" s="50">
        <f>IF(OR(857110.78655="",1136.3789="",679.03918=""),"-",(679.03918-1136.3789)/857110.78655*100)</f>
        <v>-0.053358297104258975</v>
      </c>
      <c r="G47" s="50">
        <f>IF(OR(1100674.36139="",113.32322="",679.03918=""),"-",(113.32322-679.03918)/1100674.36139*100)</f>
        <v>-0.0513972142755809</v>
      </c>
    </row>
    <row r="48" spans="1:7" s="9" customFormat="1" ht="14.25" customHeight="1">
      <c r="A48" s="42" t="s">
        <v>35</v>
      </c>
      <c r="B48" s="50">
        <f>IF(734.73926="","-",734.73926)</f>
        <v>734.73926</v>
      </c>
      <c r="C48" s="50">
        <f>IF(OR(628.37941="",734.73926=""),"-",734.73926/628.37941*100)</f>
        <v>116.92605586806224</v>
      </c>
      <c r="D48" s="50">
        <f>IF(628.37941="","-",628.37941/1100674.36139*100)</f>
        <v>0.057090401306926365</v>
      </c>
      <c r="E48" s="50">
        <f>IF(734.73926="","-",734.73926/1159333.75195*100)</f>
        <v>0.06337599149202446</v>
      </c>
      <c r="F48" s="50">
        <f>IF(OR(857110.78655="",929.81653="",628.37941=""),"-",(628.37941-929.81653)/857110.78655*100)</f>
        <v>-0.035168979871707105</v>
      </c>
      <c r="G48" s="50">
        <f>IF(OR(1100674.36139="",734.73926="",628.37941=""),"-",(734.73926-628.37941)/1100674.36139*100)</f>
        <v>0.009663153220511297</v>
      </c>
    </row>
    <row r="49" spans="1:7" s="9" customFormat="1" ht="15.75">
      <c r="A49" s="42" t="s">
        <v>36</v>
      </c>
      <c r="B49" s="50">
        <f>IF(8547.15592="","-",8547.15592)</f>
        <v>8547.15592</v>
      </c>
      <c r="C49" s="50">
        <f>IF(OR(6504.7984="",8547.15592=""),"-",8547.15592/6504.7984*100)</f>
        <v>131.39770665298406</v>
      </c>
      <c r="D49" s="50">
        <f>IF(6504.7984="","-",6504.7984/1100674.36139*100)</f>
        <v>0.5909830035275225</v>
      </c>
      <c r="E49" s="50">
        <f>IF(8547.15592="","-",8547.15592/1159333.75195*100)</f>
        <v>0.7372472254537297</v>
      </c>
      <c r="F49" s="50">
        <f>IF(OR(857110.78655="",3516.68524="",6504.7984=""),"-",(6504.7984-3516.68524)/857110.78655*100)</f>
        <v>0.34862624609213066</v>
      </c>
      <c r="G49" s="50">
        <f>IF(OR(1100674.36139="",8547.15592="",6504.7984=""),"-",(8547.15592-6504.7984)/1100674.36139*100)</f>
        <v>0.18555510981656587</v>
      </c>
    </row>
    <row r="50" spans="1:7" s="9" customFormat="1" ht="25.5">
      <c r="A50" s="42" t="s">
        <v>211</v>
      </c>
      <c r="B50" s="50">
        <f>IF(3992.39659="","-",3992.39659)</f>
        <v>3992.39659</v>
      </c>
      <c r="C50" s="50">
        <f>IF(OR(4301.2311="",3992.39659=""),"-",3992.39659/4301.2311*100)</f>
        <v>92.81985778443757</v>
      </c>
      <c r="D50" s="50">
        <f>IF(4301.2311="","-",4301.2311/1100674.36139*100)</f>
        <v>0.3907814382600988</v>
      </c>
      <c r="E50" s="50">
        <f>IF(3992.39659="","-",3992.39659/1159333.75195*100)</f>
        <v>0.34436990929357375</v>
      </c>
      <c r="F50" s="50">
        <f>IF(OR(857110.78655="",2730.11213="",4301.2311=""),"-",(4301.2311-2730.11213)/857110.78655*100)</f>
        <v>0.18330407161529147</v>
      </c>
      <c r="G50" s="50">
        <f>IF(OR(1100674.36139="",3992.39659="",4301.2311=""),"-",(3992.39659-4301.2311)/1100674.36139*100)</f>
        <v>-0.028058663019095376</v>
      </c>
    </row>
    <row r="51" spans="1:7" s="9" customFormat="1" ht="25.5">
      <c r="A51" s="42" t="s">
        <v>212</v>
      </c>
      <c r="B51" s="50">
        <f>IF(27205.6102="","-",27205.6102)</f>
        <v>27205.6102</v>
      </c>
      <c r="C51" s="50">
        <f>IF(OR(31762.50692="",27205.6102=""),"-",27205.6102/31762.50692*100)</f>
        <v>85.65322085099446</v>
      </c>
      <c r="D51" s="50">
        <f>IF(31762.50692="","-",31762.50692/1100674.36139*100)</f>
        <v>2.885731514622393</v>
      </c>
      <c r="E51" s="50">
        <f>IF(27205.6102="","-",27205.6102/1159333.75195*100)</f>
        <v>2.346659031900016</v>
      </c>
      <c r="F51" s="50">
        <f>IF(OR(857110.78655="",35260.72708="",31762.50692=""),"-",(31762.50692-35260.72708)/857110.78655*100)</f>
        <v>-0.40814095620950713</v>
      </c>
      <c r="G51" s="50">
        <f>IF(OR(1100674.36139="",27205.6102="",31762.50692=""),"-",(27205.6102-31762.50692)/1100674.36139*100)</f>
        <v>-0.41400952723612716</v>
      </c>
    </row>
    <row r="52" spans="1:7" s="9" customFormat="1" ht="15.75">
      <c r="A52" s="42" t="s">
        <v>37</v>
      </c>
      <c r="B52" s="50">
        <f>IF(19813.73819="","-",19813.73819)</f>
        <v>19813.73819</v>
      </c>
      <c r="C52" s="50">
        <f>IF(OR(18268.00198="",19813.73819=""),"-",19813.73819/18268.00198*100)</f>
        <v>108.46144100319393</v>
      </c>
      <c r="D52" s="50">
        <f>IF(18268.00198="","-",18268.00198/1100674.36139*100)</f>
        <v>1.6597099578961785</v>
      </c>
      <c r="E52" s="50">
        <f>IF(19813.73819="","-",19813.73819/1159333.75195*100)</f>
        <v>1.709062481504854</v>
      </c>
      <c r="F52" s="50">
        <f>IF(OR(857110.78655="",10599.27719="",18268.00198=""),"-",(18268.00198-10599.27719)/857110.78655*100)</f>
        <v>0.8947180353274717</v>
      </c>
      <c r="G52" s="50">
        <f>IF(OR(1100674.36139="",19813.73819="",18268.00198=""),"-",(19813.73819-18268.00198)/1100674.36139*100)</f>
        <v>0.14043537891151997</v>
      </c>
    </row>
    <row r="53" spans="1:7" s="9" customFormat="1" ht="14.25" customHeight="1">
      <c r="A53" s="42" t="s">
        <v>213</v>
      </c>
      <c r="B53" s="50">
        <f>IF(721.99485="","-",721.99485)</f>
        <v>721.99485</v>
      </c>
      <c r="C53" s="50">
        <f>IF(OR(922.27544="",721.99485=""),"-",721.99485/922.27544*100)</f>
        <v>78.28408072972213</v>
      </c>
      <c r="D53" s="50">
        <f>IF(922.27544="","-",922.27544/1100674.36139*100)</f>
        <v>0.08379185273610747</v>
      </c>
      <c r="E53" s="50">
        <f>IF(721.99485="","-",721.99485/1159333.75195*100)</f>
        <v>0.06227670407987384</v>
      </c>
      <c r="F53" s="50">
        <f>IF(OR(857110.78655="",965.56415="",922.27544=""),"-",(922.27544-965.56415)/857110.78655*100)</f>
        <v>-0.005050538469390126</v>
      </c>
      <c r="G53" s="50">
        <f>IF(OR(1100674.36139="",721.99485="",922.27544=""),"-",(721.99485-922.27544)/1100674.36139*100)</f>
        <v>-0.01819617109524321</v>
      </c>
    </row>
    <row r="54" spans="1:7" s="9" customFormat="1" ht="15.75">
      <c r="A54" s="42" t="s">
        <v>38</v>
      </c>
      <c r="B54" s="50">
        <f>IF(261.19462="","-",261.19462)</f>
        <v>261.19462</v>
      </c>
      <c r="C54" s="50">
        <f>IF(OR(809.08075="",261.19462=""),"-",261.19462/809.08075*100)</f>
        <v>32.28288647332173</v>
      </c>
      <c r="D54" s="50">
        <f>IF(809.08075="","-",809.08075/1100674.36139*100)</f>
        <v>0.07350773111297354</v>
      </c>
      <c r="E54" s="50">
        <f>IF(261.19462="","-",261.19462/1159333.75195*100)</f>
        <v>0.02252971756930828</v>
      </c>
      <c r="F54" s="50">
        <f>IF(OR(857110.78655="",1401.10849="",809.08075=""),"-",(809.08075-1401.10849)/857110.78655*100)</f>
        <v>-0.06907248739489102</v>
      </c>
      <c r="G54" s="50">
        <f>IF(OR(1100674.36139="",261.19462="",809.08075=""),"-",(261.19462-809.08075)/1100674.36139*100)</f>
        <v>-0.04977731372865771</v>
      </c>
    </row>
    <row r="55" spans="1:7" s="9" customFormat="1" ht="15" customHeight="1">
      <c r="A55" s="42" t="s">
        <v>39</v>
      </c>
      <c r="B55" s="50">
        <f>IF(9465.78706="","-",9465.78706)</f>
        <v>9465.78706</v>
      </c>
      <c r="C55" s="50">
        <f>IF(OR(9998.97478="",9465.78706=""),"-",9465.78706/9998.97478*100)</f>
        <v>94.66757610923787</v>
      </c>
      <c r="D55" s="50">
        <f>IF(9998.97478="","-",9998.97478/1100674.36139*100)</f>
        <v>0.9084407823738779</v>
      </c>
      <c r="E55" s="50">
        <f>IF(9465.78706="","-",9465.78706/1159333.75195*100)</f>
        <v>0.8164850755081134</v>
      </c>
      <c r="F55" s="50">
        <f>IF(OR(857110.78655="",11196.37133="",9998.97478=""),"-",(9998.97478-11196.37133)/857110.78655*100)</f>
        <v>-0.13970149119458652</v>
      </c>
      <c r="G55" s="50">
        <f>IF(OR(1100674.36139="",9465.78706="",9998.97478=""),"-",(9465.78706-9998.97478)/1100674.36139*100)</f>
        <v>-0.04844191331273105</v>
      </c>
    </row>
    <row r="56" spans="1:7" s="9" customFormat="1" ht="15.75">
      <c r="A56" s="34" t="s">
        <v>214</v>
      </c>
      <c r="B56" s="49">
        <f>IF(297272.42098="","-",297272.42098)</f>
        <v>297272.42098</v>
      </c>
      <c r="C56" s="49">
        <f>IF(218509.99888="","-",297272.42098/218509.99888*100)</f>
        <v>136.04522562066109</v>
      </c>
      <c r="D56" s="49">
        <f>IF(218509.99888="","-",218509.99888/1100674.36139*100)</f>
        <v>19.852374739069237</v>
      </c>
      <c r="E56" s="49">
        <f>IF(297272.42098="","-",297272.42098/1159333.75195*100)</f>
        <v>25.641660175940505</v>
      </c>
      <c r="F56" s="49">
        <f>IF(857110.78655="","-",(218509.99888-161733.91661)/857110.78655*100)</f>
        <v>6.624124111018635</v>
      </c>
      <c r="G56" s="49">
        <f>IF(1100674.36139="","-",(297272.42098-218509.99888)/1100674.36139*100)</f>
        <v>7.155833265756632</v>
      </c>
    </row>
    <row r="57" spans="1:7" s="9" customFormat="1" ht="25.5">
      <c r="A57" s="42" t="s">
        <v>215</v>
      </c>
      <c r="B57" s="50">
        <f>IF(1493.01824="","-",1493.01824)</f>
        <v>1493.01824</v>
      </c>
      <c r="C57" s="50">
        <f>IF(OR(1344.75922="",1493.01824=""),"-",1493.01824/1344.75922*100)</f>
        <v>111.02494913550399</v>
      </c>
      <c r="D57" s="50">
        <f>IF(1344.75922="","-",1344.75922/1100674.36139*100)</f>
        <v>0.12217593751359433</v>
      </c>
      <c r="E57" s="50">
        <f>IF(1493.01824="","-",1493.01824/1159333.75195*100)</f>
        <v>0.1287824353848702</v>
      </c>
      <c r="F57" s="50">
        <f>IF(OR(857110.78655="",963.75311="",1344.75922=""),"-",(1344.75922-963.75311)/857110.78655*100)</f>
        <v>0.04445237604972945</v>
      </c>
      <c r="G57" s="50">
        <f>IF(OR(1100674.36139="",1493.01824="",1344.75922=""),"-",(1493.01824-1344.75922)/1100674.36139*100)</f>
        <v>0.013469834966698915</v>
      </c>
    </row>
    <row r="58" spans="1:7" s="9" customFormat="1" ht="29.25" customHeight="1">
      <c r="A58" s="42" t="s">
        <v>235</v>
      </c>
      <c r="B58" s="50">
        <f>IF(5473.62015="","-",5473.62015)</f>
        <v>5473.62015</v>
      </c>
      <c r="C58" s="50">
        <f>IF(OR(6013.98635="",5473.62015=""),"-",5473.62015/6013.98635*100)</f>
        <v>91.01484159504285</v>
      </c>
      <c r="D58" s="50">
        <f>IF(6013.98635="","-",6013.98635/1100674.36139*100)</f>
        <v>0.5463910636026049</v>
      </c>
      <c r="E58" s="50">
        <f>IF(5473.62015="","-",5473.62015/1159333.75195*100)</f>
        <v>0.47213497759323986</v>
      </c>
      <c r="F58" s="50">
        <f>IF(OR(857110.78655="",3134.64296="",6013.98635=""),"-",(6013.98635-3134.64296)/857110.78655*100)</f>
        <v>0.33593596477647786</v>
      </c>
      <c r="G58" s="50">
        <f>IF(OR(1100674.36139="",5473.62015="",6013.98635=""),"-",(5473.62015-6013.98635)/1100674.36139*100)</f>
        <v>-0.04909410257522419</v>
      </c>
    </row>
    <row r="59" spans="1:7" s="9" customFormat="1" ht="25.5">
      <c r="A59" s="42" t="s">
        <v>216</v>
      </c>
      <c r="B59" s="50">
        <f>IF(1025.6112="","-",1025.6112)</f>
        <v>1025.6112</v>
      </c>
      <c r="C59" s="50" t="s">
        <v>114</v>
      </c>
      <c r="D59" s="50">
        <f>IF(589.05425="","-",589.05425/1100674.36139*100)</f>
        <v>0.05351757710210545</v>
      </c>
      <c r="E59" s="50">
        <f>IF(1025.6112="","-",1025.6112/1159333.75195*100)</f>
        <v>0.08846556897657137</v>
      </c>
      <c r="F59" s="50">
        <f>IF(OR(857110.78655="",613.28037="",589.05425=""),"-",(589.05425-613.28037)/857110.78655*100)</f>
        <v>-0.002826486421611109</v>
      </c>
      <c r="G59" s="50">
        <f>IF(OR(1100674.36139="",1025.6112="",589.05425=""),"-",(1025.6112-589.05425)/1100674.36139*100)</f>
        <v>0.03966268001815621</v>
      </c>
    </row>
    <row r="60" spans="1:7" s="9" customFormat="1" ht="38.25">
      <c r="A60" s="42" t="s">
        <v>217</v>
      </c>
      <c r="B60" s="50">
        <f>IF(9673.17606="","-",9673.17606)</f>
        <v>9673.17606</v>
      </c>
      <c r="C60" s="50">
        <f>IF(OR(8378.02508="",9673.17606=""),"-",9673.17606/8378.02508*100)</f>
        <v>115.45890550139055</v>
      </c>
      <c r="D60" s="50">
        <f>IF(8378.02508="","-",8378.02508/1100674.36139*100)</f>
        <v>0.7611720027183797</v>
      </c>
      <c r="E60" s="50">
        <f>IF(9673.17606="","-",9673.17606/1159333.75195*100)</f>
        <v>0.834373711947031</v>
      </c>
      <c r="F60" s="50">
        <f>IF(OR(857110.78655="",11992.16569="",8378.02508=""),"-",(8378.02508-11992.16569)/857110.78655*100)</f>
        <v>-0.42166551474021935</v>
      </c>
      <c r="G60" s="50">
        <f>IF(OR(1100674.36139="",9673.17606="",8378.02508=""),"-",(9673.17606-8378.02508)/1100674.36139*100)</f>
        <v>0.11766886060327628</v>
      </c>
    </row>
    <row r="61" spans="1:7" s="9" customFormat="1" ht="25.5">
      <c r="A61" s="42" t="s">
        <v>218</v>
      </c>
      <c r="B61" s="50">
        <f>IF(373.2696="","-",373.2696)</f>
        <v>373.2696</v>
      </c>
      <c r="C61" s="50">
        <f>IF(OR(524.56625="",373.2696=""),"-",373.2696/524.56625*100)</f>
        <v>71.15776129325896</v>
      </c>
      <c r="D61" s="50">
        <f>IF(524.56625="","-",524.56625/1100674.36139*100)</f>
        <v>0.04765862351309293</v>
      </c>
      <c r="E61" s="50">
        <f>IF(373.2696="","-",373.2696/1159333.75195*100)</f>
        <v>0.03219690614304641</v>
      </c>
      <c r="F61" s="50">
        <f>IF(OR(857110.78655="",332.30069="",524.56625=""),"-",(524.56625-332.30069)/857110.78655*100)</f>
        <v>0.022431821302109363</v>
      </c>
      <c r="G61" s="50">
        <f>IF(OR(1100674.36139="",373.2696="",524.56625=""),"-",(373.2696-524.56625)/1100674.36139*100)</f>
        <v>-0.013745813957993274</v>
      </c>
    </row>
    <row r="62" spans="1:7" s="9" customFormat="1" ht="39.75" customHeight="1">
      <c r="A62" s="42" t="s">
        <v>219</v>
      </c>
      <c r="B62" s="50">
        <f>IF(1571.2622="","-",1571.2622)</f>
        <v>1571.2622</v>
      </c>
      <c r="C62" s="50">
        <f>IF(OR(2041.73926="",1571.2622=""),"-",1571.2622/2041.73926*100)</f>
        <v>76.9570449460819</v>
      </c>
      <c r="D62" s="50">
        <f>IF(2041.73926="","-",2041.73926/1100674.36139*100)</f>
        <v>0.1854989387979897</v>
      </c>
      <c r="E62" s="50">
        <f>IF(1571.2622="","-",1571.2622/1159333.75195*100)</f>
        <v>0.13553148067647786</v>
      </c>
      <c r="F62" s="50">
        <f>IF(OR(857110.78655="",1937.4692="",2041.73926=""),"-",(2041.73926-1937.4692)/857110.78655*100)</f>
        <v>0.012165295506279037</v>
      </c>
      <c r="G62" s="50">
        <f>IF(OR(1100674.36139="",1571.2622="",2041.73926=""),"-",(1571.2622-2041.73926)/1100674.36139*100)</f>
        <v>-0.042744437092715824</v>
      </c>
    </row>
    <row r="63" spans="1:7" s="9" customFormat="1" ht="51">
      <c r="A63" s="42" t="s">
        <v>236</v>
      </c>
      <c r="B63" s="50">
        <f>IF(263895.38412="","-",263895.38412)</f>
        <v>263895.38412</v>
      </c>
      <c r="C63" s="50">
        <f>IF(OR(191597.432="",263895.38412=""),"-",263895.38412/191597.432*100)</f>
        <v>137.73430121965308</v>
      </c>
      <c r="D63" s="50">
        <f>IF(191597.432="","-",191597.432/1100674.36139*100)</f>
        <v>17.407276731515655</v>
      </c>
      <c r="E63" s="50">
        <f>IF(263895.38412="","-",263895.38412/1159333.75195*100)</f>
        <v>22.76267586241907</v>
      </c>
      <c r="F63" s="50">
        <f>IF(OR(857110.78655="",117032.88297="",191597.432=""),"-",(191597.432-117032.88297)/857110.78655*100)</f>
        <v>8.699522885499263</v>
      </c>
      <c r="G63" s="50">
        <f>IF(OR(1100674.36139="",263895.38412="",191597.432=""),"-",(263895.38412-191597.432)/1100674.36139*100)</f>
        <v>6.5685142360087</v>
      </c>
    </row>
    <row r="64" spans="1:7" ht="25.5">
      <c r="A64" s="42" t="s">
        <v>40</v>
      </c>
      <c r="B64" s="50">
        <f>IF(11023.13222="","-",11023.13222)</f>
        <v>11023.13222</v>
      </c>
      <c r="C64" s="50">
        <f>IF(OR(7899.0553="",11023.13222=""),"-",11023.13222/7899.0553*100)</f>
        <v>139.55000694829926</v>
      </c>
      <c r="D64" s="50">
        <f>IF(7899.0553="","-",7899.0553/1100674.36139*100)</f>
        <v>0.7176559732003371</v>
      </c>
      <c r="E64" s="50">
        <f>IF(11023.13222="","-",11023.13222/1159333.75195*100)</f>
        <v>0.9508161218854437</v>
      </c>
      <c r="F64" s="50">
        <f>IF(OR(857110.78655="",13313.12835="",7899.0553=""),"-",(7899.0553-13313.12835)/857110.78655*100)</f>
        <v>-0.6316654900345451</v>
      </c>
      <c r="G64" s="50">
        <f>IF(OR(1100674.36139="",11023.13222="",7899.0553=""),"-",(11023.13222-7899.0553)/1100674.36139*100)</f>
        <v>0.2838329872656179</v>
      </c>
    </row>
    <row r="65" spans="1:7" ht="15.75">
      <c r="A65" s="42" t="s">
        <v>41</v>
      </c>
      <c r="B65" s="50">
        <f>IF(2743.94719="","-",2743.94719)</f>
        <v>2743.94719</v>
      </c>
      <c r="C65" s="50" t="s">
        <v>257</v>
      </c>
      <c r="D65" s="50">
        <f>IF(121.38117="","-",121.38117/1100674.36139*100)</f>
        <v>0.011027891105477583</v>
      </c>
      <c r="E65" s="50">
        <f>IF(2743.94719="","-",2743.94719/1159333.75195*100)</f>
        <v>0.2366831109147542</v>
      </c>
      <c r="F65" s="50">
        <f>IF(OR(857110.78655="",12414.29327="",121.38117=""),"-",(121.38117-12414.29327)/857110.78655*100)</f>
        <v>-1.4342267409188516</v>
      </c>
      <c r="G65" s="50">
        <f>IF(OR(1100674.36139="",2743.94719="",121.38117=""),"-",(2743.94719-121.38117)/1100674.36139*100)</f>
        <v>0.23826902052011645</v>
      </c>
    </row>
    <row r="66" spans="1:7" ht="15.75">
      <c r="A66" s="34" t="s">
        <v>42</v>
      </c>
      <c r="B66" s="49">
        <f>IF(234478.14715="","-",234478.14715)</f>
        <v>234478.14715</v>
      </c>
      <c r="C66" s="49">
        <f>IF(252869.39825="","-",234478.14715/252869.39825*100)</f>
        <v>92.72697636516007</v>
      </c>
      <c r="D66" s="49">
        <f>IF(252869.39825="","-",252869.39825/1100674.36139*100)</f>
        <v>22.974042743274296</v>
      </c>
      <c r="E66" s="49">
        <f>IF(234478.14715="","-",234478.14715/1159333.75195*100)</f>
        <v>20.22524978295574</v>
      </c>
      <c r="F66" s="49">
        <f>IF(857110.78655="","-",(252869.39825-198853.69152)/857110.78655*100)</f>
        <v>6.302068248075766</v>
      </c>
      <c r="G66" s="49">
        <f>IF(1100674.36139="","-",(234478.14715-252869.39825)/1100674.36139*100)</f>
        <v>-1.6709075585965663</v>
      </c>
    </row>
    <row r="67" spans="1:7" ht="38.25">
      <c r="A67" s="42" t="s">
        <v>220</v>
      </c>
      <c r="B67" s="50">
        <f>IF(3477.84484="","-",3477.84484)</f>
        <v>3477.84484</v>
      </c>
      <c r="C67" s="50">
        <f>IF(OR(3133.25859="",3477.84484=""),"-",3477.84484/3133.25859*100)</f>
        <v>110.99769585248309</v>
      </c>
      <c r="D67" s="50">
        <f>IF(3133.25859="","-",3133.25859/1100674.36139*100)</f>
        <v>0.28466717313585155</v>
      </c>
      <c r="E67" s="50">
        <f>IF(3477.84484="","-",3477.84484/1159333.75195*100)</f>
        <v>0.2999865081259183</v>
      </c>
      <c r="F67" s="50">
        <f>IF(OR(857110.78655="",4160.59597="",3133.25859=""),"-",(3133.25859-4160.59597)/857110.78655*100)</f>
        <v>-0.11986051233063909</v>
      </c>
      <c r="G67" s="50">
        <f>IF(OR(1100674.36139="",3477.84484="",3133.25859=""),"-",(3477.84484-3133.25859)/1100674.36139*100)</f>
        <v>0.03130682989334242</v>
      </c>
    </row>
    <row r="68" spans="1:7" ht="15.75">
      <c r="A68" s="42" t="s">
        <v>256</v>
      </c>
      <c r="B68" s="50">
        <f>IF(59668.78612="","-",59668.78612)</f>
        <v>59668.78612</v>
      </c>
      <c r="C68" s="50">
        <f>IF(OR(66260.03676="",59668.78612=""),"-",59668.78612/66260.03676*100)</f>
        <v>90.052449466827</v>
      </c>
      <c r="D68" s="50">
        <f>IF(66260.03676="","-",66260.03676/1100674.36139*100)</f>
        <v>6.019949140663431</v>
      </c>
      <c r="E68" s="50">
        <f>IF(59668.78612="","-",59668.78612/1159333.75195*100)</f>
        <v>5.146816955828041</v>
      </c>
      <c r="F68" s="50">
        <f>IF(OR(857110.78655="",49206.17485="",66260.03676=""),"-",(66260.03676-49206.17485)/857110.78655*100)</f>
        <v>1.9896916685233146</v>
      </c>
      <c r="G68" s="50">
        <f>IF(OR(1100674.36139="",59668.78612="",66260.03676=""),"-",(59668.78612-66260.03676)/1100674.36139*100)</f>
        <v>-0.5988374828388084</v>
      </c>
    </row>
    <row r="69" spans="1:7" ht="15.75">
      <c r="A69" s="42" t="s">
        <v>222</v>
      </c>
      <c r="B69" s="50">
        <f>IF(5135.15317="","-",5135.15317)</f>
        <v>5135.15317</v>
      </c>
      <c r="C69" s="50">
        <f>IF(OR(7175.82905="",5135.15317=""),"-",5135.15317/7175.82905*100)</f>
        <v>71.56181026915628</v>
      </c>
      <c r="D69" s="50">
        <f>IF(7175.82905="","-",7175.82905/1100674.36139*100)</f>
        <v>0.6519484146916912</v>
      </c>
      <c r="E69" s="50">
        <f>IF(5135.15317="","-",5135.15317/1159333.75195*100)</f>
        <v>0.4429400214875716</v>
      </c>
      <c r="F69" s="50">
        <f>IF(OR(857110.78655="",5006.40838="",7175.82905=""),"-",(7175.82905-5006.40838)/857110.78655*100)</f>
        <v>0.2531085483980718</v>
      </c>
      <c r="G69" s="50">
        <f>IF(OR(1100674.36139="",5135.15317="",7175.82905=""),"-",(5135.15317-7175.82905)/1100674.36139*100)</f>
        <v>-0.18540232711725096</v>
      </c>
    </row>
    <row r="70" spans="1:7" ht="15.75">
      <c r="A70" s="42" t="s">
        <v>223</v>
      </c>
      <c r="B70" s="50">
        <f>IF(115071.07517="","-",115071.07517)</f>
        <v>115071.07517</v>
      </c>
      <c r="C70" s="50">
        <f>IF(OR(127664.40857="",115071.07517=""),"-",115071.07517/127664.40857*100)</f>
        <v>90.13559570669618</v>
      </c>
      <c r="D70" s="50">
        <f>IF(127664.40857="","-",127664.40857/1100674.36139*100)</f>
        <v>11.598744646761595</v>
      </c>
      <c r="E70" s="50">
        <f>IF(115071.07517="","-",115071.07517/1159333.75195*100)</f>
        <v>9.925621071279119</v>
      </c>
      <c r="F70" s="50">
        <f>IF(OR(857110.78655="",102359.30229="",127664.40857=""),"-",(127664.40857-102359.30229)/857110.78655*100)</f>
        <v>2.9523728644061125</v>
      </c>
      <c r="G70" s="50">
        <f>IF(OR(1100674.36139="",115071.07517="",127664.40857=""),"-",(115071.07517-127664.40857)/1100674.36139*100)</f>
        <v>-1.1441470649044974</v>
      </c>
    </row>
    <row r="71" spans="1:7" ht="15.75">
      <c r="A71" s="42" t="s">
        <v>224</v>
      </c>
      <c r="B71" s="50">
        <f>IF(14051.50732="","-",14051.50732)</f>
        <v>14051.50732</v>
      </c>
      <c r="C71" s="50">
        <f>IF(OR(15707.29051="",14051.50732=""),"-",14051.50732/15707.29051*100)</f>
        <v>89.45850534217948</v>
      </c>
      <c r="D71" s="50">
        <f>IF(15707.29051="","-",15707.29051/1100674.36139*100)</f>
        <v>1.4270606330980453</v>
      </c>
      <c r="E71" s="50">
        <f>IF(14051.50732="","-",14051.50732/1159333.75195*100)</f>
        <v>1.212032971210004</v>
      </c>
      <c r="F71" s="50">
        <f>IF(OR(857110.78655="",12560.73882="",15707.29051=""),"-",(15707.29051-12560.73882)/857110.78655*100)</f>
        <v>0.3671114328948472</v>
      </c>
      <c r="G71" s="50">
        <f>IF(OR(1100674.36139="",14051.50732="",15707.29051=""),"-",(14051.50732-15707.29051)/1100674.36139*100)</f>
        <v>-0.1504335204018902</v>
      </c>
    </row>
    <row r="72" spans="1:7" ht="25.5">
      <c r="A72" s="42" t="s">
        <v>225</v>
      </c>
      <c r="B72" s="50">
        <f>IF(9030.14225="","-",9030.14225)</f>
        <v>9030.14225</v>
      </c>
      <c r="C72" s="50">
        <f>IF(OR(10686.68518="",9030.14225=""),"-",9030.14225/10686.68518*100)</f>
        <v>84.49900130771888</v>
      </c>
      <c r="D72" s="50">
        <f>IF(10686.68518="","-",10686.68518/1100674.36139*100)</f>
        <v>0.9709216054150829</v>
      </c>
      <c r="E72" s="50">
        <f>IF(9030.14225="","-",9030.14225/1159333.75195*100)</f>
        <v>0.7789079059253902</v>
      </c>
      <c r="F72" s="50">
        <f>IF(OR(857110.78655="",8928.47816="",10686.68518=""),"-",(10686.68518-8928.47816)/857110.78655*100)</f>
        <v>0.20513182748254144</v>
      </c>
      <c r="G72" s="50">
        <f>IF(OR(1100674.36139="",9030.14225="",10686.68518=""),"-",(9030.14225-10686.68518)/1100674.36139*100)</f>
        <v>-0.15050254535846683</v>
      </c>
    </row>
    <row r="73" spans="1:7" ht="25.5">
      <c r="A73" s="42" t="s">
        <v>226</v>
      </c>
      <c r="B73" s="50">
        <f>IF(1658.35711="","-",1658.35711)</f>
        <v>1658.35711</v>
      </c>
      <c r="C73" s="50">
        <f>IF(OR(1348.66923="",1658.35711=""),"-",1658.35711/1348.66923*100)</f>
        <v>122.96247835356931</v>
      </c>
      <c r="D73" s="50">
        <f>IF(1348.66923="","-",1348.66923/1100674.36139*100)</f>
        <v>0.12253117518762012</v>
      </c>
      <c r="E73" s="50">
        <f>IF(1658.35711="","-",1658.35711/1159333.75195*100)</f>
        <v>0.1430439773887927</v>
      </c>
      <c r="F73" s="50">
        <f>IF(OR(857110.78655="",985.09292="",1348.66923=""),"-",(1348.66923-985.09292)/857110.78655*100)</f>
        <v>0.042418823296279974</v>
      </c>
      <c r="G73" s="50">
        <f>IF(OR(1100674.36139="",1658.35711="",1348.66923=""),"-",(1658.35711-1348.66923)/1100674.36139*100)</f>
        <v>0.028136194578831365</v>
      </c>
    </row>
    <row r="74" spans="1:7" ht="15.75">
      <c r="A74" s="42" t="s">
        <v>43</v>
      </c>
      <c r="B74" s="50">
        <f>IF(26385.28117="","-",26385.28117)</f>
        <v>26385.28117</v>
      </c>
      <c r="C74" s="50">
        <f>IF(OR(20893.22036="",26385.28117=""),"-",26385.28117/20893.22036*100)</f>
        <v>126.28632980157779</v>
      </c>
      <c r="D74" s="50">
        <f>IF(20893.22036="","-",20893.22036/1100674.36139*100)</f>
        <v>1.8982199543209801</v>
      </c>
      <c r="E74" s="50">
        <f>IF(26385.28117="","-",26385.28117/1159333.75195*100)</f>
        <v>2.275900371710902</v>
      </c>
      <c r="F74" s="50">
        <f>IF(OR(857110.78655="",15646.90013="",20893.22036=""),"-",(20893.22036-15646.90013)/857110.78655*100)</f>
        <v>0.6120935954052368</v>
      </c>
      <c r="G74" s="50">
        <f>IF(OR(1100674.36139="",26385.28117="",20893.22036=""),"-",(26385.28117-20893.22036)/1100674.36139*100)</f>
        <v>0.4989723575521722</v>
      </c>
    </row>
    <row r="75" spans="1:7" ht="25.5">
      <c r="A75" s="59" t="s">
        <v>227</v>
      </c>
      <c r="B75" s="60">
        <f>IF(398.42143="","-",398.42143)</f>
        <v>398.42143</v>
      </c>
      <c r="C75" s="60">
        <f>IF(436.55828="","-",398.42143/436.55828*100)</f>
        <v>91.26420188388134</v>
      </c>
      <c r="D75" s="60">
        <f>IF(436.55828="","-",436.55828/1100674.36139*100)</f>
        <v>0.03966280085316852</v>
      </c>
      <c r="E75" s="60">
        <f>IF(398.42143="","-",398.42143/1159333.75195*100)</f>
        <v>0.034366413410275944</v>
      </c>
      <c r="F75" s="60">
        <f>IF(857110.78655="","-",(436.55828-93.41765)/857110.78655*100)</f>
        <v>0.040034571421180304</v>
      </c>
      <c r="G75" s="60">
        <f>IF(1100674.36139="","-",(398.42143-436.55828)/1100674.36139*100)</f>
        <v>-0.003464862209730992</v>
      </c>
    </row>
    <row r="76" ht="15.75">
      <c r="A76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5"/>
  <sheetViews>
    <sheetView zoomScale="97" zoomScaleNormal="97" zoomScalePageLayoutView="0" workbookViewId="0" topLeftCell="A1">
      <selection activeCell="R24" sqref="R24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125" style="0" customWidth="1"/>
    <col min="4" max="5" width="8.125" style="0" customWidth="1"/>
    <col min="6" max="7" width="9.875" style="0" customWidth="1"/>
  </cols>
  <sheetData>
    <row r="1" spans="1:7" ht="15.75">
      <c r="A1" s="76" t="s">
        <v>140</v>
      </c>
      <c r="B1" s="76"/>
      <c r="C1" s="76"/>
      <c r="D1" s="76"/>
      <c r="E1" s="76"/>
      <c r="F1" s="76"/>
      <c r="G1" s="76"/>
    </row>
    <row r="2" spans="1:7" ht="15.75">
      <c r="A2" s="76" t="s">
        <v>23</v>
      </c>
      <c r="B2" s="76"/>
      <c r="C2" s="76"/>
      <c r="D2" s="76"/>
      <c r="E2" s="76"/>
      <c r="F2" s="76"/>
      <c r="G2" s="76"/>
    </row>
    <row r="3" ht="12" customHeight="1">
      <c r="A3" s="5"/>
    </row>
    <row r="4" spans="1:7" ht="57" customHeight="1">
      <c r="A4" s="84"/>
      <c r="B4" s="87" t="s">
        <v>289</v>
      </c>
      <c r="C4" s="82"/>
      <c r="D4" s="87" t="s">
        <v>0</v>
      </c>
      <c r="E4" s="82"/>
      <c r="F4" s="79" t="s">
        <v>143</v>
      </c>
      <c r="G4" s="88"/>
    </row>
    <row r="5" spans="1:7" ht="26.25" customHeight="1">
      <c r="A5" s="85"/>
      <c r="B5" s="89" t="s">
        <v>123</v>
      </c>
      <c r="C5" s="77" t="s">
        <v>283</v>
      </c>
      <c r="D5" s="91" t="s">
        <v>284</v>
      </c>
      <c r="E5" s="91"/>
      <c r="F5" s="91" t="s">
        <v>284</v>
      </c>
      <c r="G5" s="87"/>
    </row>
    <row r="6" spans="1:7" ht="22.5" customHeight="1">
      <c r="A6" s="86"/>
      <c r="B6" s="90"/>
      <c r="C6" s="78"/>
      <c r="D6" s="26">
        <v>2018</v>
      </c>
      <c r="E6" s="26">
        <v>2019</v>
      </c>
      <c r="F6" s="26" t="s">
        <v>122</v>
      </c>
      <c r="G6" s="22" t="s">
        <v>145</v>
      </c>
    </row>
    <row r="7" spans="1:7" ht="15.75">
      <c r="A7" s="46" t="s">
        <v>155</v>
      </c>
      <c r="B7" s="48">
        <f>IF(2362156.7372="","-",2362156.7372)</f>
        <v>2362156.7372</v>
      </c>
      <c r="C7" s="48">
        <f>IF(2276206.61995="","-",2362156.7372/2276206.61995*100)</f>
        <v>103.77602439500365</v>
      </c>
      <c r="D7" s="48">
        <v>100</v>
      </c>
      <c r="E7" s="48">
        <v>100</v>
      </c>
      <c r="F7" s="48">
        <f>IF(1792621.32665="","-",(2276206.61995-1792621.32665)/1792621.32665*100)</f>
        <v>26.976433121194134</v>
      </c>
      <c r="G7" s="48">
        <f>IF(2276206.61995="","-",(2362156.7372-2276206.61995)/2276206.61995*100)</f>
        <v>3.776024395003634</v>
      </c>
    </row>
    <row r="8" spans="1:7" ht="15.75">
      <c r="A8" s="55" t="s">
        <v>162</v>
      </c>
      <c r="B8" s="58"/>
      <c r="C8" s="58"/>
      <c r="D8" s="58"/>
      <c r="E8" s="58"/>
      <c r="F8" s="58"/>
      <c r="G8" s="58"/>
    </row>
    <row r="9" spans="1:7" ht="12" customHeight="1">
      <c r="A9" s="34" t="s">
        <v>185</v>
      </c>
      <c r="B9" s="49">
        <f>IF(258002.54433="","-",258002.54433)</f>
        <v>258002.54433</v>
      </c>
      <c r="C9" s="49">
        <f>IF(243915.86662="","-",258002.54433/243915.86662*100)</f>
        <v>105.77521991709784</v>
      </c>
      <c r="D9" s="49">
        <f>IF(243915.86662="","-",243915.86662/2276206.61995*100)</f>
        <v>10.715893033707015</v>
      </c>
      <c r="E9" s="49">
        <f>IF(258002.54433="","-",258002.54433/2362156.7372*100)</f>
        <v>10.922329592566546</v>
      </c>
      <c r="F9" s="49">
        <f>IF(1792621.32665="","-",(243915.86662-201595.55279)/1792621.32665*100)</f>
        <v>2.3608061111872973</v>
      </c>
      <c r="G9" s="49">
        <f>IF(2276206.61995="","-",(258002.54433-243915.86662)/2276206.61995*100)</f>
        <v>0.6188663887775465</v>
      </c>
    </row>
    <row r="10" spans="1:7" ht="12.75" customHeight="1">
      <c r="A10" s="42" t="s">
        <v>24</v>
      </c>
      <c r="B10" s="50">
        <f>IF(2136.57268="","-",2136.57268)</f>
        <v>2136.57268</v>
      </c>
      <c r="C10" s="50">
        <f>IF(OR(2322.50528="",2136.57268=""),"-",2136.57268/2322.50528*100)</f>
        <v>91.99430883532804</v>
      </c>
      <c r="D10" s="50">
        <f>IF(2322.50528="","-",2322.50528/2276206.61995*100)</f>
        <v>0.10203402712408492</v>
      </c>
      <c r="E10" s="50">
        <f>IF(2136.57268="","-",2136.57268/2362156.7372*100)</f>
        <v>0.09045008090922038</v>
      </c>
      <c r="F10" s="50">
        <f>IF(OR(1792621.32665="",2413.18886="",2322.50528=""),"-",(2322.50528-2413.18886)/1792621.32665*100)</f>
        <v>-0.005058713664277735</v>
      </c>
      <c r="G10" s="50">
        <f>IF(OR(2276206.61995="",2136.57268="",2322.50528=""),"-",(2136.57268-2322.50528)/2276206.61995*100)</f>
        <v>-0.008168529094431852</v>
      </c>
    </row>
    <row r="11" spans="1:7" ht="14.25" customHeight="1">
      <c r="A11" s="42" t="s">
        <v>186</v>
      </c>
      <c r="B11" s="50">
        <f>IF(17557.57685="","-",17557.57685)</f>
        <v>17557.57685</v>
      </c>
      <c r="C11" s="50">
        <f>IF(OR(15785.60207="",17557.57685=""),"-",17557.57685/15785.60207*100)</f>
        <v>111.22525939867431</v>
      </c>
      <c r="D11" s="50">
        <f>IF(15785.60207="","-",15785.60207/2276206.61995*100)</f>
        <v>0.6935047957266178</v>
      </c>
      <c r="E11" s="50">
        <f>IF(17557.57685="","-",17557.57685/2362156.7372*100)</f>
        <v>0.7432858528605517</v>
      </c>
      <c r="F11" s="50">
        <f>IF(OR(1792621.32665="",10528.07534="",15785.60207=""),"-",(15785.60207-10528.07534)/1792621.32665*100)</f>
        <v>0.2932870791973182</v>
      </c>
      <c r="G11" s="50">
        <f>IF(OR(2276206.61995="",17557.57685="",15785.60207=""),"-",(17557.57685-15785.60207)/2276206.61995*100)</f>
        <v>0.0778477122625592</v>
      </c>
    </row>
    <row r="12" spans="1:7" s="9" customFormat="1" ht="13.5" customHeight="1">
      <c r="A12" s="42" t="s">
        <v>187</v>
      </c>
      <c r="B12" s="50">
        <f>IF(25498.20543="","-",25498.20543)</f>
        <v>25498.20543</v>
      </c>
      <c r="C12" s="50">
        <f>IF(OR(23218.63233="",25498.20543=""),"-",25498.20543/23218.63233*100)</f>
        <v>109.8178612228363</v>
      </c>
      <c r="D12" s="50">
        <f>IF(23218.63233="","-",23218.63233/2276206.61995*100)</f>
        <v>1.020058202383667</v>
      </c>
      <c r="E12" s="50">
        <f>IF(25498.20543="","-",25498.20543/2362156.7372*100)</f>
        <v>1.079445958367034</v>
      </c>
      <c r="F12" s="50">
        <f>IF(OR(1792621.32665="",21062.28053="",23218.63233=""),"-",(23218.63233-21062.28053)/1792621.32665*100)</f>
        <v>0.12029042430448654</v>
      </c>
      <c r="G12" s="50">
        <f>IF(OR(2276206.61995="",25498.20543="",23218.63233=""),"-",(25498.20543-23218.63233)/2276206.61995*100)</f>
        <v>0.10014789870218703</v>
      </c>
    </row>
    <row r="13" spans="1:7" s="9" customFormat="1" ht="13.5" customHeight="1">
      <c r="A13" s="42" t="s">
        <v>188</v>
      </c>
      <c r="B13" s="50">
        <f>IF(21632.1498="","-",21632.1498)</f>
        <v>21632.1498</v>
      </c>
      <c r="C13" s="50">
        <f>IF(OR(20408.65436="",21632.1498=""),"-",21632.1498/20408.65436*100)</f>
        <v>105.99498339487778</v>
      </c>
      <c r="D13" s="50">
        <f>IF(20408.65436="","-",20408.65436/2276206.61995*100)</f>
        <v>0.8966081629464862</v>
      </c>
      <c r="E13" s="50">
        <f>IF(21632.1498="","-",21632.1498/2362156.7372*100)</f>
        <v>0.9157796118830722</v>
      </c>
      <c r="F13" s="50">
        <f>IF(OR(1792621.32665="",17314.47128="",20408.65436=""),"-",(20408.65436-17314.47128)/1792621.32665*100)</f>
        <v>0.1726066199258223</v>
      </c>
      <c r="G13" s="50">
        <f>IF(OR(2276206.61995="",21632.1498="",20408.65436=""),"-",(21632.1498-20408.65436)/2276206.61995*100)</f>
        <v>0.05375151048576049</v>
      </c>
    </row>
    <row r="14" spans="1:7" s="9" customFormat="1" ht="14.25" customHeight="1">
      <c r="A14" s="42" t="s">
        <v>189</v>
      </c>
      <c r="B14" s="50">
        <f>IF(39264.50449="","-",39264.50449)</f>
        <v>39264.50449</v>
      </c>
      <c r="C14" s="50">
        <f>IF(OR(36800.05019="",39264.50449=""),"-",39264.50449/36800.05019*100)</f>
        <v>106.69687755118792</v>
      </c>
      <c r="D14" s="50">
        <f>IF(36800.05019="","-",36800.05019/2276206.61995*100)</f>
        <v>1.6167271401226468</v>
      </c>
      <c r="E14" s="50">
        <f>IF(39264.50449="","-",39264.50449/2362156.7372*100)</f>
        <v>1.6622311242793513</v>
      </c>
      <c r="F14" s="50">
        <f>IF(OR(1792621.32665="",28990.59027="",36800.05019=""),"-",(36800.05019-28990.59027)/1792621.32665*100)</f>
        <v>0.4356447066594984</v>
      </c>
      <c r="G14" s="50">
        <f>IF(OR(2276206.61995="",39264.50449="",36800.05019=""),"-",(39264.50449-36800.05019)/2276206.61995*100)</f>
        <v>0.10827023691083601</v>
      </c>
    </row>
    <row r="15" spans="1:7" s="9" customFormat="1" ht="15.75" customHeight="1">
      <c r="A15" s="42" t="s">
        <v>190</v>
      </c>
      <c r="B15" s="50">
        <f>IF(82225.04643="","-",82225.04643)</f>
        <v>82225.04643</v>
      </c>
      <c r="C15" s="50">
        <f>IF(OR(75316.37353="",82225.04643=""),"-",82225.04643/75316.37353*100)</f>
        <v>109.17286982391438</v>
      </c>
      <c r="D15" s="50">
        <f>IF(75316.37353="","-",75316.37353/2276206.61995*100)</f>
        <v>3.3088548671233733</v>
      </c>
      <c r="E15" s="50">
        <f>IF(82225.04643="","-",82225.04643/2362156.7372*100)</f>
        <v>3.4809310125400943</v>
      </c>
      <c r="F15" s="50">
        <f>IF(OR(1792621.32665="",49946.48969="",75316.37353=""),"-",(75316.37353-49946.48969)/1792621.32665*100)</f>
        <v>1.4152394297021178</v>
      </c>
      <c r="G15" s="50">
        <f>IF(OR(2276206.61995="",82225.04643="",75316.37353=""),"-",(82225.04643-75316.37353)/2276206.61995*100)</f>
        <v>0.303516949623482</v>
      </c>
    </row>
    <row r="16" spans="1:7" s="9" customFormat="1" ht="15.75">
      <c r="A16" s="42" t="s">
        <v>25</v>
      </c>
      <c r="B16" s="50">
        <f>IF(6888.87857="","-",6888.87857)</f>
        <v>6888.87857</v>
      </c>
      <c r="C16" s="50">
        <f>IF(OR(7261.36887="",6888.87857=""),"-",6888.87857/7261.36887*100)</f>
        <v>94.87024682716607</v>
      </c>
      <c r="D16" s="50">
        <f>IF(7261.36887="","-",7261.36887/2276206.61995*100)</f>
        <v>0.3190118509610303</v>
      </c>
      <c r="E16" s="50">
        <f>IF(6888.87857="","-",6888.87857/2362156.7372*100)</f>
        <v>0.29163511724314206</v>
      </c>
      <c r="F16" s="50">
        <f>IF(OR(1792621.32665="",16155.94113="",7261.36887=""),"-",(7261.36887-16155.94113)/1792621.32665*100)</f>
        <v>-0.4961768627745785</v>
      </c>
      <c r="G16" s="50">
        <f>IF(OR(2276206.61995="",6888.87857="",7261.36887=""),"-",(6888.87857-7261.36887)/2276206.61995*100)</f>
        <v>-0.016364520546389705</v>
      </c>
    </row>
    <row r="17" spans="1:7" s="9" customFormat="1" ht="25.5">
      <c r="A17" s="42" t="s">
        <v>191</v>
      </c>
      <c r="B17" s="50">
        <f>IF(20300.94035="","-",20300.94035)</f>
        <v>20300.94035</v>
      </c>
      <c r="C17" s="50">
        <f>IF(OR(19932.12101="",20300.94035=""),"-",20300.94035/19932.12101*100)</f>
        <v>101.8503767853655</v>
      </c>
      <c r="D17" s="50">
        <f>IF(19932.12101="","-",19932.12101/2276206.61995*100)</f>
        <v>0.875672745844041</v>
      </c>
      <c r="E17" s="50">
        <f>IF(20300.94035="","-",20300.94035/2362156.7372*100)</f>
        <v>0.8594239336575046</v>
      </c>
      <c r="F17" s="50">
        <f>IF(OR(1792621.32665="",17067.49189="",19932.12101=""),"-",(19932.12101-17067.49189)/1792621.32665*100)</f>
        <v>0.15980112907355262</v>
      </c>
      <c r="G17" s="50">
        <f>IF(OR(2276206.61995="",20300.94035="",19932.12101=""),"-",(20300.94035-19932.12101)/2276206.61995*100)</f>
        <v>0.016203245204870875</v>
      </c>
    </row>
    <row r="18" spans="1:7" s="9" customFormat="1" ht="25.5">
      <c r="A18" s="42" t="s">
        <v>26</v>
      </c>
      <c r="B18" s="50">
        <f>IF(13765.99812="","-",13765.99812)</f>
        <v>13765.99812</v>
      </c>
      <c r="C18" s="50">
        <f>IF(OR(15594.05306="",13765.99812=""),"-",13765.99812/15594.05306*100)</f>
        <v>88.27723021740186</v>
      </c>
      <c r="D18" s="50">
        <f>IF(15594.05306="","-",15594.05306/2276206.61995*100)</f>
        <v>0.6850895223361816</v>
      </c>
      <c r="E18" s="50">
        <f>IF(13765.99812="","-",13765.99812/2362156.7372*100)</f>
        <v>0.5827724258601751</v>
      </c>
      <c r="F18" s="50">
        <f>IF(OR(1792621.32665="",11888.83075="",15594.05306=""),"-",(15594.05306-11888.83075)/1792621.32665*100)</f>
        <v>0.20669297273865506</v>
      </c>
      <c r="G18" s="50">
        <f>IF(OR(2276206.61995="",13765.99812="",15594.05306=""),"-",(13765.99812-15594.05306)/2276206.61995*100)</f>
        <v>-0.08031146750817181</v>
      </c>
    </row>
    <row r="19" spans="1:7" s="9" customFormat="1" ht="15.75">
      <c r="A19" s="42" t="s">
        <v>192</v>
      </c>
      <c r="B19" s="50">
        <f>IF(28732.67161="","-",28732.67161)</f>
        <v>28732.67161</v>
      </c>
      <c r="C19" s="50">
        <f>IF(OR(27276.50592="",28732.67161=""),"-",28732.67161/27276.50592*100)</f>
        <v>105.33853454057068</v>
      </c>
      <c r="D19" s="50">
        <f>IF(27276.50592="","-",27276.50592/2276206.61995*100)</f>
        <v>1.1983317191388874</v>
      </c>
      <c r="E19" s="50">
        <f>IF(28732.67161="","-",28732.67161/2362156.7372*100)</f>
        <v>1.2163744749664025</v>
      </c>
      <c r="F19" s="50">
        <f>IF(OR(1792621.32665="",26228.19305="",27276.50592=""),"-",(27276.50592-26228.19305)/1792621.32665*100)</f>
        <v>0.05847932602470235</v>
      </c>
      <c r="G19" s="50">
        <f>IF(OR(2276206.61995="",28732.67161="",27276.50592=""),"-",(28732.67161-27276.50592)/2276206.61995*100)</f>
        <v>0.06397335273684374</v>
      </c>
    </row>
    <row r="20" spans="1:7" s="9" customFormat="1" ht="13.5" customHeight="1">
      <c r="A20" s="34" t="s">
        <v>193</v>
      </c>
      <c r="B20" s="49">
        <f>IF(44281.44312="","-",44281.44312)</f>
        <v>44281.44312</v>
      </c>
      <c r="C20" s="49">
        <f>IF(36814.41113="","-",44281.44312/36814.41113*100)</f>
        <v>120.2829048755723</v>
      </c>
      <c r="D20" s="49">
        <f>IF(36814.41113="","-",36814.41113/2276206.61995*100)</f>
        <v>1.6173580556060714</v>
      </c>
      <c r="E20" s="49">
        <f>IF(44281.44312="","-",44281.44312/2362156.7372*100)</f>
        <v>1.874619174191182</v>
      </c>
      <c r="F20" s="49">
        <f>IF(1792621.32665="","-",(36814.41113-37295.49493)/1792621.32665*100)</f>
        <v>-0.026836889244145956</v>
      </c>
      <c r="G20" s="49">
        <f>IF(2276206.61995="","-",(44281.44312-36814.41113)/2276206.61995*100)</f>
        <v>0.3280471959159853</v>
      </c>
    </row>
    <row r="21" spans="1:7" s="9" customFormat="1" ht="13.5" customHeight="1">
      <c r="A21" s="42" t="s">
        <v>254</v>
      </c>
      <c r="B21" s="50">
        <f>IF(22376.49886="","-",22376.49886)</f>
        <v>22376.49886</v>
      </c>
      <c r="C21" s="50">
        <f>IF(OR(22122.98898="",22376.49886=""),"-",22376.49886/22122.98898*100)</f>
        <v>101.14591152320867</v>
      </c>
      <c r="D21" s="50">
        <f>IF(22122.98898="","-",22122.98898/2276206.61995*100)</f>
        <v>0.9719235848846604</v>
      </c>
      <c r="E21" s="50">
        <f>IF(22376.49886="","-",22376.49886/2362156.7372*100)</f>
        <v>0.9472910288977754</v>
      </c>
      <c r="F21" s="50">
        <f>IF(OR(1792621.32665="",17670.22549="",22122.98898=""),"-",(22122.98898-17670.22549)/1792621.32665*100)</f>
        <v>0.2483939816961341</v>
      </c>
      <c r="G21" s="50">
        <f>IF(OR(2276206.61995="",22376.49886="",22122.98898=""),"-",(22376.49886-22122.98898)/2276206.61995*100)</f>
        <v>0.011137384355976</v>
      </c>
    </row>
    <row r="22" spans="1:7" s="9" customFormat="1" ht="15" customHeight="1">
      <c r="A22" s="42" t="s">
        <v>194</v>
      </c>
      <c r="B22" s="50">
        <f>IF(21904.94426="","-",21904.94426)</f>
        <v>21904.94426</v>
      </c>
      <c r="C22" s="50">
        <f>IF(OR(14691.42215="",21904.94426=""),"-",21904.94426/14691.42215*100)</f>
        <v>149.1002303000326</v>
      </c>
      <c r="D22" s="50">
        <f>IF(14691.42215="","-",14691.42215/2276206.61995*100)</f>
        <v>0.6454344707214109</v>
      </c>
      <c r="E22" s="50">
        <f>IF(21904.94426="","-",21904.94426/2362156.7372*100)</f>
        <v>0.9273281452934063</v>
      </c>
      <c r="F22" s="50">
        <f>IF(OR(1792621.32665="",19625.26944="",14691.42215=""),"-",(14691.42215-19625.26944)/1792621.32665*100)</f>
        <v>-0.2752308709402802</v>
      </c>
      <c r="G22" s="50">
        <f>IF(OR(2276206.61995="",21904.94426="",14691.42215=""),"-",(21904.94426-14691.42215)/2276206.61995*100)</f>
        <v>0.3169098115600092</v>
      </c>
    </row>
    <row r="23" spans="1:7" s="9" customFormat="1" ht="25.5">
      <c r="A23" s="34" t="s">
        <v>27</v>
      </c>
      <c r="B23" s="49">
        <f>IF(71939.36905="","-",71939.36905)</f>
        <v>71939.36905</v>
      </c>
      <c r="C23" s="49">
        <f>IF(69317.56211="","-",71939.36905/69317.56211*100)</f>
        <v>103.78231267833604</v>
      </c>
      <c r="D23" s="49">
        <f>IF(69317.56211="","-",69317.56211/2276206.61995*100)</f>
        <v>3.045310627886789</v>
      </c>
      <c r="E23" s="49">
        <f>IF(71939.36905="","-",71939.36905/2362156.7372*100)</f>
        <v>3.0454951577545977</v>
      </c>
      <c r="F23" s="49">
        <f>IF(1792621.32665="","-",(69317.56211-53731.68207)/1792621.32665*100)</f>
        <v>0.8694463135238075</v>
      </c>
      <c r="G23" s="49">
        <f>IF(2276206.61995="","-",(71939.36905-69317.56211)/2276206.61995*100)</f>
        <v>0.11518316997327714</v>
      </c>
    </row>
    <row r="24" spans="1:7" s="9" customFormat="1" ht="15.75">
      <c r="A24" s="42" t="s">
        <v>228</v>
      </c>
      <c r="B24" s="50">
        <f>IF(23364.97613="","-",23364.97613)</f>
        <v>23364.97613</v>
      </c>
      <c r="C24" s="50">
        <f>IF(OR(27758.92577="",23364.97613=""),"-",23364.97613/27758.92577*100)</f>
        <v>84.17103861868931</v>
      </c>
      <c r="D24" s="50">
        <f>IF(27758.92577="","-",27758.92577/2276206.61995*100)</f>
        <v>1.2195257463318405</v>
      </c>
      <c r="E24" s="50">
        <f>IF(23364.97613="","-",23364.97613/2362156.7372*100)</f>
        <v>0.9891374167531257</v>
      </c>
      <c r="F24" s="50">
        <f>IF(OR(1792621.32665="",21167.24409="",27758.92577=""),"-",(27758.92577-21167.24409)/1792621.32665*100)</f>
        <v>0.3677118854944312</v>
      </c>
      <c r="G24" s="50">
        <f>IF(OR(2276206.61995="",23364.97613="",27758.92577=""),"-",(23364.97613-27758.92577)/2276206.61995*100)</f>
        <v>-0.19303825942200808</v>
      </c>
    </row>
    <row r="25" spans="1:7" s="9" customFormat="1" ht="25.5">
      <c r="A25" s="42" t="s">
        <v>229</v>
      </c>
      <c r="B25" s="50">
        <f>IF(544.70663="","-",544.70663)</f>
        <v>544.70663</v>
      </c>
      <c r="C25" s="50" t="s">
        <v>113</v>
      </c>
      <c r="D25" s="50">
        <f>IF(305.56203="","-",305.56203/2276206.61995*100)</f>
        <v>0.01342417807425198</v>
      </c>
      <c r="E25" s="50">
        <f>IF(544.70663="","-",544.70663/2362156.7372*100)</f>
        <v>0.02305971578523075</v>
      </c>
      <c r="F25" s="50">
        <f>IF(OR(1792621.32665="",266.87154="",305.56203=""),"-",(305.56203-266.87154)/1792621.32665*100)</f>
        <v>0.0021583191845822624</v>
      </c>
      <c r="G25" s="50">
        <f>IF(OR(2276206.61995="",544.70663="",305.56203=""),"-",(544.70663-305.56203)/2276206.61995*100)</f>
        <v>0.010506278204447588</v>
      </c>
    </row>
    <row r="26" spans="1:7" s="9" customFormat="1" ht="15.75">
      <c r="A26" s="42" t="s">
        <v>196</v>
      </c>
      <c r="B26" s="50">
        <f>IF(13899.31663="","-",13899.31663)</f>
        <v>13899.31663</v>
      </c>
      <c r="C26" s="50">
        <f>IF(OR(11323.44065="",13899.31663=""),"-",13899.31663/11323.44065*100)</f>
        <v>122.74817398367341</v>
      </c>
      <c r="D26" s="50">
        <f>IF(11323.44065="","-",11323.44065/2276206.61995*100)</f>
        <v>0.49746980571775745</v>
      </c>
      <c r="E26" s="50">
        <f>IF(13899.31663="","-",13899.31663/2362156.7372*100)</f>
        <v>0.588416357437638</v>
      </c>
      <c r="F26" s="50">
        <f>IF(OR(1792621.32665="",10493.49245="",11323.44065=""),"-",(11323.44065-10493.49245)/1792621.32665*100)</f>
        <v>0.04629802109690308</v>
      </c>
      <c r="G26" s="50">
        <f>IF(OR(2276206.61995="",13899.31663="",11323.44065=""),"-",(13899.31663-11323.44065)/2276206.61995*100)</f>
        <v>0.11316529692091755</v>
      </c>
    </row>
    <row r="27" spans="1:7" s="9" customFormat="1" ht="15.75">
      <c r="A27" s="42" t="s">
        <v>255</v>
      </c>
      <c r="B27" s="50">
        <f>IF(180.4349="","-",180.4349)</f>
        <v>180.4349</v>
      </c>
      <c r="C27" s="50">
        <f>IF(OR(185.03386="",180.4349=""),"-",180.4349/185.03386*100)</f>
        <v>97.5145305837537</v>
      </c>
      <c r="D27" s="50">
        <f>IF(185.03386="","-",185.03386/2276206.61995*100)</f>
        <v>0.008129044981165396</v>
      </c>
      <c r="E27" s="50">
        <f>IF(180.4349="","-",180.4349/2362156.7372*100)</f>
        <v>0.007638565940966299</v>
      </c>
      <c r="F27" s="50">
        <f>IF(OR(1792621.32665="",192.71381="",185.03386=""),"-",(185.03386-192.71381)/1792621.32665*100)</f>
        <v>-0.00042842009552302183</v>
      </c>
      <c r="G27" s="50">
        <f>IF(OR(2276206.61995="",180.4349="",185.03386=""),"-",(180.4349-185.03386)/2276206.61995*100)</f>
        <v>-0.00020204492683977113</v>
      </c>
    </row>
    <row r="28" spans="1:7" s="9" customFormat="1" ht="26.25" customHeight="1">
      <c r="A28" s="42" t="s">
        <v>230</v>
      </c>
      <c r="B28" s="50">
        <f>IF(3221.18374="","-",3221.18374)</f>
        <v>3221.18374</v>
      </c>
      <c r="C28" s="50">
        <f>IF(OR(3630.29679="",3221.18374=""),"-",3221.18374/3630.29679*100)</f>
        <v>88.73058943481037</v>
      </c>
      <c r="D28" s="50">
        <f>IF(3630.29679="","-",3630.29679/2276206.61995*100)</f>
        <v>0.1594888951724314</v>
      </c>
      <c r="E28" s="50">
        <f>IF(3221.18374="","-",3221.18374/2362156.7372*100)</f>
        <v>0.13636621521644895</v>
      </c>
      <c r="F28" s="50">
        <f>IF(OR(1792621.32665="",3228.17037="",3630.29679=""),"-",(3630.29679-3228.17037)/1792621.32665*100)</f>
        <v>0.022432312615151273</v>
      </c>
      <c r="G28" s="50">
        <f>IF(OR(2276206.61995="",3221.18374="",3630.29679=""),"-",(3221.18374-3630.29679)/2276206.61995*100)</f>
        <v>-0.017973458402866196</v>
      </c>
    </row>
    <row r="29" spans="1:7" s="9" customFormat="1" ht="28.5" customHeight="1">
      <c r="A29" s="42" t="s">
        <v>198</v>
      </c>
      <c r="B29" s="50">
        <f>IF(10962.85027="","-",10962.85027)</f>
        <v>10962.85027</v>
      </c>
      <c r="C29" s="50" t="s">
        <v>104</v>
      </c>
      <c r="D29" s="50">
        <f>IF(5157.2613="","-",5157.2613/2276206.61995*100)</f>
        <v>0.22657263425906768</v>
      </c>
      <c r="E29" s="50">
        <f>IF(10962.85027="","-",10962.85027/2362156.7372*100)</f>
        <v>0.46410342283192</v>
      </c>
      <c r="F29" s="50">
        <f>IF(OR(1792621.32665="",3581.24227="",5157.2613=""),"-",(5157.2613-3581.24227)/1792621.32665*100)</f>
        <v>0.08791700771212066</v>
      </c>
      <c r="G29" s="50">
        <f>IF(OR(2276206.61995="",10962.85027="",5157.2613=""),"-",(10962.85027-5157.2613)/2276206.61995*100)</f>
        <v>0.25505544703703253</v>
      </c>
    </row>
    <row r="30" spans="1:7" s="9" customFormat="1" ht="15.75">
      <c r="A30" s="42" t="s">
        <v>199</v>
      </c>
      <c r="B30" s="50">
        <f>IF(545.744="","-",545.744)</f>
        <v>545.744</v>
      </c>
      <c r="C30" s="50">
        <f>IF(OR(436.40621="",545.744=""),"-",545.744/436.40621*100)</f>
        <v>125.05413247900393</v>
      </c>
      <c r="D30" s="50">
        <f>IF(436.40621="","-",436.40621/2276206.61995*100)</f>
        <v>0.01917252178141834</v>
      </c>
      <c r="E30" s="50">
        <f>IF(545.744="","-",545.744/2362156.7372*100)</f>
        <v>0.023103632007370593</v>
      </c>
      <c r="F30" s="50">
        <f>IF(OR(1792621.32665="",494.11286="",436.40621=""),"-",(436.40621-494.11286)/1792621.32665*100)</f>
        <v>-0.0032191210236152093</v>
      </c>
      <c r="G30" s="50">
        <f>IF(OR(2276206.61995="",545.744="",436.40621=""),"-",(545.744-436.40621)/2276206.61995*100)</f>
        <v>0.004803509006682433</v>
      </c>
    </row>
    <row r="31" spans="1:7" s="9" customFormat="1" ht="25.5">
      <c r="A31" s="42" t="s">
        <v>28</v>
      </c>
      <c r="B31" s="50">
        <f>IF(19220.15675="","-",19220.15675)</f>
        <v>19220.15675</v>
      </c>
      <c r="C31" s="50">
        <f>IF(OR(20481.06252="",19220.15675=""),"-",19220.15675/20481.06252*100)</f>
        <v>93.84355294668569</v>
      </c>
      <c r="D31" s="50">
        <f>IF(20481.06252="","-",20481.06252/2276206.61995*100)</f>
        <v>0.8997892520165807</v>
      </c>
      <c r="E31" s="50">
        <f>IF(19220.15675="","-",19220.15675/2362156.7372*100)</f>
        <v>0.8136698317818976</v>
      </c>
      <c r="F31" s="50">
        <f>IF(OR(1792621.32665="",14304.04209="",20481.06252=""),"-",(20481.06252-14304.04209)/1792621.32665*100)</f>
        <v>0.3445803270422672</v>
      </c>
      <c r="G31" s="50">
        <f>IF(OR(2276206.61995="",19220.15675="",20481.06252=""),"-",(19220.15675-20481.06252)/2276206.61995*100)</f>
        <v>-0.05539504889181363</v>
      </c>
    </row>
    <row r="32" spans="1:7" s="9" customFormat="1" ht="25.5">
      <c r="A32" s="34" t="s">
        <v>200</v>
      </c>
      <c r="B32" s="49">
        <f>IF(396419.08166="","-",396419.08166)</f>
        <v>396419.08166</v>
      </c>
      <c r="C32" s="49">
        <f>IF(365513.56135="","-",396419.08166/365513.56135*100)</f>
        <v>108.45536898709109</v>
      </c>
      <c r="D32" s="49">
        <f>IF(365513.56135="","-",365513.56135/2276206.61995*100)</f>
        <v>16.058013281677784</v>
      </c>
      <c r="E32" s="49">
        <f>IF(396419.08166="","-",396419.08166/2362156.7372*100)</f>
        <v>16.782082044644437</v>
      </c>
      <c r="F32" s="49">
        <f>IF(1792621.32665="","-",(365513.56135-298255.01791)/1792621.32665*100)</f>
        <v>3.7519660421362295</v>
      </c>
      <c r="G32" s="49">
        <f>IF(2276206.61995="","-",(396419.08166-365513.56135)/2276206.61995*100)</f>
        <v>1.357764274961951</v>
      </c>
    </row>
    <row r="33" spans="1:7" s="9" customFormat="1" ht="13.5" customHeight="1">
      <c r="A33" s="42" t="s">
        <v>231</v>
      </c>
      <c r="B33" s="50">
        <f>IF(7222.92693="","-",7222.92693)</f>
        <v>7222.92693</v>
      </c>
      <c r="C33" s="50" t="s">
        <v>114</v>
      </c>
      <c r="D33" s="50">
        <f>IF(4295.87789="","-",4295.87789/2276206.61995*100)</f>
        <v>0.1887296984530501</v>
      </c>
      <c r="E33" s="50">
        <f>IF(7222.92693="","-",7222.92693/2362156.7372*100)</f>
        <v>0.30577678509859385</v>
      </c>
      <c r="F33" s="50">
        <f>IF(OR(1792621.32665="",7383.30819="",4295.87789=""),"-",(4295.87789-7383.30819)/1792621.32665*100)</f>
        <v>-0.17222992129462739</v>
      </c>
      <c r="G33" s="50">
        <f>IF(OR(2276206.61995="",7222.92693="",4295.87789=""),"-",(7222.92693-4295.87789)/2276206.61995*100)</f>
        <v>0.12859329264512448</v>
      </c>
    </row>
    <row r="34" spans="1:7" s="9" customFormat="1" ht="25.5">
      <c r="A34" s="42" t="s">
        <v>201</v>
      </c>
      <c r="B34" s="50">
        <f>IF(219673.99338="","-",219673.99338)</f>
        <v>219673.99338</v>
      </c>
      <c r="C34" s="50">
        <f>IF(OR(215792.21685="",219673.99338=""),"-",219673.99338/215792.21685*100)</f>
        <v>101.79884918310019</v>
      </c>
      <c r="D34" s="50">
        <f>IF(215792.21685="","-",215792.21685/2276206.61995*100)</f>
        <v>9.480343961689213</v>
      </c>
      <c r="E34" s="50">
        <f>IF(219673.99338="","-",219673.99338/2362156.7372*100)</f>
        <v>9.299721306402056</v>
      </c>
      <c r="F34" s="50">
        <f>IF(OR(1792621.32665="",165242.08109="",215792.21685=""),"-",(215792.21685-165242.08109)/1792621.32665*100)</f>
        <v>2.8199003888047383</v>
      </c>
      <c r="G34" s="50">
        <f>IF(OR(2276206.61995="",219673.99338="",215792.21685=""),"-",(219673.99338-215792.21685)/2276206.61995*100)</f>
        <v>0.17053708990993408</v>
      </c>
    </row>
    <row r="35" spans="1:7" s="9" customFormat="1" ht="25.5" customHeight="1">
      <c r="A35" s="42" t="s">
        <v>232</v>
      </c>
      <c r="B35" s="50">
        <f>IF(150788.67391="","-",150788.67391)</f>
        <v>150788.67391</v>
      </c>
      <c r="C35" s="50">
        <f>IF(OR(127750.20817="",150788.67391=""),"-",150788.67391/127750.20817*100)</f>
        <v>118.03399467603388</v>
      </c>
      <c r="D35" s="50">
        <f>IF(127750.20817="","-",127750.20817/2276206.61995*100)</f>
        <v>5.612417038520264</v>
      </c>
      <c r="E35" s="50">
        <f>IF(150788.67391="","-",150788.67391/2362156.7372*100)</f>
        <v>6.383516874021598</v>
      </c>
      <c r="F35" s="50">
        <f>IF(OR(1792621.32665="",97485.80188="",127750.20817=""),"-",(127750.20817-97485.80188)/1792621.32665*100)</f>
        <v>1.688276594731653</v>
      </c>
      <c r="G35" s="50">
        <f>IF(OR(2276206.61995="",150788.67391="",127750.20817=""),"-",(150788.67391-127750.20817)/2276206.61995*100)</f>
        <v>1.0121429899235634</v>
      </c>
    </row>
    <row r="36" spans="1:7" s="9" customFormat="1" ht="15.75">
      <c r="A36" s="42" t="s">
        <v>29</v>
      </c>
      <c r="B36" s="50">
        <f>IF(18733.48744="","-",18733.48744)</f>
        <v>18733.48744</v>
      </c>
      <c r="C36" s="50">
        <f>IF(OR(17675.25844="",18733.48744=""),"-",18733.48744/17675.25844*100)</f>
        <v>105.98706380216298</v>
      </c>
      <c r="D36" s="50">
        <f>IF(17675.25844="","-",17675.25844/2276206.61995*100)</f>
        <v>0.7765225830152563</v>
      </c>
      <c r="E36" s="50">
        <f>IF(18733.48744="","-",18733.48744/2362156.7372*100)</f>
        <v>0.7930670791221873</v>
      </c>
      <c r="F36" s="50">
        <f>IF(OR(1792621.32665="",28143.82675="",17675.25844=""),"-",(17675.25844-28143.82675)/1792621.32665*100)</f>
        <v>-0.5839810201055324</v>
      </c>
      <c r="G36" s="50">
        <f>IF(OR(2276206.61995="",18733.48744="",17675.25844=""),"-",(18733.48744-17675.25844)/2276206.61995*100)</f>
        <v>0.04649090248332749</v>
      </c>
    </row>
    <row r="37" spans="1:7" s="9" customFormat="1" ht="25.5">
      <c r="A37" s="34" t="s">
        <v>202</v>
      </c>
      <c r="B37" s="49">
        <f>IF(4571.09119="","-",4571.09119)</f>
        <v>4571.09119</v>
      </c>
      <c r="C37" s="49">
        <f>IF(4868.11239="","-",4571.09119/4868.11239*100)</f>
        <v>93.89863716765997</v>
      </c>
      <c r="D37" s="49">
        <f>IF(4868.11239="","-",4868.11239/2276206.61995*100)</f>
        <v>0.21386952956436506</v>
      </c>
      <c r="E37" s="49">
        <f>IF(4571.09119="","-",4571.09119/2362156.7372*100)</f>
        <v>0.19351345818899288</v>
      </c>
      <c r="F37" s="49">
        <f>IF(1792621.32665="","-",(4868.11239-5437.7655)/1792621.32665*100)</f>
        <v>-0.03177765998492006</v>
      </c>
      <c r="G37" s="49">
        <f>IF(2276206.61995="","-",(4571.09119-4868.11239)/2276206.61995*100)</f>
        <v>-0.013048955986540649</v>
      </c>
    </row>
    <row r="38" spans="1:7" s="9" customFormat="1" ht="15.75">
      <c r="A38" s="42" t="s">
        <v>233</v>
      </c>
      <c r="B38" s="50">
        <f>IF(594.91025="","-",594.91025)</f>
        <v>594.91025</v>
      </c>
      <c r="C38" s="50">
        <f>IF(OR(583.69955="",594.91025=""),"-",594.91025/583.69955*100)</f>
        <v>101.92062851513248</v>
      </c>
      <c r="D38" s="50">
        <f>IF(583.69955="","-",583.69955/2276206.61995*100)</f>
        <v>0.02564352220418469</v>
      </c>
      <c r="E38" s="50">
        <f>IF(594.91025="","-",594.91025/2362156.7372*100)</f>
        <v>0.025185045540423424</v>
      </c>
      <c r="F38" s="50">
        <f>IF(OR(1792621.32665="",320.85497="",583.69955=""),"-",(583.69955-320.85497)/1792621.32665*100)</f>
        <v>0.0146625824479728</v>
      </c>
      <c r="G38" s="50">
        <f>IF(OR(2276206.61995="",594.91025="",583.69955=""),"-",(594.91025-583.69955)/2276206.61995*100)</f>
        <v>0.0004925167997379004</v>
      </c>
    </row>
    <row r="39" spans="1:7" s="9" customFormat="1" ht="25.5">
      <c r="A39" s="42" t="s">
        <v>203</v>
      </c>
      <c r="B39" s="50">
        <f>IF(2775.78728="","-",2775.78728)</f>
        <v>2775.78728</v>
      </c>
      <c r="C39" s="50">
        <f>IF(OR(3133.09421="",2775.78728=""),"-",2775.78728/3133.09421*100)</f>
        <v>88.59571701165028</v>
      </c>
      <c r="D39" s="50">
        <f>IF(3133.09421="","-",3133.09421/2276206.61995*100)</f>
        <v>0.13764542210446706</v>
      </c>
      <c r="E39" s="50">
        <f>IF(2775.78728="","-",2775.78728/2362156.7372*100)</f>
        <v>0.1175107153681216</v>
      </c>
      <c r="F39" s="50">
        <f>IF(OR(1792621.32665="",4104.54586="",3133.09421=""),"-",(3133.09421-4104.54586)/1792621.32665*100)</f>
        <v>-0.05419168206681002</v>
      </c>
      <c r="G39" s="50">
        <f>IF(OR(2276206.61995="",2775.78728="",3133.09421=""),"-",(2775.78728-3133.09421)/2276206.61995*100)</f>
        <v>-0.015697473457301908</v>
      </c>
    </row>
    <row r="40" spans="1:7" s="9" customFormat="1" ht="63.75">
      <c r="A40" s="42" t="s">
        <v>234</v>
      </c>
      <c r="B40" s="50">
        <f>IF(1200.39366="","-",1200.39366)</f>
        <v>1200.39366</v>
      </c>
      <c r="C40" s="50">
        <f>IF(OR(1151.31863="",1200.39366=""),"-",1200.39366/1151.31863*100)</f>
        <v>104.26250637497283</v>
      </c>
      <c r="D40" s="50">
        <f>IF(1151.31863="","-",1151.31863/2276206.61995*100)</f>
        <v>0.05058058525571331</v>
      </c>
      <c r="E40" s="50">
        <f>IF(1200.39366="","-",1200.39366/2362156.7372*100)</f>
        <v>0.050817697280447854</v>
      </c>
      <c r="F40" s="50">
        <f>IF(OR(1792621.32665="",1012.36467="",1151.31863=""),"-",(1151.31863-1012.36467)/1792621.32665*100)</f>
        <v>0.007751439633917173</v>
      </c>
      <c r="G40" s="50">
        <f>IF(OR(2276206.61995="",1200.39366="",1151.31863=""),"-",(1200.39366-1151.31863)/2276206.61995*100)</f>
        <v>0.0021560006710233523</v>
      </c>
    </row>
    <row r="41" spans="1:7" s="9" customFormat="1" ht="25.5">
      <c r="A41" s="34" t="s">
        <v>204</v>
      </c>
      <c r="B41" s="49">
        <f>IF(359430.59004="","-",359430.59004)</f>
        <v>359430.59004</v>
      </c>
      <c r="C41" s="49">
        <f>IF(351129.52194="","-",359430.59004/351129.52194*100)</f>
        <v>102.36410429238087</v>
      </c>
      <c r="D41" s="49">
        <f>IF(351129.52194="","-",351129.52194/2276206.61995*100)</f>
        <v>15.426082977814772</v>
      </c>
      <c r="E41" s="49">
        <f>IF(359430.59004="","-",359430.59004/2362156.7372*100)</f>
        <v>15.21620408923642</v>
      </c>
      <c r="F41" s="49">
        <f>IF(1792621.32665="","-",(351129.52194-295989.64928)/1792621.32665*100)</f>
        <v>3.075935326678492</v>
      </c>
      <c r="G41" s="49">
        <f>IF(2276206.61995="","-",(359430.59004-351129.52194)/2276206.61995*100)</f>
        <v>0.3646886898247541</v>
      </c>
    </row>
    <row r="42" spans="1:7" s="9" customFormat="1" ht="14.25" customHeight="1">
      <c r="A42" s="42" t="s">
        <v>30</v>
      </c>
      <c r="B42" s="50">
        <f>IF(9147.21498="","-",9147.21498)</f>
        <v>9147.21498</v>
      </c>
      <c r="C42" s="50">
        <f>IF(OR(9110.4292="",9147.21498=""),"-",9147.21498/9110.4292*100)</f>
        <v>100.40377658606907</v>
      </c>
      <c r="D42" s="50">
        <f>IF(9110.4292="","-",9110.4292/2276206.61995*100)</f>
        <v>0.4002461428655419</v>
      </c>
      <c r="E42" s="50">
        <f>IF(9147.21498="","-",9147.21498/2362156.7372*100)</f>
        <v>0.38723996743936306</v>
      </c>
      <c r="F42" s="50">
        <f>IF(OR(1792621.32665="",7158.00535="",9110.4292=""),"-",(9110.4292-7158.00535)/1792621.32665*100)</f>
        <v>0.10891446068248194</v>
      </c>
      <c r="G42" s="50">
        <f>IF(OR(2276206.61995="",9147.21498="",9110.4292=""),"-",(9147.21498-9110.4292)/2276206.61995*100)</f>
        <v>0.0016161002115356385</v>
      </c>
    </row>
    <row r="43" spans="1:7" s="9" customFormat="1" ht="14.25" customHeight="1">
      <c r="A43" s="42" t="s">
        <v>31</v>
      </c>
      <c r="B43" s="50">
        <f>IF(6814.89923="","-",6814.89923)</f>
        <v>6814.89923</v>
      </c>
      <c r="C43" s="50">
        <f>IF(OR(5498.66161="",6814.89923=""),"-",6814.89923/5498.66161*100)</f>
        <v>123.93741810927696</v>
      </c>
      <c r="D43" s="50">
        <f>IF(5498.66161="","-",5498.66161/2276206.61995*100)</f>
        <v>0.24157128627104973</v>
      </c>
      <c r="E43" s="50">
        <f>IF(6814.89923="","-",6814.89923/2362156.7372*100)</f>
        <v>0.28850326156079265</v>
      </c>
      <c r="F43" s="50">
        <f>IF(OR(1792621.32665="",4484.77822="",5498.66161=""),"-",(5498.66161-4484.77822)/1792621.32665*100)</f>
        <v>0.05655870400106845</v>
      </c>
      <c r="G43" s="50">
        <f>IF(OR(2276206.61995="",6814.89923="",5498.66161=""),"-",(6814.89923-5498.66161)/2276206.61995*100)</f>
        <v>0.05782592882665954</v>
      </c>
    </row>
    <row r="44" spans="1:7" s="9" customFormat="1" ht="15" customHeight="1">
      <c r="A44" s="42" t="s">
        <v>205</v>
      </c>
      <c r="B44" s="50">
        <f>IF(13621.01299="","-",13621.01299)</f>
        <v>13621.01299</v>
      </c>
      <c r="C44" s="50">
        <f>IF(OR(12628.80266="",13621.01299=""),"-",13621.01299/12628.80266*100)</f>
        <v>107.85672527089754</v>
      </c>
      <c r="D44" s="50">
        <f>IF(12628.80266="","-",12628.80266/2276206.61995*100)</f>
        <v>0.5548179391674648</v>
      </c>
      <c r="E44" s="50">
        <f>IF(13621.01299="","-",13621.01299/2362156.7372*100)</f>
        <v>0.576634597336067</v>
      </c>
      <c r="F44" s="50">
        <f>IF(OR(1792621.32665="",11023.56883="",12628.80266=""),"-",(12628.80266-11023.56883)/1792621.32665*100)</f>
        <v>0.08954673282838907</v>
      </c>
      <c r="G44" s="50">
        <f>IF(OR(2276206.61995="",13621.01299="",12628.80266=""),"-",(13621.01299-12628.80266)/2276206.61995*100)</f>
        <v>0.04359052123404311</v>
      </c>
    </row>
    <row r="45" spans="1:7" s="9" customFormat="1" ht="15.75">
      <c r="A45" s="42" t="s">
        <v>206</v>
      </c>
      <c r="B45" s="50">
        <f>IF(102705.04533="","-",102705.04533)</f>
        <v>102705.04533</v>
      </c>
      <c r="C45" s="50">
        <f>IF(OR(91838.65961="",102705.04533=""),"-",102705.04533/91838.65961*100)</f>
        <v>111.83203867101822</v>
      </c>
      <c r="D45" s="50">
        <f>IF(91838.65961="","-",91838.65961/2276206.61995*100)</f>
        <v>4.034724211988161</v>
      </c>
      <c r="E45" s="50">
        <f>IF(102705.04533="","-",102705.04533/2362156.7372*100)</f>
        <v>4.347935245471568</v>
      </c>
      <c r="F45" s="50">
        <f>IF(OR(1792621.32665="",83114.33="",91838.65961=""),"-",(91838.65961-83114.33)/1792621.32665*100)</f>
        <v>0.48668000766808794</v>
      </c>
      <c r="G45" s="50">
        <f>IF(OR(2276206.61995="",102705.04533="",91838.65961=""),"-",(102705.04533-91838.65961)/2276206.61995*100)</f>
        <v>0.4773901290313744</v>
      </c>
    </row>
    <row r="46" spans="1:7" s="9" customFormat="1" ht="38.25">
      <c r="A46" s="42" t="s">
        <v>207</v>
      </c>
      <c r="B46" s="50">
        <f>IF(44723.92939="","-",44723.92939)</f>
        <v>44723.92939</v>
      </c>
      <c r="C46" s="50">
        <f>IF(OR(46013.24233="",44723.92939=""),"-",44723.92939/46013.24233*100)</f>
        <v>97.19795242692692</v>
      </c>
      <c r="D46" s="50">
        <f>IF(46013.24233="","-",46013.24233/2276206.61995*100)</f>
        <v>2.021487940800855</v>
      </c>
      <c r="E46" s="50">
        <f>IF(44723.92939="","-",44723.92939/2362156.7372*100)</f>
        <v>1.8933514734934078</v>
      </c>
      <c r="F46" s="50">
        <f>IF(OR(1792621.32665="",42041.22327="",46013.24233=""),"-",(46013.24233-42041.22327)/1792621.32665*100)</f>
        <v>0.22157602394604978</v>
      </c>
      <c r="G46" s="50">
        <f>IF(OR(2276206.61995="",44723.92939="",46013.24233=""),"-",(44723.92939-46013.24233)/2276206.61995*100)</f>
        <v>-0.05664305378517548</v>
      </c>
    </row>
    <row r="47" spans="1:7" s="9" customFormat="1" ht="15.75">
      <c r="A47" s="42" t="s">
        <v>208</v>
      </c>
      <c r="B47" s="50">
        <f>IF(40992.20405="","-",40992.20405)</f>
        <v>40992.20405</v>
      </c>
      <c r="C47" s="50">
        <f>IF(OR(39692.96257="",40992.20405=""),"-",40992.20405/39692.96257*100)</f>
        <v>103.27322879391716</v>
      </c>
      <c r="D47" s="50">
        <f>IF(39692.96257="","-",39692.96257/2276206.61995*100)</f>
        <v>1.743820715663849</v>
      </c>
      <c r="E47" s="50">
        <f>IF(40992.20405="","-",40992.20405/2362156.7372*100)</f>
        <v>1.7353718914770413</v>
      </c>
      <c r="F47" s="50">
        <f>IF(OR(1792621.32665="",28676.11044="",39692.96257=""),"-",(39692.96257-28676.11044)/1792621.32665*100)</f>
        <v>0.6145666107067902</v>
      </c>
      <c r="G47" s="50">
        <f>IF(OR(2276206.61995="",40992.20405="",39692.96257=""),"-",(40992.20405-39692.96257)/2276206.61995*100)</f>
        <v>0.05707924177940123</v>
      </c>
    </row>
    <row r="48" spans="1:7" s="9" customFormat="1" ht="14.25" customHeight="1">
      <c r="A48" s="42" t="s">
        <v>32</v>
      </c>
      <c r="B48" s="50">
        <f>IF(20583.39462="","-",20583.39462)</f>
        <v>20583.39462</v>
      </c>
      <c r="C48" s="50">
        <f>IF(OR(21477.57715="",20583.39462=""),"-",20583.39462/21477.57715*100)</f>
        <v>95.83666945412415</v>
      </c>
      <c r="D48" s="50">
        <f>IF(21477.57715="","-",21477.57715/2276206.61995*100)</f>
        <v>0.9435688729554694</v>
      </c>
      <c r="E48" s="50">
        <f>IF(20583.39462="","-",20583.39462/2362156.7372*100)</f>
        <v>0.8713814073319571</v>
      </c>
      <c r="F48" s="50">
        <f>IF(OR(1792621.32665="",18253.46673="",21477.57715=""),"-",(21477.57715-18253.46673)/1792621.32665*100)</f>
        <v>0.1798545165154945</v>
      </c>
      <c r="G48" s="50">
        <f>IF(OR(2276206.61995="",20583.39462="",21477.57715=""),"-",(20583.39462-21477.57715)/2276206.61995*100)</f>
        <v>-0.039283891109131545</v>
      </c>
    </row>
    <row r="49" spans="1:7" s="9" customFormat="1" ht="13.5" customHeight="1">
      <c r="A49" s="42" t="s">
        <v>33</v>
      </c>
      <c r="B49" s="50">
        <f>IF(42925.26003="","-",42925.26003)</f>
        <v>42925.26003</v>
      </c>
      <c r="C49" s="50">
        <f>IF(OR(40784.57308="",42925.26003=""),"-",42925.26003/40784.57308*100)</f>
        <v>105.24876635535938</v>
      </c>
      <c r="D49" s="50">
        <f>IF(40784.57308="","-",40784.57308/2276206.61995*100)</f>
        <v>1.7917781594403714</v>
      </c>
      <c r="E49" s="50">
        <f>IF(42925.26003="","-",42925.26003/2362156.7372*100)</f>
        <v>1.8172062570615772</v>
      </c>
      <c r="F49" s="50">
        <f>IF(OR(1792621.32665="",34570.00131="",40784.57308=""),"-",(40784.57308-34570.00131)/1792621.32665*100)</f>
        <v>0.3466750996214922</v>
      </c>
      <c r="G49" s="50">
        <f>IF(OR(2276206.61995="",42925.26003="",40784.57308=""),"-",(42925.26003-40784.57308)/2276206.61995*100)</f>
        <v>0.09404624919538361</v>
      </c>
    </row>
    <row r="50" spans="1:7" s="9" customFormat="1" ht="15.75">
      <c r="A50" s="42" t="s">
        <v>209</v>
      </c>
      <c r="B50" s="50">
        <f>IF(77917.62942="","-",77917.62942)</f>
        <v>77917.62942</v>
      </c>
      <c r="C50" s="50">
        <f>IF(OR(84084.61373="",77917.62942=""),"-",77917.62942/84084.61373*100)</f>
        <v>92.66573985842106</v>
      </c>
      <c r="D50" s="50">
        <f>IF(84084.61373="","-",84084.61373/2276206.61995*100)</f>
        <v>3.6940677086620117</v>
      </c>
      <c r="E50" s="50">
        <f>IF(77917.62942="","-",77917.62942/2362156.7372*100)</f>
        <v>3.2985799880646463</v>
      </c>
      <c r="F50" s="50">
        <f>IF(OR(1792621.32665="",66668.16513="",84084.61373=""),"-",(84084.61373-66668.16513)/1792621.32665*100)</f>
        <v>0.9715631707086386</v>
      </c>
      <c r="G50" s="50">
        <f>IF(OR(2276206.61995="",77917.62942="",84084.61373=""),"-",(77917.62942-84084.61373)/2276206.61995*100)</f>
        <v>-0.2709325355593362</v>
      </c>
    </row>
    <row r="51" spans="1:7" s="9" customFormat="1" ht="25.5">
      <c r="A51" s="34" t="s">
        <v>34</v>
      </c>
      <c r="B51" s="49">
        <f>IF(432773.56849="","-",432773.56849)</f>
        <v>432773.56849</v>
      </c>
      <c r="C51" s="49">
        <f>IF(444988.46857="","-",432773.56849/444988.46857*100)</f>
        <v>97.2550075018228</v>
      </c>
      <c r="D51" s="49">
        <f>IF(444988.46857="","-",444988.46857/2276206.61995*100)</f>
        <v>19.54956393984017</v>
      </c>
      <c r="E51" s="49">
        <f>IF(432773.56849="","-",432773.56849/2362156.7372*100)</f>
        <v>18.321119918697324</v>
      </c>
      <c r="F51" s="49">
        <f>IF(1792621.32665="","-",(444988.46857-341806.94671)/1792621.32665*100)</f>
        <v>5.755901724812276</v>
      </c>
      <c r="G51" s="49">
        <f>IF(2276206.61995="","-",(432773.56849-444988.46857)/2276206.61995*100)</f>
        <v>-0.5366340635749651</v>
      </c>
    </row>
    <row r="52" spans="1:7" s="9" customFormat="1" ht="15.75">
      <c r="A52" s="42" t="s">
        <v>258</v>
      </c>
      <c r="B52" s="50">
        <f>IF(20724.39933="","-",20724.39933)</f>
        <v>20724.39933</v>
      </c>
      <c r="C52" s="50">
        <f>IF(OR(25803.47137="",20724.39933=""),"-",20724.39933/25803.47137*100)</f>
        <v>80.31632268708968</v>
      </c>
      <c r="D52" s="50">
        <f>IF(25803.47137="","-",25803.47137/2276206.61995*100)</f>
        <v>1.1336172711142896</v>
      </c>
      <c r="E52" s="50">
        <f>IF(20724.39933="","-",20724.39933/2362156.7372*100)</f>
        <v>0.877350727986231</v>
      </c>
      <c r="F52" s="50">
        <f>IF(OR(1792621.32665="",14675.74811="",25803.47137=""),"-",(25803.47137-14675.74811)/1792621.32665*100)</f>
        <v>0.6207514712990263</v>
      </c>
      <c r="G52" s="50">
        <f>IF(OR(2276206.61995="",20724.39933="",25803.47137=""),"-",(20724.39933-25803.47137)/2276206.61995*100)</f>
        <v>-0.22313756560955644</v>
      </c>
    </row>
    <row r="53" spans="1:7" s="9" customFormat="1" ht="15" customHeight="1">
      <c r="A53" s="42" t="s">
        <v>35</v>
      </c>
      <c r="B53" s="50">
        <f>IF(24549.12382="","-",24549.12382)</f>
        <v>24549.12382</v>
      </c>
      <c r="C53" s="50">
        <f>IF(OR(25508.25987="",24549.12382=""),"-",24549.12382/25508.25987*100)</f>
        <v>96.2399001151465</v>
      </c>
      <c r="D53" s="50">
        <f>IF(25508.25987="","-",25508.25987/2276206.61995*100)</f>
        <v>1.120647820212399</v>
      </c>
      <c r="E53" s="50">
        <f>IF(24549.12382="","-",24549.12382/2362156.7372*100)</f>
        <v>1.0392673539986803</v>
      </c>
      <c r="F53" s="50">
        <f>IF(OR(1792621.32665="",20135.07502="",25508.25987=""),"-",(25508.25987-20135.07502)/1792621.32665*100)</f>
        <v>0.29973897833968416</v>
      </c>
      <c r="G53" s="50">
        <f>IF(OR(2276206.61995="",24549.12382="",25508.25987=""),"-",(24549.12382-25508.25987)/2276206.61995*100)</f>
        <v>-0.042137477397419645</v>
      </c>
    </row>
    <row r="54" spans="1:7" s="9" customFormat="1" ht="15.75">
      <c r="A54" s="42" t="s">
        <v>36</v>
      </c>
      <c r="B54" s="50">
        <f>IF(32125.17025="","-",32125.17025)</f>
        <v>32125.17025</v>
      </c>
      <c r="C54" s="50">
        <f>IF(OR(29133.69541="",32125.17025=""),"-",32125.17025/29133.69541*100)</f>
        <v>110.26809266006532</v>
      </c>
      <c r="D54" s="50">
        <f>IF(29133.69541="","-",29133.69541/2276206.61995*100)</f>
        <v>1.2799231473388808</v>
      </c>
      <c r="E54" s="50">
        <f>IF(32125.17025="","-",32125.17025/2362156.7372*100)</f>
        <v>1.3599931682806032</v>
      </c>
      <c r="F54" s="50">
        <f>IF(OR(1792621.32665="",21340.66003="",29133.69541=""),"-",(29133.69541-21340.66003)/1792621.32665*100)</f>
        <v>0.43472847634605605</v>
      </c>
      <c r="G54" s="50">
        <f>IF(OR(2276206.61995="",32125.17025="",29133.69541=""),"-",(32125.17025-29133.69541)/2276206.61995*100)</f>
        <v>0.13142369474638074</v>
      </c>
    </row>
    <row r="55" spans="1:7" s="9" customFormat="1" ht="25.5">
      <c r="A55" s="42" t="s">
        <v>211</v>
      </c>
      <c r="B55" s="50">
        <f>IF(41990.70005="","-",41990.70005)</f>
        <v>41990.70005</v>
      </c>
      <c r="C55" s="50">
        <f>IF(OR(39678.18277="",41990.70005=""),"-",41990.70005/39678.18277*100)</f>
        <v>105.82818344631563</v>
      </c>
      <c r="D55" s="50">
        <f>IF(39678.18277="","-",39678.18277/2276206.61995*100)</f>
        <v>1.7431713985117738</v>
      </c>
      <c r="E55" s="50">
        <f>IF(41990.70005="","-",41990.70005/2362156.7372*100)</f>
        <v>1.7776424141851817</v>
      </c>
      <c r="F55" s="50">
        <f>IF(OR(1792621.32665="",32030.41403="",39678.18277=""),"-",(39678.18277-32030.41403)/1792621.32665*100)</f>
        <v>0.4266248887204714</v>
      </c>
      <c r="G55" s="50">
        <f>IF(OR(2276206.61995="",41990.70005="",39678.18277=""),"-",(41990.70005-39678.18277)/2276206.61995*100)</f>
        <v>0.10159522688897185</v>
      </c>
    </row>
    <row r="56" spans="1:7" s="9" customFormat="1" ht="25.5">
      <c r="A56" s="42" t="s">
        <v>212</v>
      </c>
      <c r="B56" s="50">
        <f>IF(115522.44322="","-",115522.44322)</f>
        <v>115522.44322</v>
      </c>
      <c r="C56" s="50">
        <f>IF(OR(127682.34364="",115522.44322=""),"-",115522.44322/127682.34364*100)</f>
        <v>90.4764432784185</v>
      </c>
      <c r="D56" s="50">
        <f>IF(127682.34364="","-",127682.34364/2276206.61995*100)</f>
        <v>5.60943556357835</v>
      </c>
      <c r="E56" s="50">
        <f>IF(115522.44322="","-",115522.44322/2362156.7372*100)</f>
        <v>4.890549445797377</v>
      </c>
      <c r="F56" s="50">
        <f>IF(OR(1792621.32665="",109257.68063="",127682.34364=""),"-",(127682.34364-109257.68063)/1792621.32665*100)</f>
        <v>1.0278056350267513</v>
      </c>
      <c r="G56" s="50">
        <f>IF(OR(2276206.61995="",115522.44322="",127682.34364=""),"-",(115522.44322-127682.34364)/2276206.61995*100)</f>
        <v>-0.5342177776579489</v>
      </c>
    </row>
    <row r="57" spans="1:7" s="9" customFormat="1" ht="13.5" customHeight="1">
      <c r="A57" s="42" t="s">
        <v>37</v>
      </c>
      <c r="B57" s="50">
        <f>IF(48011.36681="","-",48011.36681)</f>
        <v>48011.36681</v>
      </c>
      <c r="C57" s="50">
        <f>IF(OR(43232.41794="",48011.36681=""),"-",48011.36681/43232.41794*100)</f>
        <v>111.05408648813595</v>
      </c>
      <c r="D57" s="50">
        <f>IF(43232.41794="","-",43232.41794/2276206.61995*100)</f>
        <v>1.899318698095591</v>
      </c>
      <c r="E57" s="50">
        <f>IF(48011.36681="","-",48011.36681/2362156.7372*100)</f>
        <v>2.0325224848081263</v>
      </c>
      <c r="F57" s="50">
        <f>IF(OR(1792621.32665="",39592.37627="",43232.41794=""),"-",(43232.41794-39592.37627)/1792621.32665*100)</f>
        <v>0.20305692093948283</v>
      </c>
      <c r="G57" s="50">
        <f>IF(OR(2276206.61995="",48011.36681="",43232.41794=""),"-",(48011.36681-43232.41794)/2276206.61995*100)</f>
        <v>0.20995233157282425</v>
      </c>
    </row>
    <row r="58" spans="1:7" s="9" customFormat="1" ht="14.25" customHeight="1">
      <c r="A58" s="42" t="s">
        <v>213</v>
      </c>
      <c r="B58" s="50">
        <f>IF(50261.65125="","-",50261.65125)</f>
        <v>50261.65125</v>
      </c>
      <c r="C58" s="50">
        <f>IF(OR(48580.75742="",50261.65125=""),"-",50261.65125/48580.75742*100)</f>
        <v>103.45999922452424</v>
      </c>
      <c r="D58" s="50">
        <f>IF(48580.75742="","-",48580.75742/2276206.61995*100)</f>
        <v>2.134285920891801</v>
      </c>
      <c r="E58" s="50">
        <f>IF(50261.65125="","-",50261.65125/2362156.7372*100)</f>
        <v>2.1277864613496402</v>
      </c>
      <c r="F58" s="50">
        <f>IF(OR(1792621.32665="",32806.25247="",48580.75742=""),"-",(48580.75742-32806.25247)/1792621.32665*100)</f>
        <v>0.8799686088460719</v>
      </c>
      <c r="G58" s="50">
        <f>IF(OR(2276206.61995="",50261.65125="",48580.75742=""),"-",(50261.65125-48580.75742)/2276206.61995*100)</f>
        <v>0.07384627631198629</v>
      </c>
    </row>
    <row r="59" spans="1:7" s="9" customFormat="1" ht="14.25" customHeight="1">
      <c r="A59" s="42" t="s">
        <v>38</v>
      </c>
      <c r="B59" s="50">
        <f>IF(37858.26503="","-",37858.26503)</f>
        <v>37858.26503</v>
      </c>
      <c r="C59" s="50">
        <f>IF(OR(43480.55719="",37858.26503=""),"-",37858.26503/43480.55719*100)</f>
        <v>87.06941096584416</v>
      </c>
      <c r="D59" s="50">
        <f>IF(43480.55719="","-",43480.55719/2276206.61995*100)</f>
        <v>1.9102201359450885</v>
      </c>
      <c r="E59" s="50">
        <f>IF(37858.26503="","-",37858.26503/2362156.7372*100)</f>
        <v>1.602699111104523</v>
      </c>
      <c r="F59" s="50">
        <f>IF(OR(1792621.32665="",25956.45911="",43480.55719=""),"-",(43480.55719-25956.45911)/1792621.32665*100)</f>
        <v>0.977568314036994</v>
      </c>
      <c r="G59" s="50">
        <f>IF(OR(2276206.61995="",37858.26503="",43480.55719=""),"-",(37858.26503-43480.55719)/2276206.61995*100)</f>
        <v>-0.24700271542675234</v>
      </c>
    </row>
    <row r="60" spans="1:7" s="9" customFormat="1" ht="15" customHeight="1">
      <c r="A60" s="42" t="s">
        <v>39</v>
      </c>
      <c r="B60" s="50">
        <f>IF(61730.44873="","-",61730.44873)</f>
        <v>61730.44873</v>
      </c>
      <c r="C60" s="50">
        <f>IF(OR(61888.78296="",61730.44873=""),"-",61730.44873/61888.78296*100)</f>
        <v>99.74416328383394</v>
      </c>
      <c r="D60" s="50">
        <f>IF(61888.78296="","-",61888.78296/2276206.61995*100)</f>
        <v>2.718943984151995</v>
      </c>
      <c r="E60" s="50">
        <f>IF(61730.44873="","-",61730.44873/2362156.7372*100)</f>
        <v>2.6133087511869615</v>
      </c>
      <c r="F60" s="50">
        <f>IF(OR(1792621.32665="",46012.28104="",61888.78296=""),"-",(61888.78296-46012.28104)/1792621.32665*100)</f>
        <v>0.8856584312577356</v>
      </c>
      <c r="G60" s="50">
        <f>IF(OR(2276206.61995="",61730.44873="",61888.78296=""),"-",(61730.44873-61888.78296)/2276206.61995*100)</f>
        <v>-0.00695605700344894</v>
      </c>
    </row>
    <row r="61" spans="1:7" s="9" customFormat="1" ht="15.75">
      <c r="A61" s="34" t="s">
        <v>214</v>
      </c>
      <c r="B61" s="49">
        <f>IF(550301.89856="","-",550301.89856)</f>
        <v>550301.89856</v>
      </c>
      <c r="C61" s="49">
        <f>IF(534318.06606="","-",550301.89856/534318.06606*100)</f>
        <v>102.99144526739718</v>
      </c>
      <c r="D61" s="49">
        <f>IF(534318.06606="","-",534318.06606/2276206.61995*100)</f>
        <v>23.474058171034446</v>
      </c>
      <c r="E61" s="49">
        <f>IF(550301.89856="","-",550301.89856/2362156.7372*100)</f>
        <v>23.29658696621057</v>
      </c>
      <c r="F61" s="49">
        <f>IF(1792621.32665="","-",(534318.06606-370044.75694)/1792621.32665*100)</f>
        <v>9.163860023186787</v>
      </c>
      <c r="G61" s="49">
        <f>IF(2276206.61995="","-",(550301.89856-534318.06606)/2276206.61995*100)</f>
        <v>0.7022136022234714</v>
      </c>
    </row>
    <row r="62" spans="1:7" s="9" customFormat="1" ht="25.5">
      <c r="A62" s="42" t="s">
        <v>215</v>
      </c>
      <c r="B62" s="50">
        <f>IF(6095.68299="","-",6095.68299)</f>
        <v>6095.68299</v>
      </c>
      <c r="C62" s="50">
        <f>IF(OR(12613.24877="",6095.68299=""),"-",6095.68299/12613.24877*100)</f>
        <v>48.327620434303064</v>
      </c>
      <c r="D62" s="50">
        <f>IF(12613.24877="","-",12613.24877/2276206.61995*100)</f>
        <v>0.5541346141185138</v>
      </c>
      <c r="E62" s="50">
        <f>IF(6095.68299="","-",6095.68299/2362156.7372*100)</f>
        <v>0.258055822207021</v>
      </c>
      <c r="F62" s="50">
        <f>IF(OR(1792621.32665="",5327.80898="",12613.24877=""),"-",(12613.24877-5327.80898)/1792621.32665*100)</f>
        <v>0.40641264731658777</v>
      </c>
      <c r="G62" s="50">
        <f>IF(OR(2276206.61995="",6095.68299="",12613.24877=""),"-",(6095.68299-12613.24877)/2276206.61995*100)</f>
        <v>-0.2863345411122285</v>
      </c>
    </row>
    <row r="63" spans="1:7" s="9" customFormat="1" ht="25.5">
      <c r="A63" s="42" t="s">
        <v>235</v>
      </c>
      <c r="B63" s="50">
        <f>IF(82222.34447="","-",82222.34447)</f>
        <v>82222.34447</v>
      </c>
      <c r="C63" s="50">
        <f>IF(OR(88316.19153="",82222.34447=""),"-",82222.34447/88316.19153*100)</f>
        <v>93.09996620729508</v>
      </c>
      <c r="D63" s="50">
        <f>IF(88316.19153="","-",88316.19153/2276206.61995*100)</f>
        <v>3.8799725277989037</v>
      </c>
      <c r="E63" s="50">
        <f>IF(82222.34447="","-",82222.34447/2362156.7372*100)</f>
        <v>3.4808166272430703</v>
      </c>
      <c r="F63" s="50">
        <f>IF(OR(1792621.32665="",54748.67626="",88316.19153=""),"-",(88316.19153-54748.67626)/1792621.32665*100)</f>
        <v>1.8725379850707244</v>
      </c>
      <c r="G63" s="50">
        <f>IF(OR(2276206.61995="",82222.34447="",88316.19153=""),"-",(82222.34447-88316.19153)/2276206.61995*100)</f>
        <v>-0.2677194155657916</v>
      </c>
    </row>
    <row r="64" spans="1:7" s="9" customFormat="1" ht="25.5">
      <c r="A64" s="42" t="s">
        <v>216</v>
      </c>
      <c r="B64" s="50">
        <f>IF(4118.20217="","-",4118.20217)</f>
        <v>4118.20217</v>
      </c>
      <c r="C64" s="50">
        <f>IF(OR(4244.94938="",4118.20217=""),"-",4118.20217/4244.94938*100)</f>
        <v>97.0141643950534</v>
      </c>
      <c r="D64" s="50">
        <f>IF(4244.94938="","-",4244.94938/2276206.61995*100)</f>
        <v>0.1864922693218969</v>
      </c>
      <c r="E64" s="50">
        <f>IF(4118.20217="","-",4118.20217/2362156.7372*100)</f>
        <v>0.17434076685705205</v>
      </c>
      <c r="F64" s="50">
        <f>IF(OR(1792621.32665="",3844.41197="",4244.94938=""),"-",(4244.94938-3844.41197)/1792621.32665*100)</f>
        <v>0.02234367091618356</v>
      </c>
      <c r="G64" s="50">
        <f>IF(OR(2276206.61995="",4118.20217="",4244.94938=""),"-",(4118.20217-4244.94938)/2276206.61995*100)</f>
        <v>-0.005568352577886124</v>
      </c>
    </row>
    <row r="65" spans="1:7" s="9" customFormat="1" ht="38.25">
      <c r="A65" s="42" t="s">
        <v>217</v>
      </c>
      <c r="B65" s="50">
        <f>IF(74618.35906="","-",74618.35906)</f>
        <v>74618.35906</v>
      </c>
      <c r="C65" s="50">
        <f>IF(OR(66405.61608="",74618.35906=""),"-",74618.35906/66405.61608*100)</f>
        <v>112.36754278449274</v>
      </c>
      <c r="D65" s="50">
        <f>IF(66405.61608="","-",66405.61608/2276206.61995*100)</f>
        <v>2.9173808518955404</v>
      </c>
      <c r="E65" s="50">
        <f>IF(74618.35906="","-",74618.35906/2362156.7372*100)</f>
        <v>3.1589080387802477</v>
      </c>
      <c r="F65" s="50">
        <f>IF(OR(1792621.32665="",52146.20454="",66405.61608=""),"-",(66405.61608-52146.20454)/1792621.32665*100)</f>
        <v>0.7954502899197118</v>
      </c>
      <c r="G65" s="50">
        <f>IF(OR(2276206.61995="",74618.35906="",66405.61608=""),"-",(74618.35906-66405.61608)/2276206.61995*100)</f>
        <v>0.36080832504477994</v>
      </c>
    </row>
    <row r="66" spans="1:7" s="9" customFormat="1" ht="25.5">
      <c r="A66" s="42" t="s">
        <v>218</v>
      </c>
      <c r="B66" s="50">
        <f>IF(18632.44295="","-",18632.44295)</f>
        <v>18632.44295</v>
      </c>
      <c r="C66" s="50">
        <f>IF(OR(22376.60426="",18632.44295=""),"-",18632.44295/22376.60426*100)</f>
        <v>83.26751786600171</v>
      </c>
      <c r="D66" s="50">
        <f>IF(22376.60426="","-",22376.60426/2276206.61995*100)</f>
        <v>0.9830655997517278</v>
      </c>
      <c r="E66" s="50">
        <f>IF(18632.44295="","-",18632.44295/2362156.7372*100)</f>
        <v>0.7887894421470993</v>
      </c>
      <c r="F66" s="50">
        <f>IF(OR(1792621.32665="",14315.15094="",22376.60426=""),"-",(22376.60426-14315.15094)/1792621.32665*100)</f>
        <v>0.44970196438893295</v>
      </c>
      <c r="G66" s="50">
        <f>IF(OR(2276206.61995="",18632.44295="",22376.60426=""),"-",(18632.44295-22376.60426)/2276206.61995*100)</f>
        <v>-0.16449127584394094</v>
      </c>
    </row>
    <row r="67" spans="1:7" s="9" customFormat="1" ht="40.5" customHeight="1">
      <c r="A67" s="42" t="s">
        <v>219</v>
      </c>
      <c r="B67" s="50">
        <f>IF(58393.37779="","-",58393.37779)</f>
        <v>58393.37779</v>
      </c>
      <c r="C67" s="50">
        <f>IF(OR(54218.5174899999="",58393.37779=""),"-",58393.37779/54218.5174899999*100)</f>
        <v>107.70006354520874</v>
      </c>
      <c r="D67" s="50">
        <f>IF(54218.5174899999="","-",54218.5174899999/2276206.61995*100)</f>
        <v>2.3819681840302738</v>
      </c>
      <c r="E67" s="50">
        <f>IF(58393.37779="","-",58393.37779/2362156.7372*100)</f>
        <v>2.472036544840671</v>
      </c>
      <c r="F67" s="50">
        <f>IF(OR(1792621.32665="",35423.7891999999="",54218.5174899999=""),"-",(54218.5174899999-35423.7891999999)/1792621.32665*100)</f>
        <v>1.0484494416410328</v>
      </c>
      <c r="G67" s="50">
        <f>IF(OR(2276206.61995="",58393.37779="",54218.5174899999=""),"-",(58393.37779-54218.5174899999)/2276206.61995*100)</f>
        <v>0.18341306379698552</v>
      </c>
    </row>
    <row r="68" spans="1:7" s="9" customFormat="1" ht="38.25">
      <c r="A68" s="42" t="s">
        <v>236</v>
      </c>
      <c r="B68" s="50">
        <f>IF(171531.54942="","-",171531.54942)</f>
        <v>171531.54942</v>
      </c>
      <c r="C68" s="50">
        <f>IF(OR(165327.92531="",171531.54942=""),"-",171531.54942/165327.92531*100)</f>
        <v>103.7523147395504</v>
      </c>
      <c r="D68" s="50">
        <f>IF(165327.92531="","-",165327.92531/2276206.61995*100)</f>
        <v>7.263309220743398</v>
      </c>
      <c r="E68" s="50">
        <f>IF(171531.54942="","-",171531.54942/2362156.7372*100)</f>
        <v>7.26164977618404</v>
      </c>
      <c r="F68" s="50">
        <f>IF(OR(1792621.32665="",110302.16946="",165327.92531=""),"-",(165327.92531-110302.16946)/1792621.32665*100)</f>
        <v>3.069569408327333</v>
      </c>
      <c r="G68" s="50">
        <f>IF(OR(2276206.61995="",171531.54942="",165327.92531=""),"-",(171531.54942-165327.92531)/2276206.61995*100)</f>
        <v>0.2725422224690777</v>
      </c>
    </row>
    <row r="69" spans="1:7" s="9" customFormat="1" ht="25.5">
      <c r="A69" s="42" t="s">
        <v>40</v>
      </c>
      <c r="B69" s="50">
        <f>IF(131904.61195="","-",131904.61195)</f>
        <v>131904.61195</v>
      </c>
      <c r="C69" s="50">
        <f>IF(OR(119718.04373="",131904.61195=""),"-",131904.61195/119718.04373*100)</f>
        <v>110.17939137686241</v>
      </c>
      <c r="D69" s="50">
        <f>IF(119718.04373="","-",119718.04373/2276206.61995*100)</f>
        <v>5.2595420240289865</v>
      </c>
      <c r="E69" s="50">
        <f>IF(131904.61195="","-",131904.61195/2362156.7372*100)</f>
        <v>5.584075344058418</v>
      </c>
      <c r="F69" s="50">
        <f>IF(OR(1792621.32665="",93222.38104="",119718.04373=""),"-",(119718.04373-93222.38104)/1792621.32665*100)</f>
        <v>1.478040135755517</v>
      </c>
      <c r="G69" s="50">
        <f>IF(OR(2276206.61995="",131904.61195="",119718.04373=""),"-",(131904.61195-119718.04373)/2276206.61995*100)</f>
        <v>0.5353893672564611</v>
      </c>
    </row>
    <row r="70" spans="1:7" s="9" customFormat="1" ht="14.25" customHeight="1">
      <c r="A70" s="42" t="s">
        <v>41</v>
      </c>
      <c r="B70" s="50">
        <f>IF(2785.32776="","-",2785.32776)</f>
        <v>2785.32776</v>
      </c>
      <c r="C70" s="50" t="s">
        <v>170</v>
      </c>
      <c r="D70" s="50">
        <f>IF(1096.96951="","-",1096.96951/2276206.61995*100)</f>
        <v>0.048192879345201806</v>
      </c>
      <c r="E70" s="50">
        <f>IF(2785.32776="","-",2785.32776/2362156.7372*100)</f>
        <v>0.11791460389294951</v>
      </c>
      <c r="F70" s="50">
        <f>IF(OR(1792621.32665="",714.16455="",1096.96951=""),"-",(1096.96951-714.16455)/1792621.32665*100)</f>
        <v>0.02135447985076553</v>
      </c>
      <c r="G70" s="50">
        <f>IF(OR(2276206.61995="",2785.32776="",1096.96951=""),"-",(2785.32776-1096.96951)/2276206.61995*100)</f>
        <v>0.07417420875601738</v>
      </c>
    </row>
    <row r="71" spans="1:7" s="9" customFormat="1" ht="15.75">
      <c r="A71" s="34" t="s">
        <v>42</v>
      </c>
      <c r="B71" s="49">
        <f>IF(244304.12186="","-",244304.12186)</f>
        <v>244304.12186</v>
      </c>
      <c r="C71" s="49">
        <f>IF(225069.34396="","-",244304.12186/225069.34396*100)</f>
        <v>108.54615629191085</v>
      </c>
      <c r="D71" s="49">
        <f>IF(225069.34396="","-",225069.34396/2276206.61995*100)</f>
        <v>9.887913600960529</v>
      </c>
      <c r="E71" s="49">
        <f>IF(244304.12186="","-",244304.12186/2362156.7372*100)</f>
        <v>10.342417927338206</v>
      </c>
      <c r="F71" s="49">
        <f>IF(1792621.32665="","-",(225069.34396-188036.75871)/1792621.32665*100)</f>
        <v>2.0658342450497034</v>
      </c>
      <c r="G71" s="49">
        <f>IF(2276206.61995="","-",(244304.12186-225069.34396)/2276206.61995*100)</f>
        <v>0.845036550347197</v>
      </c>
    </row>
    <row r="72" spans="1:7" s="9" customFormat="1" ht="38.25">
      <c r="A72" s="42" t="s">
        <v>220</v>
      </c>
      <c r="B72" s="50">
        <f>IF(15535.8285="","-",15535.8285)</f>
        <v>15535.8285</v>
      </c>
      <c r="C72" s="50">
        <f>IF(OR(14193.89768="",15535.8285=""),"-",15535.8285/14193.89768*100)</f>
        <v>109.45427993250125</v>
      </c>
      <c r="D72" s="50">
        <f>IF(14193.89768="","-",14193.89768/2276206.61995*100)</f>
        <v>0.6235768561428658</v>
      </c>
      <c r="E72" s="50">
        <f>IF(15535.8285="","-",15535.8285/2362156.7372*100)</f>
        <v>0.6576967673371036</v>
      </c>
      <c r="F72" s="50">
        <f>IF(OR(1792621.32665="",12167.94645="",14193.89768=""),"-",(14193.89768-12167.94645)/1792621.32665*100)</f>
        <v>0.11301612894375417</v>
      </c>
      <c r="G72" s="50">
        <f>IF(OR(2276206.61995="",15535.8285="",14193.89768=""),"-",(15535.8285-14193.89768)/2276206.61995*100)</f>
        <v>0.05895470157403711</v>
      </c>
    </row>
    <row r="73" spans="1:7" s="9" customFormat="1" ht="15.75">
      <c r="A73" s="42" t="s">
        <v>221</v>
      </c>
      <c r="B73" s="50">
        <f>IF(20465.82136="","-",20465.82136)</f>
        <v>20465.82136</v>
      </c>
      <c r="C73" s="50">
        <f>IF(OR(20419.27482="",20465.82136=""),"-",20465.82136/20419.27482*100)</f>
        <v>100.227953932793</v>
      </c>
      <c r="D73" s="50">
        <f>IF(20419.27482="","-",20419.27482/2276206.61995*100)</f>
        <v>0.897074748884112</v>
      </c>
      <c r="E73" s="50">
        <f>IF(20465.82136="","-",20465.82136/2362156.7372*100)</f>
        <v>0.8664040382121008</v>
      </c>
      <c r="F73" s="50">
        <f>IF(OR(1792621.32665="",17059.90741="",20419.27482=""),"-",(20419.27482-17059.90741)/1792621.32665*100)</f>
        <v>0.1873997235254302</v>
      </c>
      <c r="G73" s="50">
        <f>IF(OR(2276206.61995="",20465.82136="",20419.27482=""),"-",(20465.82136-20419.27482)/2276206.61995*100)</f>
        <v>0.0020449171701743605</v>
      </c>
    </row>
    <row r="74" spans="1:7" s="9" customFormat="1" ht="15.75">
      <c r="A74" s="42" t="s">
        <v>222</v>
      </c>
      <c r="B74" s="50">
        <f>IF(4133.35338="","-",4133.35338)</f>
        <v>4133.35338</v>
      </c>
      <c r="C74" s="50">
        <f>IF(OR(3186.23017="",4133.35338=""),"-",4133.35338/3186.23017*100)</f>
        <v>129.72551132424937</v>
      </c>
      <c r="D74" s="50">
        <f>IF(3186.23017="","-",3186.23017/2276206.61995*100)</f>
        <v>0.13997983056872004</v>
      </c>
      <c r="E74" s="50">
        <f>IF(4133.35338="","-",4133.35338/2362156.7372*100)</f>
        <v>0.17498218111044997</v>
      </c>
      <c r="F74" s="50">
        <f>IF(OR(1792621.32665="",7978.82405="",3186.23017=""),"-",(3186.23017-7978.82405)/1792621.32665*100)</f>
        <v>-0.2673511582591882</v>
      </c>
      <c r="G74" s="50">
        <f>IF(OR(2276206.61995="",4133.35338="",3186.23017=""),"-",(4133.35338-3186.23017)/2276206.61995*100)</f>
        <v>0.04160972038736995</v>
      </c>
    </row>
    <row r="75" spans="1:7" s="9" customFormat="1" ht="14.25" customHeight="1">
      <c r="A75" s="42" t="s">
        <v>223</v>
      </c>
      <c r="B75" s="50">
        <f>IF(56899.48215="","-",56899.48215)</f>
        <v>56899.48215</v>
      </c>
      <c r="C75" s="50">
        <f>IF(OR(58385.72414="",56899.48215=""),"-",56899.48215/58385.72414*100)</f>
        <v>97.4544428250368</v>
      </c>
      <c r="D75" s="50">
        <f>IF(58385.72414="","-",58385.72414/2276206.61995*100)</f>
        <v>2.565045001990308</v>
      </c>
      <c r="E75" s="50">
        <f>IF(56899.48215="","-",56899.48215/2362156.7372*100)</f>
        <v>2.4087936779947223</v>
      </c>
      <c r="F75" s="50">
        <f>IF(OR(1792621.32665="",48861.64127="",58385.72414=""),"-",(58385.72414-48861.64127)/1792621.32665*100)</f>
        <v>0.5312936272937427</v>
      </c>
      <c r="G75" s="50">
        <f>IF(OR(2276206.61995="",56899.48215="",58385.72414=""),"-",(56899.48215-58385.72414)/2276206.61995*100)</f>
        <v>-0.06529468708919942</v>
      </c>
    </row>
    <row r="76" spans="1:7" s="9" customFormat="1" ht="15.75">
      <c r="A76" s="42" t="s">
        <v>224</v>
      </c>
      <c r="B76" s="50">
        <f>IF(21055.85209="","-",21055.85209)</f>
        <v>21055.85209</v>
      </c>
      <c r="C76" s="50">
        <f>IF(OR(18661.5643="",21055.85209=""),"-",21055.85209/18661.5643*100)</f>
        <v>112.83004871140412</v>
      </c>
      <c r="D76" s="50">
        <f>IF(18661.5643="","-",18661.5643/2276206.61995*100)</f>
        <v>0.8198537046874033</v>
      </c>
      <c r="E76" s="50">
        <f>IF(21055.85209="","-",21055.85209/2362156.7372*100)</f>
        <v>0.8913825132094627</v>
      </c>
      <c r="F76" s="50">
        <f>IF(OR(1792621.32665="",17585.50557="",18661.5643=""),"-",(18661.5643-17585.50557)/1792621.32665*100)</f>
        <v>0.060027107454473115</v>
      </c>
      <c r="G76" s="50">
        <f>IF(OR(2276206.61995="",21055.85209="",18661.5643=""),"-",(21055.85209-18661.5643)/2276206.61995*100)</f>
        <v>0.10518762967364519</v>
      </c>
    </row>
    <row r="77" spans="1:7" s="9" customFormat="1" ht="25.5">
      <c r="A77" s="42" t="s">
        <v>225</v>
      </c>
      <c r="B77" s="50">
        <f>IF(23790.94596="","-",23790.94596)</f>
        <v>23790.94596</v>
      </c>
      <c r="C77" s="50">
        <f>IF(OR(22348.94347="",23790.94596=""),"-",23790.94596/22348.94347*100)</f>
        <v>106.45221771640199</v>
      </c>
      <c r="D77" s="50">
        <f>IF(22348.94347="","-",22348.94347/2276206.61995*100)</f>
        <v>0.9818503853789389</v>
      </c>
      <c r="E77" s="50">
        <f>IF(23790.94596="","-",23790.94596/2362156.7372*100)</f>
        <v>1.0071705058911873</v>
      </c>
      <c r="F77" s="50">
        <f>IF(OR(1792621.32665="",17371.34894="",22348.94347=""),"-",(22348.94347-17371.34894)/1792621.32665*100)</f>
        <v>0.2776712770288183</v>
      </c>
      <c r="G77" s="50">
        <f>IF(OR(2276206.61995="",23790.94596="",22348.94347=""),"-",(23790.94596-22348.94347)/2276206.61995*100)</f>
        <v>0.06335112451398098</v>
      </c>
    </row>
    <row r="78" spans="1:7" ht="25.5">
      <c r="A78" s="42" t="s">
        <v>226</v>
      </c>
      <c r="B78" s="50">
        <f>IF(4966.1803="","-",4966.1803)</f>
        <v>4966.1803</v>
      </c>
      <c r="C78" s="50">
        <f>IF(OR(4983.71305="",4966.1803=""),"-",4966.1803/4983.71305*100)</f>
        <v>99.64819904709401</v>
      </c>
      <c r="D78" s="50">
        <f>IF(4983.71305="","-",4983.71305/2276206.61995*100)</f>
        <v>0.21894818362796406</v>
      </c>
      <c r="E78" s="50">
        <f>IF(4966.1803="","-",4966.1803/2362156.7372*100)</f>
        <v>0.21023923695625293</v>
      </c>
      <c r="F78" s="50">
        <f>IF(OR(1792621.32665="",3853.09663="",4983.71305=""),"-",(4983.71305-3853.09663)/1792621.32665*100)</f>
        <v>0.0630705661698706</v>
      </c>
      <c r="G78" s="50">
        <f>IF(OR(2276206.61995="",4966.1803="",4983.71305=""),"-",(4966.1803-4983.71305)/2276206.61995*100)</f>
        <v>-0.00077026179637354</v>
      </c>
    </row>
    <row r="79" spans="1:7" ht="13.5" customHeight="1">
      <c r="A79" s="42" t="s">
        <v>43</v>
      </c>
      <c r="B79" s="50">
        <f>IF(97456.65812="","-",97456.65812)</f>
        <v>97456.65812</v>
      </c>
      <c r="C79" s="50">
        <f>IF(OR(82889.99633="",97456.65812=""),"-",97456.65812/82889.99633*100)</f>
        <v>117.5734858667474</v>
      </c>
      <c r="D79" s="50">
        <f>IF(82889.99633="","-",82889.99633/2276206.61995*100)</f>
        <v>3.641584889680216</v>
      </c>
      <c r="E79" s="50">
        <f>IF(97456.65812="","-",97456.65812/2362156.7372*100)</f>
        <v>4.125749006626926</v>
      </c>
      <c r="F79" s="50">
        <f>IF(OR(1792621.32665="",63158.48839="",82889.99633=""),"-",(82889.99633-63158.48839)/1792621.32665*100)</f>
        <v>1.1007069728928016</v>
      </c>
      <c r="G79" s="50">
        <f>IF(OR(2276206.61995="",97456.65812="",82889.99633=""),"-",(97456.65812-82889.99633)/2276206.61995*100)</f>
        <v>0.6399534059135622</v>
      </c>
    </row>
    <row r="80" spans="1:7" ht="25.5">
      <c r="A80" s="59" t="s">
        <v>227</v>
      </c>
      <c r="B80" s="60">
        <f>IF(133.0289="","-",133.0289)</f>
        <v>133.0289</v>
      </c>
      <c r="C80" s="60">
        <f>IF(271.70582="","-",133.0289/271.70582*100)</f>
        <v>48.96063691237824</v>
      </c>
      <c r="D80" s="60">
        <f>IF(271.70582="","-",271.70582/2276206.61995*100)</f>
        <v>0.011936781908048769</v>
      </c>
      <c r="E80" s="60">
        <f>IF(133.0289="","-",133.0289/2362156.7372*100)</f>
        <v>0.005631671171731254</v>
      </c>
      <c r="F80" s="60">
        <f>IF(1792621.32665="","-",(271.70582-427.70181)/1792621.32665*100)</f>
        <v>-0.008702116151408335</v>
      </c>
      <c r="G80" s="60">
        <f>IF(2276206.61995="","-",(133.0289-271.70582)/2276206.61995*100)</f>
        <v>-0.006092457459026555</v>
      </c>
    </row>
    <row r="81" ht="15.75">
      <c r="A81" s="29" t="s">
        <v>21</v>
      </c>
    </row>
    <row r="85" ht="15.75">
      <c r="A85" t="s">
        <v>282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2"/>
  <sheetViews>
    <sheetView zoomScalePageLayoutView="0" workbookViewId="0" topLeftCell="A1">
      <selection activeCell="K15" sqref="K15"/>
    </sheetView>
  </sheetViews>
  <sheetFormatPr defaultColWidth="9.00390625" defaultRowHeight="15.75"/>
  <cols>
    <col min="1" max="1" width="43.875" style="0" customWidth="1"/>
    <col min="2" max="2" width="13.25390625" style="0" customWidth="1"/>
    <col min="3" max="3" width="13.125" style="0" customWidth="1"/>
    <col min="4" max="4" width="15.375" style="0" customWidth="1"/>
    <col min="6" max="6" width="12.125" style="0" bestFit="1" customWidth="1"/>
  </cols>
  <sheetData>
    <row r="1" spans="1:4" ht="15.75">
      <c r="A1" s="76" t="s">
        <v>141</v>
      </c>
      <c r="B1" s="76"/>
      <c r="C1" s="76"/>
      <c r="D1" s="76"/>
    </row>
    <row r="2" spans="1:4" ht="15.75">
      <c r="A2" s="76" t="s">
        <v>23</v>
      </c>
      <c r="B2" s="76"/>
      <c r="C2" s="76"/>
      <c r="D2" s="76"/>
    </row>
    <row r="3" ht="15.75">
      <c r="A3" s="5"/>
    </row>
    <row r="4" spans="1:5" ht="21.75" customHeight="1">
      <c r="A4" s="77"/>
      <c r="B4" s="81" t="s">
        <v>290</v>
      </c>
      <c r="C4" s="82"/>
      <c r="D4" s="79" t="s">
        <v>297</v>
      </c>
      <c r="E4" s="1"/>
    </row>
    <row r="5" spans="1:5" ht="20.25" customHeight="1">
      <c r="A5" s="78"/>
      <c r="B5" s="23">
        <v>2018</v>
      </c>
      <c r="C5" s="22">
        <v>2019</v>
      </c>
      <c r="D5" s="80"/>
      <c r="E5" s="1"/>
    </row>
    <row r="6" spans="1:6" ht="14.25" customHeight="1">
      <c r="A6" s="46" t="s">
        <v>165</v>
      </c>
      <c r="B6" s="48">
        <f>IF(-1175532.25856="","-",-1175532.25856)</f>
        <v>-1175532.25856</v>
      </c>
      <c r="C6" s="48">
        <f>IF(-1202822.98525="","-",-1202822.98525)</f>
        <v>-1202822.98525</v>
      </c>
      <c r="D6" s="48">
        <f>IF(-1175532.25856="","-",-1202822.98525/-1175532.25856*100)</f>
        <v>102.32156340170795</v>
      </c>
      <c r="F6" s="20"/>
    </row>
    <row r="7" spans="1:6" ht="14.25" customHeight="1">
      <c r="A7" s="55" t="s">
        <v>162</v>
      </c>
      <c r="B7" s="58"/>
      <c r="C7" s="58"/>
      <c r="D7" s="58"/>
      <c r="F7" s="20"/>
    </row>
    <row r="8" spans="1:4" ht="15.75">
      <c r="A8" s="34" t="s">
        <v>185</v>
      </c>
      <c r="B8" s="49">
        <f>IF(-4407.70624="","-",-4407.70624)</f>
        <v>-4407.70624</v>
      </c>
      <c r="C8" s="49">
        <f>IF(-6445.40227="","-",-6445.40227)</f>
        <v>-6445.40227</v>
      </c>
      <c r="D8" s="49">
        <f>IF(-4407.70624="","-",-6445.40227/-4407.70624*100)</f>
        <v>146.23030481269095</v>
      </c>
    </row>
    <row r="9" spans="1:4" ht="15.75">
      <c r="A9" s="42" t="s">
        <v>24</v>
      </c>
      <c r="B9" s="50">
        <f>IF(OR(3559.59797="",3559.59797=0),"-",3559.59797)</f>
        <v>3559.59797</v>
      </c>
      <c r="C9" s="50">
        <f>IF(OR(1889.55344="",1889.55344=0),"-",1889.55344)</f>
        <v>1889.55344</v>
      </c>
      <c r="D9" s="50">
        <f>IF(OR(3559.59797="",1889.55344="",3559.59797=0,1889.55344=0),"-",1889.55344/3559.59797*100)</f>
        <v>53.08333850971378</v>
      </c>
    </row>
    <row r="10" spans="1:4" ht="15.75">
      <c r="A10" s="42" t="s">
        <v>186</v>
      </c>
      <c r="B10" s="50">
        <f>IF(OR(-13526.70509="",-13526.70509=0),"-",-13526.70509)</f>
        <v>-13526.70509</v>
      </c>
      <c r="C10" s="50">
        <f>IF(OR(-15275.28352="",-15275.28352=0),"-",-15275.28352)</f>
        <v>-15275.28352</v>
      </c>
      <c r="D10" s="50">
        <f>IF(OR(-13526.70509="",-15275.28352="",-13526.70509=0,-15275.28352=0),"-",-15275.28352/-13526.70509*100)</f>
        <v>112.92686148153467</v>
      </c>
    </row>
    <row r="11" spans="1:4" ht="15.75">
      <c r="A11" s="42" t="s">
        <v>187</v>
      </c>
      <c r="B11" s="50">
        <f>IF(OR(-14413.09058="",-14413.09058=0),"-",-14413.09058)</f>
        <v>-14413.09058</v>
      </c>
      <c r="C11" s="50">
        <f>IF(OR(-18470.71144="",-18470.71144=0),"-",-18470.71144)</f>
        <v>-18470.71144</v>
      </c>
      <c r="D11" s="50">
        <f>IF(OR(-14413.09058="",-18470.71144="",-14413.09058=0,-18470.71144=0),"-",-18470.71144/-14413.09058*100)</f>
        <v>128.15233025476482</v>
      </c>
    </row>
    <row r="12" spans="1:4" ht="15.75">
      <c r="A12" s="42" t="s">
        <v>188</v>
      </c>
      <c r="B12" s="50">
        <f>IF(OR(-20400.08566="",-20400.08566=0),"-",-20400.08566)</f>
        <v>-20400.08566</v>
      </c>
      <c r="C12" s="50">
        <f>IF(OR(-21618.55604="",-21618.55604=0),"-",-21618.55604)</f>
        <v>-21618.55604</v>
      </c>
      <c r="D12" s="50">
        <f>IF(OR(-20400.08566="",-21618.55604="",-20400.08566=0,-21618.55604=0),"-",-21618.55604/-20400.08566*100)</f>
        <v>105.97286893941404</v>
      </c>
    </row>
    <row r="13" spans="1:4" ht="15.75">
      <c r="A13" s="42" t="s">
        <v>189</v>
      </c>
      <c r="B13" s="50">
        <f>IF(OR(46974.58896="",46974.58896=0),"-",46974.58896)</f>
        <v>46974.58896</v>
      </c>
      <c r="C13" s="50">
        <f>IF(OR(60690.44475="",60690.44475=0),"-",60690.44475)</f>
        <v>60690.44475</v>
      </c>
      <c r="D13" s="50">
        <f>IF(OR(46974.58896="",60690.44475="",46974.58896=0,60690.44475=0),"-",60690.44475/46974.58896*100)</f>
        <v>129.19845834453045</v>
      </c>
    </row>
    <row r="14" spans="1:4" ht="15.75">
      <c r="A14" s="42" t="s">
        <v>190</v>
      </c>
      <c r="B14" s="50">
        <f>IF(OR(37816.45915="",37816.45915=0),"-",37816.45915)</f>
        <v>37816.45915</v>
      </c>
      <c r="C14" s="50">
        <f>IF(OR(35516.84903="",35516.84903=0),"-",35516.84903)</f>
        <v>35516.84903</v>
      </c>
      <c r="D14" s="50">
        <f>IF(OR(37816.45915="",35516.84903="",37816.45915=0,35516.84903=0),"-",35516.84903/37816.45915*100)</f>
        <v>93.91902316692703</v>
      </c>
    </row>
    <row r="15" spans="1:4" ht="15.75">
      <c r="A15" s="42" t="s">
        <v>25</v>
      </c>
      <c r="B15" s="50">
        <f>IF(OR(2127.32017="",2127.32017=0),"-",2127.32017)</f>
        <v>2127.32017</v>
      </c>
      <c r="C15" s="50">
        <f>IF(OR(-2068.28026="",-2068.28026=0),"-",-2068.28026)</f>
        <v>-2068.28026</v>
      </c>
      <c r="D15" s="50" t="s">
        <v>22</v>
      </c>
    </row>
    <row r="16" spans="1:4" ht="15.75">
      <c r="A16" s="42" t="s">
        <v>191</v>
      </c>
      <c r="B16" s="50">
        <f>IF(OR(-15370.62202="",-15370.62202=0),"-",-15370.62202)</f>
        <v>-15370.62202</v>
      </c>
      <c r="C16" s="50">
        <f>IF(OR(-16172.92431="",-16172.92431=0),"-",-16172.92431)</f>
        <v>-16172.92431</v>
      </c>
      <c r="D16" s="50">
        <f>IF(OR(-15370.62202="",-16172.92431="",-15370.62202=0,-16172.92431=0),"-",-16172.92431/-15370.62202*100)</f>
        <v>105.21971257217866</v>
      </c>
    </row>
    <row r="17" spans="1:4" ht="15.75">
      <c r="A17" s="42" t="s">
        <v>26</v>
      </c>
      <c r="B17" s="50">
        <f>IF(OR(-4873.03116="",-4873.03116=0),"-",-4873.03116)</f>
        <v>-4873.03116</v>
      </c>
      <c r="C17" s="50">
        <f>IF(OR(-3372.19672="",-3372.19672=0),"-",-3372.19672)</f>
        <v>-3372.19672</v>
      </c>
      <c r="D17" s="50">
        <f>IF(OR(-4873.03116="",-3372.19672="",-4873.03116=0,-3372.19672=0),"-",-3372.19672/-4873.03116*100)</f>
        <v>69.20121397294737</v>
      </c>
    </row>
    <row r="18" spans="1:4" ht="15.75">
      <c r="A18" s="42" t="s">
        <v>192</v>
      </c>
      <c r="B18" s="50">
        <f>IF(OR(-26302.13798="",-26302.13798=0),"-",-26302.13798)</f>
        <v>-26302.13798</v>
      </c>
      <c r="C18" s="50">
        <f>IF(OR(-27564.2972="",-27564.2972=0),"-",-27564.2972)</f>
        <v>-27564.2972</v>
      </c>
      <c r="D18" s="50">
        <f>IF(OR(-26302.13798="",-27564.2972="",-26302.13798=0,-27564.2972=0),"-",-27564.2972/-26302.13798*100)</f>
        <v>104.79869439115458</v>
      </c>
    </row>
    <row r="19" spans="1:4" ht="15.75">
      <c r="A19" s="34" t="s">
        <v>193</v>
      </c>
      <c r="B19" s="49">
        <f>IF(52255.15392="","-",52255.15392)</f>
        <v>52255.15392</v>
      </c>
      <c r="C19" s="49">
        <f>IF(40209.87794="","-",40209.87794)</f>
        <v>40209.87794</v>
      </c>
      <c r="D19" s="49">
        <f>IF(52255.15392="","-",40209.87794/52255.15392*100)</f>
        <v>76.94911396024074</v>
      </c>
    </row>
    <row r="20" spans="1:4" ht="15.75">
      <c r="A20" s="42" t="s">
        <v>254</v>
      </c>
      <c r="B20" s="50">
        <f>IF(OR(57995.36885="",57995.36885=0),"-",57995.36885)</f>
        <v>57995.36885</v>
      </c>
      <c r="C20" s="50">
        <f>IF(OR(51851.59843="",51851.59843=0),"-",51851.59843)</f>
        <v>51851.59843</v>
      </c>
      <c r="D20" s="50">
        <f>IF(OR(57995.36885="",51851.59843="",57995.36885=0,51851.59843=0),"-",51851.59843/57995.36885*100)</f>
        <v>89.4064465114614</v>
      </c>
    </row>
    <row r="21" spans="1:4" ht="15.75">
      <c r="A21" s="42" t="s">
        <v>194</v>
      </c>
      <c r="B21" s="50">
        <f>IF(OR(-5740.21493="",-5740.21493=0),"-",-5740.21493)</f>
        <v>-5740.21493</v>
      </c>
      <c r="C21" s="50">
        <f>IF(OR(-11641.72049="",-11641.72049=0),"-",-11641.72049)</f>
        <v>-11641.72049</v>
      </c>
      <c r="D21" s="50" t="s">
        <v>20</v>
      </c>
    </row>
    <row r="22" spans="1:4" ht="15.75">
      <c r="A22" s="34" t="s">
        <v>27</v>
      </c>
      <c r="B22" s="49">
        <f>IF(55053.76599="","-",55053.76599)</f>
        <v>55053.76599</v>
      </c>
      <c r="C22" s="49">
        <f>IF(64187.17937="","-",64187.17937)</f>
        <v>64187.17937</v>
      </c>
      <c r="D22" s="49">
        <f>IF(55053.76599="","-",64187.17937/55053.76599*100)</f>
        <v>116.58998837910379</v>
      </c>
    </row>
    <row r="23" spans="1:4" ht="15.75">
      <c r="A23" s="42" t="s">
        <v>195</v>
      </c>
      <c r="B23" s="50">
        <f>IF(OR(1554.44022="",1554.44022=0),"-",1554.44022)</f>
        <v>1554.44022</v>
      </c>
      <c r="C23" s="50">
        <f>IF(OR(699.57073="",699.57073=0),"-",699.57073)</f>
        <v>699.57073</v>
      </c>
      <c r="D23" s="50">
        <f>IF(OR(1554.44022="",699.57073="",1554.44022=0,699.57073=0),"-",699.57073/1554.44022*100)</f>
        <v>45.00467248589335</v>
      </c>
    </row>
    <row r="24" spans="1:4" ht="15.75">
      <c r="A24" s="42" t="s">
        <v>228</v>
      </c>
      <c r="B24" s="50">
        <f>IF(OR(80237.26427="",80237.26427=0),"-",80237.26427)</f>
        <v>80237.26427</v>
      </c>
      <c r="C24" s="50">
        <f>IF(OR(97404.66648="",97404.66648=0),"-",97404.66648)</f>
        <v>97404.66648</v>
      </c>
      <c r="D24" s="50">
        <f>IF(OR(80237.26427="",97404.66648="",80237.26427=0,97404.66648=0),"-",97404.66648/80237.26427*100)</f>
        <v>121.39579703544148</v>
      </c>
    </row>
    <row r="25" spans="1:4" ht="15.75">
      <c r="A25" s="42" t="s">
        <v>229</v>
      </c>
      <c r="B25" s="50">
        <f>IF(OR(-305.35758="",-305.35758=0),"-",-305.35758)</f>
        <v>-305.35758</v>
      </c>
      <c r="C25" s="50">
        <f>IF(OR(-544.46827="",-544.46827=0),"-",-544.46827)</f>
        <v>-544.46827</v>
      </c>
      <c r="D25" s="50" t="s">
        <v>113</v>
      </c>
    </row>
    <row r="26" spans="1:4" ht="15.75">
      <c r="A26" s="42" t="s">
        <v>196</v>
      </c>
      <c r="B26" s="50">
        <f>IF(OR(-11042.79901="",-11042.79901=0),"-",-11042.79901)</f>
        <v>-11042.79901</v>
      </c>
      <c r="C26" s="50">
        <f>IF(OR(-13612.32857="",-13612.32857=0),"-",-13612.32857)</f>
        <v>-13612.32857</v>
      </c>
      <c r="D26" s="50">
        <f>IF(OR(-11042.79901="",-13612.32857="",-11042.79901=0,-13612.32857=0),"-",-13612.32857/-11042.79901*100)</f>
        <v>123.26882484842037</v>
      </c>
    </row>
    <row r="27" spans="1:4" ht="15.75">
      <c r="A27" s="42" t="s">
        <v>197</v>
      </c>
      <c r="B27" s="50">
        <f>IF(OR(1150.39731="",1150.39731=0),"-",1150.39731)</f>
        <v>1150.39731</v>
      </c>
      <c r="C27" s="50">
        <f>IF(OR(885.53867="",885.53867=0),"-",885.53867)</f>
        <v>885.53867</v>
      </c>
      <c r="D27" s="50">
        <f>IF(OR(1150.39731="",885.53867="",1150.39731=0,885.53867=0),"-",885.53867/1150.39731*100)</f>
        <v>76.97676813934831</v>
      </c>
    </row>
    <row r="28" spans="1:4" ht="25.5">
      <c r="A28" s="42" t="s">
        <v>230</v>
      </c>
      <c r="B28" s="50">
        <f>IF(OR(-3460.96766="",-3460.96766=0),"-",-3460.96766)</f>
        <v>-3460.96766</v>
      </c>
      <c r="C28" s="50">
        <f>IF(OR(-3078.76359="",-3078.76359=0),"-",-3078.76359)</f>
        <v>-3078.76359</v>
      </c>
      <c r="D28" s="50">
        <f>IF(OR(-3460.96766="",-3078.76359="",-3460.96766=0,-3078.76359=0),"-",-3078.76359/-3460.96766*100)</f>
        <v>88.95672807298062</v>
      </c>
    </row>
    <row r="29" spans="1:4" ht="25.5">
      <c r="A29" s="42" t="s">
        <v>198</v>
      </c>
      <c r="B29" s="50">
        <f>IF(OR(-623.91048="",-623.91048=0),"-",-623.91048)</f>
        <v>-623.91048</v>
      </c>
      <c r="C29" s="50">
        <f>IF(OR(-6944.18653="",-6944.18653=0),"-",-6944.18653)</f>
        <v>-6944.18653</v>
      </c>
      <c r="D29" s="50" t="s">
        <v>259</v>
      </c>
    </row>
    <row r="30" spans="1:4" ht="15.75">
      <c r="A30" s="42" t="s">
        <v>199</v>
      </c>
      <c r="B30" s="50">
        <f>IF(OR(6046.49873="",6046.49873=0),"-",6046.49873)</f>
        <v>6046.49873</v>
      </c>
      <c r="C30" s="50">
        <f>IF(OR(6588.76895="",6588.76895=0),"-",6588.76895)</f>
        <v>6588.76895</v>
      </c>
      <c r="D30" s="50">
        <f>IF(OR(6046.49873="",6588.76895="",6046.49873=0,6588.76895=0),"-",6588.76895/6046.49873*100)</f>
        <v>108.96833430741495</v>
      </c>
    </row>
    <row r="31" spans="1:4" ht="15.75">
      <c r="A31" s="42" t="s">
        <v>28</v>
      </c>
      <c r="B31" s="50">
        <f>IF(OR(-18501.79981="",-18501.79981=0),"-",-18501.79981)</f>
        <v>-18501.79981</v>
      </c>
      <c r="C31" s="50">
        <f>IF(OR(-17211.6185="",-17211.6185=0),"-",-17211.6185)</f>
        <v>-17211.6185</v>
      </c>
      <c r="D31" s="50">
        <f>IF(OR(-18501.79981="",-17211.6185="",-18501.79981=0,-17211.6185=0),"-",-17211.6185/-18501.79981*100)</f>
        <v>93.0267253821292</v>
      </c>
    </row>
    <row r="32" spans="1:4" ht="15.75">
      <c r="A32" s="34" t="s">
        <v>200</v>
      </c>
      <c r="B32" s="49">
        <f>IF(-358168.57082="","-",-358168.57082)</f>
        <v>-358168.57082</v>
      </c>
      <c r="C32" s="49">
        <f>IF(-390701.17141="","-",-390701.17141)</f>
        <v>-390701.17141</v>
      </c>
      <c r="D32" s="49">
        <f>IF(-358168.57082="","-",-390701.17141/-358168.57082*100)</f>
        <v>109.0830416849583</v>
      </c>
    </row>
    <row r="33" spans="1:4" ht="15.75">
      <c r="A33" s="42" t="s">
        <v>231</v>
      </c>
      <c r="B33" s="50">
        <f>IF(OR(-4282.85993="",-4282.85993=0),"-",-4282.85993)</f>
        <v>-4282.85993</v>
      </c>
      <c r="C33" s="50">
        <f>IF(OR(-7222.82962="",-7222.82962=0),"-",-7222.82962)</f>
        <v>-7222.82962</v>
      </c>
      <c r="D33" s="50" t="s">
        <v>114</v>
      </c>
    </row>
    <row r="34" spans="1:4" ht="15.75">
      <c r="A34" s="42" t="s">
        <v>201</v>
      </c>
      <c r="B34" s="50">
        <f>IF(OR(-208473.06208="",-208473.06208=0),"-",-208473.06208)</f>
        <v>-208473.06208</v>
      </c>
      <c r="C34" s="50">
        <f>IF(OR(-213959.21643="",-213959.21643=0),"-",-213959.21643)</f>
        <v>-213959.21643</v>
      </c>
      <c r="D34" s="50">
        <f>IF(OR(-208473.06208="",-213959.21643="",-208473.06208=0,-213959.21643=0),"-",-213959.21643/-208473.06208*100)</f>
        <v>102.63158908650496</v>
      </c>
    </row>
    <row r="35" spans="1:4" ht="15.75">
      <c r="A35" s="42" t="s">
        <v>232</v>
      </c>
      <c r="B35" s="50">
        <f>IF(OR(-127740.8268="",-127740.8268=0),"-",-127740.8268)</f>
        <v>-127740.8268</v>
      </c>
      <c r="C35" s="50">
        <f>IF(OR(-150788.67391="",-150788.67391=0),"-",-150788.67391)</f>
        <v>-150788.67391</v>
      </c>
      <c r="D35" s="50">
        <f>IF(OR(-127740.8268="",-150788.67391="",-127740.8268=0,-150788.67391=0),"-",-150788.67391/-127740.8268*100)</f>
        <v>118.042663169924</v>
      </c>
    </row>
    <row r="36" spans="1:4" ht="15.75">
      <c r="A36" s="42" t="s">
        <v>29</v>
      </c>
      <c r="B36" s="50">
        <f>IF(OR(-17671.82201="",-17671.82201=0),"-",-17671.82201)</f>
        <v>-17671.82201</v>
      </c>
      <c r="C36" s="50">
        <f>IF(OR(-18730.45145="",-18730.45145=0),"-",-18730.45145)</f>
        <v>-18730.45145</v>
      </c>
      <c r="D36" s="50">
        <f>IF(OR(-17671.82201="",-18730.45145="",-17671.82201=0,-18730.45145=0),"-",-18730.45145/-17671.82201*100)</f>
        <v>105.99049401584597</v>
      </c>
    </row>
    <row r="37" spans="1:4" ht="15.75">
      <c r="A37" s="34" t="s">
        <v>202</v>
      </c>
      <c r="B37" s="49">
        <f>IF(35939.51536="","-",35939.51536)</f>
        <v>35939.51536</v>
      </c>
      <c r="C37" s="49">
        <f>IF(26222.62031="","-",26222.62031)</f>
        <v>26222.62031</v>
      </c>
      <c r="D37" s="49">
        <f>IF(35939.51536="","-",26222.62031/35939.51536*100)</f>
        <v>72.96319955161465</v>
      </c>
    </row>
    <row r="38" spans="1:4" ht="15.75">
      <c r="A38" s="42" t="s">
        <v>233</v>
      </c>
      <c r="B38" s="50">
        <f>IF(OR(-583.69647="",-583.69647=0),"-",-583.69647)</f>
        <v>-583.69647</v>
      </c>
      <c r="C38" s="50">
        <f>IF(OR(-594.91025="",-594.91025=0),"-",-594.91025)</f>
        <v>-594.91025</v>
      </c>
      <c r="D38" s="50">
        <f>IF(OR(-583.69647="",-594.91025="",-583.69647=0,-594.91025=0),"-",-594.91025/-583.69647*100)</f>
        <v>101.92116632125598</v>
      </c>
    </row>
    <row r="39" spans="1:4" ht="15.75">
      <c r="A39" s="42" t="s">
        <v>203</v>
      </c>
      <c r="B39" s="50">
        <f>IF(OR(37599.12306="",37599.12306=0),"-",37599.12306)</f>
        <v>37599.12306</v>
      </c>
      <c r="C39" s="50">
        <f>IF(OR(28017.78846="",28017.78846=0),"-",28017.78846)</f>
        <v>28017.78846</v>
      </c>
      <c r="D39" s="50">
        <f>IF(OR(37599.12306="",28017.78846="",37599.12306=0,28017.78846=0),"-",28017.78846/37599.12306*100)</f>
        <v>74.51713279400086</v>
      </c>
    </row>
    <row r="40" spans="1:4" ht="38.25">
      <c r="A40" s="42" t="s">
        <v>234</v>
      </c>
      <c r="B40" s="50">
        <f>IF(OR(-1075.91123="",-1075.91123=0),"-",-1075.91123)</f>
        <v>-1075.91123</v>
      </c>
      <c r="C40" s="50">
        <f>IF(OR(-1200.2579="",-1200.2579=0),"-",-1200.2579)</f>
        <v>-1200.2579</v>
      </c>
      <c r="D40" s="50">
        <f>IF(OR(-1075.91123="",-1200.2579="",-1075.91123=0,-1200.2579=0),"-",-1200.2579/-1075.91123*100)</f>
        <v>111.55733545043489</v>
      </c>
    </row>
    <row r="41" spans="1:4" ht="14.25" customHeight="1">
      <c r="A41" s="34" t="s">
        <v>204</v>
      </c>
      <c r="B41" s="49">
        <f>IF(-297247.07573="","-",-297247.07573)</f>
        <v>-297247.07573</v>
      </c>
      <c r="C41" s="49">
        <f>IF(-311788.40085="","-",-311788.40085)</f>
        <v>-311788.40085</v>
      </c>
      <c r="D41" s="49">
        <f>IF(-297247.07573="","-",-311788.40085/-297247.07573*100)</f>
        <v>104.89199938612967</v>
      </c>
    </row>
    <row r="42" spans="1:4" ht="15" customHeight="1">
      <c r="A42" s="42" t="s">
        <v>30</v>
      </c>
      <c r="B42" s="50">
        <f>IF(OR(2307.02083="",2307.02083=0),"-",2307.02083)</f>
        <v>2307.02083</v>
      </c>
      <c r="C42" s="50">
        <f>IF(OR(-2494.40094="",-2494.40094=0),"-",-2494.40094)</f>
        <v>-2494.40094</v>
      </c>
      <c r="D42" s="50" t="s">
        <v>22</v>
      </c>
    </row>
    <row r="43" spans="1:4" ht="15.75">
      <c r="A43" s="42" t="s">
        <v>31</v>
      </c>
      <c r="B43" s="50">
        <f>IF(OR(-5211.55371="",-5211.55371=0),"-",-5211.55371)</f>
        <v>-5211.55371</v>
      </c>
      <c r="C43" s="50">
        <f>IF(OR(-6352.44274="",-6352.44274=0),"-",-6352.44274)</f>
        <v>-6352.44274</v>
      </c>
      <c r="D43" s="50">
        <f>IF(OR(-5211.55371="",-6352.44274="",-5211.55371=0,-6352.44274=0),"-",-6352.44274/-5211.55371*100)</f>
        <v>121.89153357108931</v>
      </c>
    </row>
    <row r="44" spans="1:4" ht="15.75">
      <c r="A44" s="42" t="s">
        <v>205</v>
      </c>
      <c r="B44" s="50">
        <f>IF(OR(-11449.82596="",-11449.82596=0),"-",-11449.82596)</f>
        <v>-11449.82596</v>
      </c>
      <c r="C44" s="50">
        <f>IF(OR(-13172.49353="",-13172.49353=0),"-",-13172.49353)</f>
        <v>-13172.49353</v>
      </c>
      <c r="D44" s="50">
        <f>IF(OR(-11449.82596="",-13172.49353="",-11449.82596=0,-13172.49353=0),"-",-13172.49353/-11449.82596*100)</f>
        <v>115.04536030519716</v>
      </c>
    </row>
    <row r="45" spans="1:4" ht="15.75">
      <c r="A45" s="42" t="s">
        <v>206</v>
      </c>
      <c r="B45" s="50">
        <f>IF(OR(-63573.24721="",-63573.24721=0),"-",-63573.24721)</f>
        <v>-63573.24721</v>
      </c>
      <c r="C45" s="50">
        <f>IF(OR(-70791.62954="",-70791.62954=0),"-",-70791.62954)</f>
        <v>-70791.62954</v>
      </c>
      <c r="D45" s="50">
        <f>IF(OR(-63573.24721="",-70791.62954="",-63573.24721=0,-70791.62954=0),"-",-70791.62954/-63573.24721*100)</f>
        <v>111.35443389599982</v>
      </c>
    </row>
    <row r="46" spans="1:4" ht="25.5">
      <c r="A46" s="42" t="s">
        <v>207</v>
      </c>
      <c r="B46" s="50">
        <f>IF(OR(-36485.00876="",-36485.00876=0),"-",-36485.00876)</f>
        <v>-36485.00876</v>
      </c>
      <c r="C46" s="50">
        <f>IF(OR(-39375.75946="",-39375.75946=0),"-",-39375.75946)</f>
        <v>-39375.75946</v>
      </c>
      <c r="D46" s="50">
        <f>IF(OR(-36485.00876="",-39375.75946="",-36485.00876=0,-39375.75946=0),"-",-39375.75946/-36485.00876*100)</f>
        <v>107.92311910630332</v>
      </c>
    </row>
    <row r="47" spans="1:4" ht="15.75">
      <c r="A47" s="42" t="s">
        <v>208</v>
      </c>
      <c r="B47" s="50">
        <f>IF(OR(-39692.96257="",-39692.96257=0),"-",-39692.96257)</f>
        <v>-39692.96257</v>
      </c>
      <c r="C47" s="50">
        <f>IF(OR(-40972.03001="",-40972.03001=0),"-",-40972.03001)</f>
        <v>-40972.03001</v>
      </c>
      <c r="D47" s="50">
        <f>IF(OR(-39692.96257="",-40972.03001="",-39692.96257=0,-40972.03001=0),"-",-40972.03001/-39692.96257*100)</f>
        <v>103.22240356270791</v>
      </c>
    </row>
    <row r="48" spans="1:4" ht="15.75">
      <c r="A48" s="42" t="s">
        <v>32</v>
      </c>
      <c r="B48" s="50">
        <f>IF(OR(-20436.41534="",-20436.41534=0),"-",-20436.41534)</f>
        <v>-20436.41534</v>
      </c>
      <c r="C48" s="50">
        <f>IF(OR(-19838.74882="",-19838.74882=0),"-",-19838.74882)</f>
        <v>-19838.74882</v>
      </c>
      <c r="D48" s="50">
        <f>IF(OR(-20436.41534="",-19838.74882="",-20436.41534=0,-19838.74882=0),"-",-19838.74882/-20436.41534*100)</f>
        <v>97.07548261250008</v>
      </c>
    </row>
    <row r="49" spans="1:4" ht="15.75">
      <c r="A49" s="42" t="s">
        <v>33</v>
      </c>
      <c r="B49" s="50">
        <f>IF(OR(-39923.21839="",-39923.21839=0),"-",-39923.21839)</f>
        <v>-39923.21839</v>
      </c>
      <c r="C49" s="50">
        <f>IF(OR(-41784.09337="",-41784.09337=0),"-",-41784.09337)</f>
        <v>-41784.09337</v>
      </c>
      <c r="D49" s="50">
        <f>IF(OR(-39923.21839="",-41784.09337="",-39923.21839=0,-41784.09337=0),"-",-41784.09337/-39923.21839*100)</f>
        <v>104.66113468563975</v>
      </c>
    </row>
    <row r="50" spans="1:4" ht="15.75">
      <c r="A50" s="42" t="s">
        <v>209</v>
      </c>
      <c r="B50" s="50">
        <f>IF(OR(-82781.86462="",-82781.86462=0),"-",-82781.86462)</f>
        <v>-82781.86462</v>
      </c>
      <c r="C50" s="50">
        <f>IF(OR(-77006.80244="",-77006.80244=0),"-",-77006.80244)</f>
        <v>-77006.80244</v>
      </c>
      <c r="D50" s="50">
        <f>IF(OR(-82781.86462="",-77006.80244="",-82781.86462=0,-77006.80244=0),"-",-77006.80244/-82781.86462*100)</f>
        <v>93.02375924182222</v>
      </c>
    </row>
    <row r="51" spans="1:4" ht="15" customHeight="1">
      <c r="A51" s="34" t="s">
        <v>34</v>
      </c>
      <c r="B51" s="49">
        <f>IF(-371114.18061="","-",-371114.18061)</f>
        <v>-371114.18061</v>
      </c>
      <c r="C51" s="49">
        <f>IF(-361917.62858="","-",-361917.62858)</f>
        <v>-361917.62858</v>
      </c>
      <c r="D51" s="49">
        <f>IF(-371114.18061="","-",-361917.62858/-371114.18061*100)</f>
        <v>97.52190767410622</v>
      </c>
    </row>
    <row r="52" spans="1:4" ht="15" customHeight="1">
      <c r="A52" s="42" t="s">
        <v>210</v>
      </c>
      <c r="B52" s="50">
        <f>IF(OR(-25124.43219="",-25124.43219=0),"-",-25124.43219)</f>
        <v>-25124.43219</v>
      </c>
      <c r="C52" s="50">
        <f>IF(OR(-20611.07611="",-20611.07611=0),"-",-20611.07611)</f>
        <v>-20611.07611</v>
      </c>
      <c r="D52" s="50">
        <f>IF(OR(-25124.43219="",-20611.07611="",-25124.43219=0,-20611.07611=0),"-",-20611.07611/-25124.43219*100)</f>
        <v>82.0359877354904</v>
      </c>
    </row>
    <row r="53" spans="1:4" ht="15.75">
      <c r="A53" s="42" t="s">
        <v>35</v>
      </c>
      <c r="B53" s="50">
        <f>IF(OR(-24879.88046="",-24879.88046=0),"-",-24879.88046)</f>
        <v>-24879.88046</v>
      </c>
      <c r="C53" s="50">
        <f>IF(OR(-23814.38456="",-23814.38456=0),"-",-23814.38456)</f>
        <v>-23814.38456</v>
      </c>
      <c r="D53" s="50">
        <f>IF(OR(-24879.88046="",-23814.38456="",-24879.88046=0,-23814.38456=0),"-",-23814.38456/-24879.88046*100)</f>
        <v>95.71743963274653</v>
      </c>
    </row>
    <row r="54" spans="1:4" ht="15.75">
      <c r="A54" s="42" t="s">
        <v>36</v>
      </c>
      <c r="B54" s="50">
        <f>IF(OR(-22628.89701="",-22628.89701=0),"-",-22628.89701)</f>
        <v>-22628.89701</v>
      </c>
      <c r="C54" s="50">
        <f>IF(OR(-23578.01433="",-23578.01433=0),"-",-23578.01433)</f>
        <v>-23578.01433</v>
      </c>
      <c r="D54" s="50">
        <f>IF(OR(-22628.89701="",-23578.01433="",-22628.89701=0,-23578.01433=0),"-",-23578.01433/-22628.89701*100)</f>
        <v>104.19427124344847</v>
      </c>
    </row>
    <row r="55" spans="1:4" ht="25.5">
      <c r="A55" s="42" t="s">
        <v>211</v>
      </c>
      <c r="B55" s="50">
        <f>IF(OR(-35376.95167="",-35376.95167=0),"-",-35376.95167)</f>
        <v>-35376.95167</v>
      </c>
      <c r="C55" s="50">
        <f>IF(OR(-37998.30346="",-37998.30346=0),"-",-37998.30346)</f>
        <v>-37998.30346</v>
      </c>
      <c r="D55" s="50">
        <f>IF(OR(-35376.95167="",-37998.30346="",-35376.95167=0,-37998.30346=0),"-",-37998.30346/-35376.95167*100)</f>
        <v>107.40977293479735</v>
      </c>
    </row>
    <row r="56" spans="1:4" ht="25.5">
      <c r="A56" s="42" t="s">
        <v>212</v>
      </c>
      <c r="B56" s="50">
        <f>IF(OR(-95919.83672="",-95919.83672=0),"-",-95919.83672)</f>
        <v>-95919.83672</v>
      </c>
      <c r="C56" s="50">
        <f>IF(OR(-88316.83302="",-88316.83302=0),"-",-88316.83302)</f>
        <v>-88316.83302</v>
      </c>
      <c r="D56" s="50">
        <f>IF(OR(-95919.83672="",-88316.83302="",-95919.83672=0,-88316.83302=0),"-",-88316.83302/-95919.83672*100)</f>
        <v>92.07358565236724</v>
      </c>
    </row>
    <row r="57" spans="1:4" ht="15.75">
      <c r="A57" s="42" t="s">
        <v>37</v>
      </c>
      <c r="B57" s="50">
        <f>IF(OR(-24964.41596="",-24964.41596=0),"-",-24964.41596)</f>
        <v>-24964.41596</v>
      </c>
      <c r="C57" s="50">
        <f>IF(OR(-28197.62862="",-28197.62862=0),"-",-28197.62862)</f>
        <v>-28197.62862</v>
      </c>
      <c r="D57" s="50">
        <f>IF(OR(-24964.41596="",-28197.62862="",-24964.41596=0,-28197.62862=0),"-",-28197.62862/-24964.41596*100)</f>
        <v>112.95128500174214</v>
      </c>
    </row>
    <row r="58" spans="1:4" ht="15.75">
      <c r="A58" s="42" t="s">
        <v>213</v>
      </c>
      <c r="B58" s="50">
        <f>IF(OR(-47658.48198="",-47658.48198=0),"-",-47658.48198)</f>
        <v>-47658.48198</v>
      </c>
      <c r="C58" s="50">
        <f>IF(OR(-49539.6564="",-49539.6564=0),"-",-49539.6564)</f>
        <v>-49539.6564</v>
      </c>
      <c r="D58" s="50">
        <f>IF(OR(-47658.48198="",-49539.6564="",-47658.48198=0,-49539.6564=0),"-",-49539.6564/-47658.48198*100)</f>
        <v>103.94719752255106</v>
      </c>
    </row>
    <row r="59" spans="1:4" ht="15.75">
      <c r="A59" s="42" t="s">
        <v>38</v>
      </c>
      <c r="B59" s="50">
        <f>IF(OR(-42671.47644="",-42671.47644=0),"-",-42671.47644)</f>
        <v>-42671.47644</v>
      </c>
      <c r="C59" s="50">
        <f>IF(OR(-37597.07041="",-37597.07041=0),"-",-37597.07041)</f>
        <v>-37597.07041</v>
      </c>
      <c r="D59" s="50">
        <f>IF(OR(-42671.47644="",-37597.07041="",-42671.47644=0,-37597.07041=0),"-",-37597.07041/-42671.47644*100)</f>
        <v>88.10820141849304</v>
      </c>
    </row>
    <row r="60" spans="1:4" ht="15.75">
      <c r="A60" s="42" t="s">
        <v>39</v>
      </c>
      <c r="B60" s="50">
        <f>IF(OR(-51889.80818="",-51889.80818=0),"-",-51889.80818)</f>
        <v>-51889.80818</v>
      </c>
      <c r="C60" s="50">
        <f>IF(OR(-52264.66167="",-52264.66167=0),"-",-52264.66167)</f>
        <v>-52264.66167</v>
      </c>
      <c r="D60" s="50">
        <f>IF(OR(-51889.80818="",-52264.66167="",-51889.80818=0,-52264.66167=0),"-",-52264.66167/-51889.80818*100)</f>
        <v>100.7224029210123</v>
      </c>
    </row>
    <row r="61" spans="1:4" ht="15.75">
      <c r="A61" s="34" t="s">
        <v>214</v>
      </c>
      <c r="B61" s="49">
        <f>IF(-315808.06718="","-",-315808.06718)</f>
        <v>-315808.06718</v>
      </c>
      <c r="C61" s="49">
        <f>IF(-253029.47758="","-",-253029.47758)</f>
        <v>-253029.47758</v>
      </c>
      <c r="D61" s="49">
        <f>IF(-315808.06718="","-",-253029.47758/-315808.06718*100)</f>
        <v>80.12128374028573</v>
      </c>
    </row>
    <row r="62" spans="1:4" ht="15.75">
      <c r="A62" s="42" t="s">
        <v>215</v>
      </c>
      <c r="B62" s="50">
        <f>IF(OR(-11268.48955="",-11268.48955=0),"-",-11268.48955)</f>
        <v>-11268.48955</v>
      </c>
      <c r="C62" s="50">
        <f>IF(OR(-4602.66475="",-4602.66475=0),"-",-4602.66475)</f>
        <v>-4602.66475</v>
      </c>
      <c r="D62" s="50">
        <f>IF(OR(-11268.48955="",-4602.66475="",-11268.48955=0,-4602.66475=0),"-",-4602.66475/-11268.48955*100)</f>
        <v>40.84544543061674</v>
      </c>
    </row>
    <row r="63" spans="1:4" ht="15.75">
      <c r="A63" s="42" t="s">
        <v>235</v>
      </c>
      <c r="B63" s="50">
        <f>IF(OR(-82302.20518="",-82302.20518=0),"-",-82302.20518)</f>
        <v>-82302.20518</v>
      </c>
      <c r="C63" s="50">
        <f>IF(OR(-76748.72432="",-76748.72432=0),"-",-76748.72432)</f>
        <v>-76748.72432</v>
      </c>
      <c r="D63" s="50">
        <f>IF(OR(-82302.20518="",-76748.72432="",-82302.20518=0,-76748.72432=0),"-",-76748.72432/-82302.20518*100)</f>
        <v>93.25233042315914</v>
      </c>
    </row>
    <row r="64" spans="1:4" ht="15.75">
      <c r="A64" s="42" t="s">
        <v>216</v>
      </c>
      <c r="B64" s="50">
        <f>IF(OR(-3655.89513="",-3655.89513=0),"-",-3655.89513)</f>
        <v>-3655.89513</v>
      </c>
      <c r="C64" s="50">
        <f>IF(OR(-3092.59097="",-3092.59097=0),"-",-3092.59097)</f>
        <v>-3092.59097</v>
      </c>
      <c r="D64" s="50">
        <f>IF(OR(-3655.89513="",-3092.59097="",-3655.89513=0,-3092.59097=0),"-",-3092.59097/-3655.89513*100)</f>
        <v>84.59189500876083</v>
      </c>
    </row>
    <row r="65" spans="1:4" ht="25.5">
      <c r="A65" s="42" t="s">
        <v>217</v>
      </c>
      <c r="B65" s="50">
        <f>IF(OR(-58027.591="",-58027.591=0),"-",-58027.591)</f>
        <v>-58027.591</v>
      </c>
      <c r="C65" s="50">
        <f>IF(OR(-64945.183="",-64945.183=0),"-",-64945.183)</f>
        <v>-64945.183</v>
      </c>
      <c r="D65" s="50">
        <f>IF(OR(-58027.591="",-64945.183="",-58027.591=0,-64945.183=0),"-",-64945.183/-58027.591*100)</f>
        <v>111.92121175597312</v>
      </c>
    </row>
    <row r="66" spans="1:4" ht="25.5">
      <c r="A66" s="42" t="s">
        <v>218</v>
      </c>
      <c r="B66" s="50">
        <f>IF(OR(-21852.03801="",-21852.03801=0),"-",-21852.03801)</f>
        <v>-21852.03801</v>
      </c>
      <c r="C66" s="50">
        <f>IF(OR(-18259.17335="",-18259.17335=0),"-",-18259.17335)</f>
        <v>-18259.17335</v>
      </c>
      <c r="D66" s="50">
        <f>IF(OR(-21852.03801="",-18259.17335="",-21852.03801=0,-18259.17335=0),"-",-18259.17335/-21852.03801*100)</f>
        <v>83.55821704888203</v>
      </c>
    </row>
    <row r="67" spans="1:4" ht="25.5">
      <c r="A67" s="42" t="s">
        <v>219</v>
      </c>
      <c r="B67" s="50">
        <f>IF(OR(-52176.77823="",-52176.77823=0),"-",-52176.77823)</f>
        <v>-52176.77823</v>
      </c>
      <c r="C67" s="50">
        <f>IF(OR(-56822.11559="",-56822.11559=0),"-",-56822.11559)</f>
        <v>-56822.11559</v>
      </c>
      <c r="D67" s="50">
        <f>IF(OR(-52176.77823="",-56822.11559="",-52176.77823=0,-56822.11559=0),"-",-56822.11559/-52176.77823*100)</f>
        <v>108.90307435143451</v>
      </c>
    </row>
    <row r="68" spans="1:4" ht="25.5">
      <c r="A68" s="42" t="s">
        <v>236</v>
      </c>
      <c r="B68" s="50">
        <f>IF(OR(26269.50669="",26269.50669=0),"-",26269.50669)</f>
        <v>26269.50669</v>
      </c>
      <c r="C68" s="50">
        <f>IF(OR(92363.8347="",92363.8347=0),"-",92363.8347)</f>
        <v>92363.8347</v>
      </c>
      <c r="D68" s="50" t="s">
        <v>260</v>
      </c>
    </row>
    <row r="69" spans="1:4" ht="15.75">
      <c r="A69" s="42" t="s">
        <v>40</v>
      </c>
      <c r="B69" s="50">
        <f>IF(OR(-111818.98843="",-111818.98843=0),"-",-111818.98843)</f>
        <v>-111818.98843</v>
      </c>
      <c r="C69" s="50">
        <f>IF(OR(-120881.47973="",-120881.47973=0),"-",-120881.47973)</f>
        <v>-120881.47973</v>
      </c>
      <c r="D69" s="50">
        <f>IF(OR(-111818.98843="",-120881.47973="",-111818.98843=0,-120881.47973=0),"-",-120881.47973/-111818.98843*100)</f>
        <v>108.10460855284273</v>
      </c>
    </row>
    <row r="70" spans="1:4" ht="15.75">
      <c r="A70" s="42" t="s">
        <v>41</v>
      </c>
      <c r="B70" s="50">
        <f>IF(OR(-975.58834="",-975.58834=0),"-",-975.58834)</f>
        <v>-975.58834</v>
      </c>
      <c r="C70" s="50">
        <f>IF(OR(-41.38057="",-41.38057=0),"-",-41.38057)</f>
        <v>-41.38057</v>
      </c>
      <c r="D70" s="50">
        <f>IF(OR(-975.58834="",-41.38057="",-975.58834=0,-41.38057=0),"-",-41.38057/-975.58834*100)</f>
        <v>4.241601534516085</v>
      </c>
    </row>
    <row r="71" spans="1:4" ht="15.75">
      <c r="A71" s="34" t="s">
        <v>42</v>
      </c>
      <c r="B71" s="49">
        <f>IF(27800.05429="","-",27800.05429)</f>
        <v>27800.05429</v>
      </c>
      <c r="C71" s="49">
        <f>IF(-9825.97471="","-",-9825.97471)</f>
        <v>-9825.97471</v>
      </c>
      <c r="D71" s="49" t="s">
        <v>22</v>
      </c>
    </row>
    <row r="72" spans="1:4" ht="25.5">
      <c r="A72" s="42" t="s">
        <v>220</v>
      </c>
      <c r="B72" s="50">
        <f>IF(OR(-11060.63909="",-11060.63909=0),"-",-11060.63909)</f>
        <v>-11060.63909</v>
      </c>
      <c r="C72" s="50">
        <f>IF(OR(-12057.98366="",-12057.98366=0),"-",-12057.98366)</f>
        <v>-12057.98366</v>
      </c>
      <c r="D72" s="50">
        <f>IF(OR(-11060.63909="",-12057.98366="",-11060.63909=0,-12057.98366=0),"-",-12057.98366/-11060.63909*100)</f>
        <v>109.01706096623029</v>
      </c>
    </row>
    <row r="73" spans="1:4" ht="15.75">
      <c r="A73" s="42" t="s">
        <v>221</v>
      </c>
      <c r="B73" s="50">
        <f>IF(OR(45840.76194="",45840.76194=0),"-",45840.76194)</f>
        <v>45840.76194</v>
      </c>
      <c r="C73" s="50">
        <f>IF(OR(39202.96476="",39202.96476=0),"-",39202.96476)</f>
        <v>39202.96476</v>
      </c>
      <c r="D73" s="50">
        <f>IF(OR(45840.76194="",39202.96476="",45840.76194=0,39202.96476=0),"-",39202.96476/45840.76194*100)</f>
        <v>85.51988034429256</v>
      </c>
    </row>
    <row r="74" spans="1:4" ht="15.75">
      <c r="A74" s="42" t="s">
        <v>222</v>
      </c>
      <c r="B74" s="50">
        <f>IF(OR(3989.59888="",3989.59888=0),"-",3989.59888)</f>
        <v>3989.59888</v>
      </c>
      <c r="C74" s="50">
        <f>IF(OR(1001.79979="",1001.79979=0),"-",1001.79979)</f>
        <v>1001.79979</v>
      </c>
      <c r="D74" s="50">
        <f>IF(OR(3989.59888="",1001.79979="",3989.59888=0,1001.79979=0),"-",1001.79979/3989.59888*100)</f>
        <v>25.11028853106155</v>
      </c>
    </row>
    <row r="75" spans="1:4" ht="15.75">
      <c r="A75" s="42" t="s">
        <v>223</v>
      </c>
      <c r="B75" s="50">
        <f>IF(OR(69278.68443="",69278.68443=0),"-",69278.68443)</f>
        <v>69278.68443</v>
      </c>
      <c r="C75" s="50">
        <f>IF(OR(58171.59302="",58171.59302=0),"-",58171.59302)</f>
        <v>58171.59302</v>
      </c>
      <c r="D75" s="50">
        <f>IF(OR(69278.68443="",58171.59302="",69278.68443=0,58171.59302=0),"-",58171.59302/69278.68443*100)</f>
        <v>83.96751973368846</v>
      </c>
    </row>
    <row r="76" spans="1:4" ht="15.75">
      <c r="A76" s="42" t="s">
        <v>224</v>
      </c>
      <c r="B76" s="50">
        <f>IF(OR(-2954.27379="",-2954.27379=0),"-",-2954.27379)</f>
        <v>-2954.27379</v>
      </c>
      <c r="C76" s="50">
        <f>IF(OR(-7004.34477="",-7004.34477=0),"-",-7004.34477)</f>
        <v>-7004.34477</v>
      </c>
      <c r="D76" s="50" t="s">
        <v>261</v>
      </c>
    </row>
    <row r="77" spans="1:4" ht="15.75">
      <c r="A77" s="42" t="s">
        <v>225</v>
      </c>
      <c r="B77" s="50">
        <f>IF(OR(-11662.25829="",-11662.25829=0),"-",-11662.25829)</f>
        <v>-11662.25829</v>
      </c>
      <c r="C77" s="50">
        <f>IF(OR(-14760.80371="",-14760.80371=0),"-",-14760.80371)</f>
        <v>-14760.80371</v>
      </c>
      <c r="D77" s="50">
        <f>IF(OR(-11662.25829="",-14760.80371="",-11662.25829=0,-14760.80371=0),"-",-14760.80371/-11662.25829*100)</f>
        <v>126.56900012801896</v>
      </c>
    </row>
    <row r="78" spans="1:4" ht="25.5">
      <c r="A78" s="61" t="s">
        <v>226</v>
      </c>
      <c r="B78" s="62">
        <f>IF(OR(-3635.04382="",-3635.04382=0),"-",-3635.04382)</f>
        <v>-3635.04382</v>
      </c>
      <c r="C78" s="62">
        <f>IF(OR(-3307.82319="",-3307.82319=0),"-",-3307.82319)</f>
        <v>-3307.82319</v>
      </c>
      <c r="D78" s="62">
        <f>IF(OR(-3635.04382="",-3307.82319="",-3635.04382=0,-3307.82319=0),"-",-3307.82319/-3635.04382*100)</f>
        <v>90.99816546365595</v>
      </c>
    </row>
    <row r="79" spans="1:4" ht="15.75">
      <c r="A79" s="61" t="s">
        <v>43</v>
      </c>
      <c r="B79" s="62">
        <f>IF(OR(-61996.77597="",-61996.77597=0),"-",-61996.77597)</f>
        <v>-61996.77597</v>
      </c>
      <c r="C79" s="62">
        <f>IF(OR(-71071.37695="",-71071.37695=0),"-",-71071.37695)</f>
        <v>-71071.37695</v>
      </c>
      <c r="D79" s="62">
        <f>IF(OR(-61996.77597="",-71071.37695="",-61996.77597=0,-71071.37695=0),"-",-71071.37695/-61996.77597*100)</f>
        <v>114.63721433577638</v>
      </c>
    </row>
    <row r="80" spans="1:4" ht="15.75">
      <c r="A80" s="59" t="s">
        <v>227</v>
      </c>
      <c r="B80" s="60">
        <f>IF(164.85246="","-",164.85246)</f>
        <v>164.85246</v>
      </c>
      <c r="C80" s="60">
        <f>IF(265.39253="","-",265.39253)</f>
        <v>265.39253</v>
      </c>
      <c r="D80" s="60" t="s">
        <v>115</v>
      </c>
    </row>
    <row r="81" spans="1:4" ht="15.75">
      <c r="A81" s="29" t="s">
        <v>21</v>
      </c>
      <c r="B81" s="11"/>
      <c r="C81" s="11"/>
      <c r="D81" s="12"/>
    </row>
    <row r="82" ht="15.75">
      <c r="C82" s="11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2019-07-11T12:54:19Z</cp:lastPrinted>
  <dcterms:created xsi:type="dcterms:W3CDTF">2016-09-01T07:59:47Z</dcterms:created>
  <dcterms:modified xsi:type="dcterms:W3CDTF">2019-07-12T11:40:31Z</dcterms:modified>
  <cp:category/>
  <cp:version/>
  <cp:contentType/>
  <cp:contentStatus/>
</cp:coreProperties>
</file>