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_Ext_01-06_2020_Rev\"/>
    </mc:Choice>
  </mc:AlternateContent>
  <bookViews>
    <workbookView xWindow="0" yWindow="0" windowWidth="24000" windowHeight="10875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52511"/>
</workbook>
</file>

<file path=xl/calcChain.xml><?xml version="1.0" encoding="utf-8"?>
<calcChain xmlns="http://schemas.openxmlformats.org/spreadsheetml/2006/main">
  <c r="E39" i="8" l="1"/>
  <c r="D39" i="8"/>
  <c r="B39" i="8"/>
  <c r="E38" i="8"/>
  <c r="D38" i="8"/>
  <c r="B38" i="8"/>
  <c r="E37" i="8"/>
  <c r="D37" i="8"/>
  <c r="B37" i="8"/>
  <c r="E36" i="8"/>
  <c r="D36" i="8"/>
  <c r="B36" i="8"/>
  <c r="E35" i="8"/>
  <c r="D35" i="8"/>
  <c r="B35" i="8"/>
  <c r="E34" i="8"/>
  <c r="D34" i="8"/>
  <c r="B34" i="8"/>
  <c r="E32" i="8"/>
  <c r="D32" i="8"/>
  <c r="B32" i="8"/>
  <c r="E31" i="8"/>
  <c r="D31" i="8"/>
  <c r="B31" i="8"/>
  <c r="E30" i="8"/>
  <c r="D30" i="8"/>
  <c r="B30" i="8"/>
  <c r="E29" i="8"/>
  <c r="D29" i="8"/>
  <c r="B29" i="8"/>
  <c r="E28" i="8"/>
  <c r="D28" i="8"/>
  <c r="B28" i="8"/>
  <c r="E27" i="8"/>
  <c r="D27" i="8"/>
  <c r="B27" i="8"/>
  <c r="E26" i="8"/>
  <c r="D26" i="8"/>
  <c r="B26" i="8"/>
  <c r="E25" i="8"/>
  <c r="D25" i="8"/>
  <c r="B25" i="8"/>
  <c r="E23" i="8"/>
  <c r="D23" i="8"/>
  <c r="B23" i="8"/>
  <c r="E22" i="8"/>
  <c r="D22" i="8"/>
  <c r="B22" i="8"/>
  <c r="E21" i="8"/>
  <c r="D21" i="8"/>
  <c r="B21" i="8"/>
  <c r="E20" i="8"/>
  <c r="D20" i="8"/>
  <c r="B20" i="8"/>
  <c r="E19" i="8"/>
  <c r="D19" i="8"/>
  <c r="B19" i="8"/>
  <c r="E18" i="8"/>
  <c r="D18" i="8"/>
  <c r="B18" i="8"/>
  <c r="E17" i="8"/>
  <c r="D17" i="8"/>
  <c r="B17" i="8"/>
  <c r="E15" i="8"/>
  <c r="D15" i="8"/>
  <c r="B15" i="8"/>
  <c r="E14" i="8"/>
  <c r="D14" i="8"/>
  <c r="B14" i="8"/>
  <c r="E13" i="8"/>
  <c r="D13" i="8"/>
  <c r="B13" i="8"/>
  <c r="E12" i="8"/>
  <c r="D12" i="8"/>
  <c r="B12" i="8"/>
  <c r="E11" i="8"/>
  <c r="D11" i="8"/>
  <c r="B11" i="8"/>
  <c r="E10" i="8"/>
  <c r="D10" i="8"/>
  <c r="B10" i="8"/>
  <c r="E9" i="8"/>
  <c r="D9" i="8"/>
  <c r="B9" i="8"/>
  <c r="E8" i="8"/>
  <c r="D8" i="8"/>
  <c r="B8" i="8"/>
  <c r="B6" i="8"/>
  <c r="D39" i="7" l="1"/>
  <c r="E38" i="7"/>
  <c r="D38" i="7"/>
  <c r="B38" i="7"/>
  <c r="E37" i="7"/>
  <c r="D37" i="7"/>
  <c r="B37" i="7"/>
  <c r="E36" i="7"/>
  <c r="D36" i="7"/>
  <c r="B36" i="7"/>
  <c r="E35" i="7"/>
  <c r="D35" i="7"/>
  <c r="B35" i="7"/>
  <c r="E34" i="7"/>
  <c r="D34" i="7"/>
  <c r="B34" i="7"/>
  <c r="E32" i="7"/>
  <c r="D32" i="7"/>
  <c r="B32" i="7"/>
  <c r="E31" i="7"/>
  <c r="D31" i="7"/>
  <c r="B31" i="7"/>
  <c r="E30" i="7"/>
  <c r="D30" i="7"/>
  <c r="B30" i="7"/>
  <c r="E29" i="7"/>
  <c r="D29" i="7"/>
  <c r="B29" i="7"/>
  <c r="E28" i="7"/>
  <c r="D28" i="7"/>
  <c r="B28" i="7"/>
  <c r="E27" i="7"/>
  <c r="D27" i="7"/>
  <c r="B27" i="7"/>
  <c r="E26" i="7"/>
  <c r="D26" i="7"/>
  <c r="B26" i="7"/>
  <c r="E25" i="7"/>
  <c r="D25" i="7"/>
  <c r="B25" i="7"/>
  <c r="E23" i="7"/>
  <c r="D23" i="7"/>
  <c r="B23" i="7"/>
  <c r="E22" i="7"/>
  <c r="D22" i="7"/>
  <c r="B22" i="7"/>
  <c r="E21" i="7"/>
  <c r="D21" i="7"/>
  <c r="B21" i="7"/>
  <c r="E20" i="7"/>
  <c r="D20" i="7"/>
  <c r="B20" i="7"/>
  <c r="E19" i="7"/>
  <c r="D19" i="7"/>
  <c r="B19" i="7"/>
  <c r="E18" i="7"/>
  <c r="D18" i="7"/>
  <c r="B18" i="7"/>
  <c r="E17" i="7"/>
  <c r="D17" i="7"/>
  <c r="B17" i="7"/>
  <c r="E15" i="7"/>
  <c r="D15" i="7"/>
  <c r="B15" i="7"/>
  <c r="E14" i="7"/>
  <c r="D14" i="7"/>
  <c r="B14" i="7"/>
  <c r="E13" i="7"/>
  <c r="D13" i="7"/>
  <c r="B13" i="7"/>
  <c r="E12" i="7"/>
  <c r="D12" i="7"/>
  <c r="B12" i="7"/>
  <c r="E11" i="7"/>
  <c r="D11" i="7"/>
  <c r="B11" i="7"/>
  <c r="E10" i="7"/>
  <c r="D10" i="7"/>
  <c r="B10" i="7"/>
  <c r="E9" i="7"/>
  <c r="D9" i="7"/>
  <c r="B9" i="7"/>
  <c r="E8" i="7"/>
  <c r="D8" i="7"/>
  <c r="B8" i="7"/>
  <c r="B6" i="7"/>
  <c r="C147" i="3" l="1"/>
  <c r="B147" i="3"/>
  <c r="D146" i="3"/>
  <c r="C146" i="3"/>
  <c r="B146" i="3"/>
  <c r="D145" i="3"/>
  <c r="C145" i="3"/>
  <c r="B145" i="3"/>
  <c r="D144" i="3"/>
  <c r="C144" i="3"/>
  <c r="B144" i="3"/>
  <c r="D143" i="3"/>
  <c r="C143" i="3"/>
  <c r="B143" i="3"/>
  <c r="C142" i="3"/>
  <c r="B142" i="3"/>
  <c r="D141" i="3"/>
  <c r="C141" i="3"/>
  <c r="B141" i="3"/>
  <c r="C140" i="3"/>
  <c r="B140" i="3"/>
  <c r="C139" i="3"/>
  <c r="B139" i="3"/>
  <c r="D138" i="3"/>
  <c r="C138" i="3"/>
  <c r="B138" i="3"/>
  <c r="D137" i="3"/>
  <c r="C137" i="3"/>
  <c r="B137" i="3"/>
  <c r="D136" i="3"/>
  <c r="C136" i="3"/>
  <c r="B136" i="3"/>
  <c r="C135" i="3"/>
  <c r="B135" i="3"/>
  <c r="C134" i="3"/>
  <c r="B134" i="3"/>
  <c r="D133" i="3"/>
  <c r="C133" i="3"/>
  <c r="B133" i="3"/>
  <c r="C132" i="3"/>
  <c r="B132" i="3"/>
  <c r="D131" i="3"/>
  <c r="C131" i="3"/>
  <c r="B131" i="3"/>
  <c r="D130" i="3"/>
  <c r="C130" i="3"/>
  <c r="B130" i="3"/>
  <c r="D129" i="3"/>
  <c r="C129" i="3"/>
  <c r="B129" i="3"/>
  <c r="D128" i="3"/>
  <c r="C128" i="3"/>
  <c r="B128" i="3"/>
  <c r="C127" i="3"/>
  <c r="B127" i="3"/>
  <c r="D126" i="3"/>
  <c r="C126" i="3"/>
  <c r="B126" i="3"/>
  <c r="D125" i="3"/>
  <c r="C125" i="3"/>
  <c r="B125" i="3"/>
  <c r="D124" i="3"/>
  <c r="C124" i="3"/>
  <c r="B124" i="3"/>
  <c r="C123" i="3"/>
  <c r="B123" i="3"/>
  <c r="C122" i="3"/>
  <c r="B122" i="3"/>
  <c r="C121" i="3"/>
  <c r="B121" i="3"/>
  <c r="D120" i="3"/>
  <c r="C120" i="3"/>
  <c r="B120" i="3"/>
  <c r="D119" i="3"/>
  <c r="C119" i="3"/>
  <c r="B119" i="3"/>
  <c r="D118" i="3"/>
  <c r="C118" i="3"/>
  <c r="B118" i="3"/>
  <c r="D117" i="3"/>
  <c r="C117" i="3"/>
  <c r="B117" i="3"/>
  <c r="D116" i="3"/>
  <c r="C116" i="3"/>
  <c r="B116" i="3"/>
  <c r="D115" i="3"/>
  <c r="C115" i="3"/>
  <c r="B115" i="3"/>
  <c r="D114" i="3"/>
  <c r="C114" i="3"/>
  <c r="B114" i="3"/>
  <c r="C113" i="3"/>
  <c r="B113" i="3"/>
  <c r="D112" i="3"/>
  <c r="C112" i="3"/>
  <c r="B112" i="3"/>
  <c r="D111" i="3"/>
  <c r="C111" i="3"/>
  <c r="B111" i="3"/>
  <c r="D110" i="3"/>
  <c r="C110" i="3"/>
  <c r="B110" i="3"/>
  <c r="D109" i="3"/>
  <c r="C109" i="3"/>
  <c r="B109" i="3"/>
  <c r="D108" i="3"/>
  <c r="C108" i="3"/>
  <c r="B108" i="3"/>
  <c r="D107" i="3"/>
  <c r="C107" i="3"/>
  <c r="B107" i="3"/>
  <c r="D106" i="3"/>
  <c r="C106" i="3"/>
  <c r="B106" i="3"/>
  <c r="D105" i="3"/>
  <c r="C105" i="3"/>
  <c r="B105" i="3"/>
  <c r="C104" i="3"/>
  <c r="B104" i="3"/>
  <c r="D103" i="3"/>
  <c r="C103" i="3"/>
  <c r="B103" i="3"/>
  <c r="C102" i="3"/>
  <c r="B102" i="3"/>
  <c r="C101" i="3"/>
  <c r="B101" i="3"/>
  <c r="D100" i="3"/>
  <c r="C100" i="3"/>
  <c r="B100" i="3"/>
  <c r="D99" i="3"/>
  <c r="C99" i="3"/>
  <c r="B99" i="3"/>
  <c r="C98" i="3"/>
  <c r="B98" i="3"/>
  <c r="C97" i="3"/>
  <c r="B97" i="3"/>
  <c r="D96" i="3"/>
  <c r="C96" i="3"/>
  <c r="B96" i="3"/>
  <c r="C95" i="3"/>
  <c r="B95" i="3"/>
  <c r="D94" i="3"/>
  <c r="C94" i="3"/>
  <c r="B94" i="3"/>
  <c r="D93" i="3"/>
  <c r="C93" i="3"/>
  <c r="B93" i="3"/>
  <c r="D92" i="3"/>
  <c r="C92" i="3"/>
  <c r="B92" i="3"/>
  <c r="D91" i="3"/>
  <c r="C91" i="3"/>
  <c r="B91" i="3"/>
  <c r="D90" i="3"/>
  <c r="C90" i="3"/>
  <c r="B90" i="3"/>
  <c r="D89" i="3"/>
  <c r="C89" i="3"/>
  <c r="B89" i="3"/>
  <c r="C88" i="3"/>
  <c r="B88" i="3"/>
  <c r="D87" i="3"/>
  <c r="C87" i="3"/>
  <c r="B87" i="3"/>
  <c r="D86" i="3"/>
  <c r="C86" i="3"/>
  <c r="B86" i="3"/>
  <c r="D85" i="3"/>
  <c r="C85" i="3"/>
  <c r="B85" i="3"/>
  <c r="D84" i="3"/>
  <c r="C84" i="3"/>
  <c r="B84" i="3"/>
  <c r="C83" i="3"/>
  <c r="B83" i="3"/>
  <c r="C82" i="3"/>
  <c r="B82" i="3"/>
  <c r="D81" i="3"/>
  <c r="C81" i="3"/>
  <c r="B81" i="3"/>
  <c r="C80" i="3"/>
  <c r="B80" i="3"/>
  <c r="D79" i="3"/>
  <c r="C79" i="3"/>
  <c r="B79" i="3"/>
  <c r="C78" i="3"/>
  <c r="B78" i="3"/>
  <c r="D77" i="3"/>
  <c r="C77" i="3"/>
  <c r="B77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C70" i="3"/>
  <c r="B70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C64" i="3"/>
  <c r="B64" i="3"/>
  <c r="D63" i="3"/>
  <c r="C63" i="3"/>
  <c r="B63" i="3"/>
  <c r="D62" i="3"/>
  <c r="C62" i="3"/>
  <c r="B62" i="3"/>
  <c r="D61" i="3"/>
  <c r="C61" i="3"/>
  <c r="B61" i="3"/>
  <c r="C60" i="3"/>
  <c r="B60" i="3"/>
  <c r="D59" i="3"/>
  <c r="C59" i="3"/>
  <c r="B59" i="3"/>
  <c r="D58" i="3"/>
  <c r="C58" i="3"/>
  <c r="B58" i="3"/>
  <c r="C57" i="3"/>
  <c r="B57" i="3"/>
  <c r="D56" i="3"/>
  <c r="C56" i="3"/>
  <c r="B56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C45" i="3"/>
  <c r="B45" i="3"/>
  <c r="D44" i="3"/>
  <c r="C44" i="3"/>
  <c r="B44" i="3"/>
  <c r="D43" i="3"/>
  <c r="C43" i="3"/>
  <c r="B43" i="3"/>
  <c r="D42" i="3"/>
  <c r="C42" i="3"/>
  <c r="B42" i="3"/>
  <c r="D41" i="3"/>
  <c r="C41" i="3"/>
  <c r="B41" i="3"/>
  <c r="D40" i="3"/>
  <c r="C40" i="3"/>
  <c r="B40" i="3"/>
  <c r="C39" i="3"/>
  <c r="B39" i="3"/>
  <c r="D38" i="3"/>
  <c r="C38" i="3"/>
  <c r="B38" i="3"/>
  <c r="D37" i="3"/>
  <c r="C37" i="3"/>
  <c r="B37" i="3"/>
  <c r="D36" i="3"/>
  <c r="C36" i="3"/>
  <c r="B36" i="3"/>
  <c r="D35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D27" i="3"/>
  <c r="C27" i="3"/>
  <c r="B27" i="3"/>
  <c r="D26" i="3"/>
  <c r="C26" i="3"/>
  <c r="B26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5" i="3"/>
  <c r="C5" i="3"/>
  <c r="B5" i="3"/>
  <c r="D80" i="4" l="1"/>
  <c r="C80" i="4"/>
  <c r="B80" i="4"/>
  <c r="D79" i="4"/>
  <c r="C79" i="4"/>
  <c r="B79" i="4"/>
  <c r="D78" i="4"/>
  <c r="C78" i="4"/>
  <c r="B78" i="4"/>
  <c r="D77" i="4"/>
  <c r="C77" i="4"/>
  <c r="B77" i="4"/>
  <c r="D76" i="4"/>
  <c r="C76" i="4"/>
  <c r="B76" i="4"/>
  <c r="D75" i="4"/>
  <c r="C75" i="4"/>
  <c r="B75" i="4"/>
  <c r="D74" i="4"/>
  <c r="C74" i="4"/>
  <c r="B74" i="4"/>
  <c r="D73" i="4"/>
  <c r="C73" i="4"/>
  <c r="B73" i="4"/>
  <c r="D72" i="4"/>
  <c r="C72" i="4"/>
  <c r="B72" i="4"/>
  <c r="D71" i="4"/>
  <c r="C71" i="4"/>
  <c r="B71" i="4"/>
  <c r="C70" i="4"/>
  <c r="B70" i="4"/>
  <c r="D69" i="4"/>
  <c r="C69" i="4"/>
  <c r="B69" i="4"/>
  <c r="D68" i="4"/>
  <c r="C68" i="4"/>
  <c r="B68" i="4"/>
  <c r="D67" i="4"/>
  <c r="C67" i="4"/>
  <c r="B67" i="4"/>
  <c r="D66" i="4"/>
  <c r="C66" i="4"/>
  <c r="B66" i="4"/>
  <c r="D65" i="4"/>
  <c r="C65" i="4"/>
  <c r="B65" i="4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C42" i="4"/>
  <c r="B42" i="4"/>
  <c r="D41" i="4"/>
  <c r="C41" i="4"/>
  <c r="B41" i="4"/>
  <c r="D40" i="4"/>
  <c r="C40" i="4"/>
  <c r="B40" i="4"/>
  <c r="C39" i="4"/>
  <c r="B39" i="4"/>
  <c r="D38" i="4"/>
  <c r="C38" i="4"/>
  <c r="B38" i="4"/>
  <c r="C37" i="4"/>
  <c r="B37" i="4"/>
  <c r="D36" i="4"/>
  <c r="C36" i="4"/>
  <c r="B36" i="4"/>
  <c r="D35" i="4"/>
  <c r="C35" i="4"/>
  <c r="B35" i="4"/>
  <c r="D34" i="4"/>
  <c r="C34" i="4"/>
  <c r="B34" i="4"/>
  <c r="D33" i="4"/>
  <c r="C33" i="4"/>
  <c r="B33" i="4"/>
  <c r="D32" i="4"/>
  <c r="C32" i="4"/>
  <c r="B32" i="4"/>
  <c r="D31" i="4"/>
  <c r="C31" i="4"/>
  <c r="B31" i="4"/>
  <c r="D30" i="4"/>
  <c r="C30" i="4"/>
  <c r="B30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C15" i="4"/>
  <c r="B15" i="4"/>
  <c r="C14" i="4"/>
  <c r="B14" i="4"/>
  <c r="D13" i="4"/>
  <c r="C13" i="4"/>
  <c r="B13" i="4"/>
  <c r="D12" i="4"/>
  <c r="C12" i="4"/>
  <c r="B12" i="4"/>
  <c r="C11" i="4"/>
  <c r="B11" i="4"/>
  <c r="D10" i="4"/>
  <c r="C10" i="4"/>
  <c r="B10" i="4"/>
  <c r="D9" i="4"/>
  <c r="C9" i="4"/>
  <c r="B9" i="4"/>
  <c r="C8" i="4"/>
  <c r="B8" i="4"/>
  <c r="D6" i="4"/>
  <c r="C6" i="4"/>
  <c r="B6" i="4"/>
  <c r="G80" i="6" l="1"/>
  <c r="F80" i="6"/>
  <c r="E80" i="6"/>
  <c r="D80" i="6"/>
  <c r="C80" i="6"/>
  <c r="B80" i="6"/>
  <c r="G79" i="6"/>
  <c r="F79" i="6"/>
  <c r="E79" i="6"/>
  <c r="D79" i="6"/>
  <c r="C79" i="6"/>
  <c r="B79" i="6"/>
  <c r="G78" i="6"/>
  <c r="F78" i="6"/>
  <c r="E78" i="6"/>
  <c r="D78" i="6"/>
  <c r="C78" i="6"/>
  <c r="B78" i="6"/>
  <c r="G77" i="6"/>
  <c r="F77" i="6"/>
  <c r="E77" i="6"/>
  <c r="D77" i="6"/>
  <c r="C77" i="6"/>
  <c r="B77" i="6"/>
  <c r="G76" i="6"/>
  <c r="F76" i="6"/>
  <c r="E76" i="6"/>
  <c r="D76" i="6"/>
  <c r="C76" i="6"/>
  <c r="B76" i="6"/>
  <c r="G75" i="6"/>
  <c r="F75" i="6"/>
  <c r="E75" i="6"/>
  <c r="D75" i="6"/>
  <c r="C75" i="6"/>
  <c r="B75" i="6"/>
  <c r="G74" i="6"/>
  <c r="F74" i="6"/>
  <c r="E74" i="6"/>
  <c r="D74" i="6"/>
  <c r="C74" i="6"/>
  <c r="B74" i="6"/>
  <c r="G73" i="6"/>
  <c r="F73" i="6"/>
  <c r="E73" i="6"/>
  <c r="D73" i="6"/>
  <c r="C73" i="6"/>
  <c r="B73" i="6"/>
  <c r="G72" i="6"/>
  <c r="F72" i="6"/>
  <c r="E72" i="6"/>
  <c r="D72" i="6"/>
  <c r="C72" i="6"/>
  <c r="B72" i="6"/>
  <c r="G71" i="6"/>
  <c r="F71" i="6"/>
  <c r="E71" i="6"/>
  <c r="D71" i="6"/>
  <c r="C71" i="6"/>
  <c r="B71" i="6"/>
  <c r="G70" i="6"/>
  <c r="F70" i="6"/>
  <c r="E70" i="6"/>
  <c r="D70" i="6"/>
  <c r="C70" i="6"/>
  <c r="B70" i="6"/>
  <c r="G69" i="6"/>
  <c r="F69" i="6"/>
  <c r="E69" i="6"/>
  <c r="D69" i="6"/>
  <c r="C69" i="6"/>
  <c r="B69" i="6"/>
  <c r="G68" i="6"/>
  <c r="F68" i="6"/>
  <c r="E68" i="6"/>
  <c r="D68" i="6"/>
  <c r="C68" i="6"/>
  <c r="B68" i="6"/>
  <c r="G67" i="6"/>
  <c r="F67" i="6"/>
  <c r="E67" i="6"/>
  <c r="D67" i="6"/>
  <c r="C67" i="6"/>
  <c r="B67" i="6"/>
  <c r="G66" i="6"/>
  <c r="F66" i="6"/>
  <c r="E66" i="6"/>
  <c r="D66" i="6"/>
  <c r="C66" i="6"/>
  <c r="B66" i="6"/>
  <c r="G65" i="6"/>
  <c r="F65" i="6"/>
  <c r="E65" i="6"/>
  <c r="D65" i="6"/>
  <c r="C65" i="6"/>
  <c r="B65" i="6"/>
  <c r="G64" i="6"/>
  <c r="F64" i="6"/>
  <c r="E64" i="6"/>
  <c r="D64" i="6"/>
  <c r="C64" i="6"/>
  <c r="B64" i="6"/>
  <c r="G63" i="6"/>
  <c r="F63" i="6"/>
  <c r="E63" i="6"/>
  <c r="D63" i="6"/>
  <c r="C63" i="6"/>
  <c r="B63" i="6"/>
  <c r="G62" i="6"/>
  <c r="F62" i="6"/>
  <c r="E62" i="6"/>
  <c r="D62" i="6"/>
  <c r="C62" i="6"/>
  <c r="B62" i="6"/>
  <c r="G61" i="6"/>
  <c r="F61" i="6"/>
  <c r="E61" i="6"/>
  <c r="D61" i="6"/>
  <c r="C61" i="6"/>
  <c r="B61" i="6"/>
  <c r="G60" i="6"/>
  <c r="F60" i="6"/>
  <c r="E60" i="6"/>
  <c r="D60" i="6"/>
  <c r="C60" i="6"/>
  <c r="B60" i="6"/>
  <c r="G59" i="6"/>
  <c r="F59" i="6"/>
  <c r="E59" i="6"/>
  <c r="D59" i="6"/>
  <c r="C59" i="6"/>
  <c r="B59" i="6"/>
  <c r="G58" i="6"/>
  <c r="F58" i="6"/>
  <c r="E58" i="6"/>
  <c r="D58" i="6"/>
  <c r="C58" i="6"/>
  <c r="B58" i="6"/>
  <c r="G57" i="6"/>
  <c r="F57" i="6"/>
  <c r="E57" i="6"/>
  <c r="D57" i="6"/>
  <c r="C57" i="6"/>
  <c r="B57" i="6"/>
  <c r="G56" i="6"/>
  <c r="F56" i="6"/>
  <c r="E56" i="6"/>
  <c r="D56" i="6"/>
  <c r="C56" i="6"/>
  <c r="B56" i="6"/>
  <c r="G55" i="6"/>
  <c r="F55" i="6"/>
  <c r="E55" i="6"/>
  <c r="D55" i="6"/>
  <c r="C55" i="6"/>
  <c r="B55" i="6"/>
  <c r="G54" i="6"/>
  <c r="F54" i="6"/>
  <c r="E54" i="6"/>
  <c r="D54" i="6"/>
  <c r="C54" i="6"/>
  <c r="B54" i="6"/>
  <c r="G53" i="6"/>
  <c r="F53" i="6"/>
  <c r="E53" i="6"/>
  <c r="D53" i="6"/>
  <c r="C53" i="6"/>
  <c r="B53" i="6"/>
  <c r="G52" i="6"/>
  <c r="F52" i="6"/>
  <c r="E52" i="6"/>
  <c r="D52" i="6"/>
  <c r="C52" i="6"/>
  <c r="B52" i="6"/>
  <c r="G51" i="6"/>
  <c r="F51" i="6"/>
  <c r="E51" i="6"/>
  <c r="D51" i="6"/>
  <c r="C51" i="6"/>
  <c r="B51" i="6"/>
  <c r="G50" i="6"/>
  <c r="F50" i="6"/>
  <c r="E50" i="6"/>
  <c r="D50" i="6"/>
  <c r="C50" i="6"/>
  <c r="B50" i="6"/>
  <c r="G49" i="6"/>
  <c r="F49" i="6"/>
  <c r="E49" i="6"/>
  <c r="D49" i="6"/>
  <c r="C49" i="6"/>
  <c r="B49" i="6"/>
  <c r="G48" i="6"/>
  <c r="F48" i="6"/>
  <c r="E48" i="6"/>
  <c r="D48" i="6"/>
  <c r="C48" i="6"/>
  <c r="B48" i="6"/>
  <c r="G47" i="6"/>
  <c r="F47" i="6"/>
  <c r="E47" i="6"/>
  <c r="D47" i="6"/>
  <c r="C47" i="6"/>
  <c r="B47" i="6"/>
  <c r="G46" i="6"/>
  <c r="F46" i="6"/>
  <c r="E46" i="6"/>
  <c r="D46" i="6"/>
  <c r="C46" i="6"/>
  <c r="B46" i="6"/>
  <c r="G45" i="6"/>
  <c r="F45" i="6"/>
  <c r="E45" i="6"/>
  <c r="D45" i="6"/>
  <c r="C45" i="6"/>
  <c r="B45" i="6"/>
  <c r="G44" i="6"/>
  <c r="F44" i="6"/>
  <c r="E44" i="6"/>
  <c r="D44" i="6"/>
  <c r="C44" i="6"/>
  <c r="B44" i="6"/>
  <c r="G43" i="6"/>
  <c r="F43" i="6"/>
  <c r="E43" i="6"/>
  <c r="D43" i="6"/>
  <c r="C43" i="6"/>
  <c r="B43" i="6"/>
  <c r="G42" i="6"/>
  <c r="F42" i="6"/>
  <c r="E42" i="6"/>
  <c r="D42" i="6"/>
  <c r="C42" i="6"/>
  <c r="B42" i="6"/>
  <c r="G41" i="6"/>
  <c r="F41" i="6"/>
  <c r="E41" i="6"/>
  <c r="D41" i="6"/>
  <c r="C41" i="6"/>
  <c r="B41" i="6"/>
  <c r="G40" i="6"/>
  <c r="F40" i="6"/>
  <c r="E40" i="6"/>
  <c r="D40" i="6"/>
  <c r="C40" i="6"/>
  <c r="B40" i="6"/>
  <c r="G39" i="6"/>
  <c r="F39" i="6"/>
  <c r="E39" i="6"/>
  <c r="D39" i="6"/>
  <c r="C39" i="6"/>
  <c r="B39" i="6"/>
  <c r="G38" i="6"/>
  <c r="F38" i="6"/>
  <c r="E38" i="6"/>
  <c r="D38" i="6"/>
  <c r="C38" i="6"/>
  <c r="B38" i="6"/>
  <c r="G37" i="6"/>
  <c r="F37" i="6"/>
  <c r="E37" i="6"/>
  <c r="D37" i="6"/>
  <c r="C37" i="6"/>
  <c r="B37" i="6"/>
  <c r="G36" i="6"/>
  <c r="F36" i="6"/>
  <c r="E36" i="6"/>
  <c r="D36" i="6"/>
  <c r="C36" i="6"/>
  <c r="B36" i="6"/>
  <c r="G35" i="6"/>
  <c r="F35" i="6"/>
  <c r="E35" i="6"/>
  <c r="D35" i="6"/>
  <c r="C35" i="6"/>
  <c r="B35" i="6"/>
  <c r="G34" i="6"/>
  <c r="F34" i="6"/>
  <c r="E34" i="6"/>
  <c r="D34" i="6"/>
  <c r="C34" i="6"/>
  <c r="B34" i="6"/>
  <c r="G33" i="6"/>
  <c r="F33" i="6"/>
  <c r="E33" i="6"/>
  <c r="D33" i="6"/>
  <c r="C33" i="6"/>
  <c r="B33" i="6"/>
  <c r="G32" i="6"/>
  <c r="F32" i="6"/>
  <c r="E32" i="6"/>
  <c r="D32" i="6"/>
  <c r="C32" i="6"/>
  <c r="B32" i="6"/>
  <c r="G31" i="6"/>
  <c r="F31" i="6"/>
  <c r="E31" i="6"/>
  <c r="D31" i="6"/>
  <c r="C31" i="6"/>
  <c r="B31" i="6"/>
  <c r="G30" i="6"/>
  <c r="F30" i="6"/>
  <c r="E30" i="6"/>
  <c r="D30" i="6"/>
  <c r="C30" i="6"/>
  <c r="B30" i="6"/>
  <c r="G29" i="6"/>
  <c r="F29" i="6"/>
  <c r="E29" i="6"/>
  <c r="D29" i="6"/>
  <c r="C29" i="6"/>
  <c r="B29" i="6"/>
  <c r="G28" i="6"/>
  <c r="F28" i="6"/>
  <c r="E28" i="6"/>
  <c r="D28" i="6"/>
  <c r="C28" i="6"/>
  <c r="B28" i="6"/>
  <c r="G27" i="6"/>
  <c r="F27" i="6"/>
  <c r="E27" i="6"/>
  <c r="D27" i="6"/>
  <c r="C27" i="6"/>
  <c r="B27" i="6"/>
  <c r="G26" i="6"/>
  <c r="F26" i="6"/>
  <c r="E26" i="6"/>
  <c r="D26" i="6"/>
  <c r="C26" i="6"/>
  <c r="B26" i="6"/>
  <c r="G25" i="6"/>
  <c r="F25" i="6"/>
  <c r="E25" i="6"/>
  <c r="D25" i="6"/>
  <c r="C25" i="6"/>
  <c r="B25" i="6"/>
  <c r="G24" i="6"/>
  <c r="F24" i="6"/>
  <c r="E24" i="6"/>
  <c r="D24" i="6"/>
  <c r="C24" i="6"/>
  <c r="B24" i="6"/>
  <c r="G23" i="6"/>
  <c r="F23" i="6"/>
  <c r="E23" i="6"/>
  <c r="D23" i="6"/>
  <c r="C23" i="6"/>
  <c r="B23" i="6"/>
  <c r="G22" i="6"/>
  <c r="F22" i="6"/>
  <c r="E22" i="6"/>
  <c r="D22" i="6"/>
  <c r="C22" i="6"/>
  <c r="B22" i="6"/>
  <c r="G21" i="6"/>
  <c r="F21" i="6"/>
  <c r="E21" i="6"/>
  <c r="D21" i="6"/>
  <c r="C21" i="6"/>
  <c r="B21" i="6"/>
  <c r="G20" i="6"/>
  <c r="F20" i="6"/>
  <c r="E20" i="6"/>
  <c r="D20" i="6"/>
  <c r="C20" i="6"/>
  <c r="B20" i="6"/>
  <c r="G19" i="6"/>
  <c r="F19" i="6"/>
  <c r="E19" i="6"/>
  <c r="D19" i="6"/>
  <c r="C19" i="6"/>
  <c r="B19" i="6"/>
  <c r="G18" i="6"/>
  <c r="F18" i="6"/>
  <c r="E18" i="6"/>
  <c r="D18" i="6"/>
  <c r="C18" i="6"/>
  <c r="B18" i="6"/>
  <c r="G17" i="6"/>
  <c r="F17" i="6"/>
  <c r="E17" i="6"/>
  <c r="D17" i="6"/>
  <c r="C17" i="6"/>
  <c r="B17" i="6"/>
  <c r="G16" i="6"/>
  <c r="F16" i="6"/>
  <c r="E16" i="6"/>
  <c r="D16" i="6"/>
  <c r="C16" i="6"/>
  <c r="B16" i="6"/>
  <c r="G15" i="6"/>
  <c r="F15" i="6"/>
  <c r="E15" i="6"/>
  <c r="D15" i="6"/>
  <c r="C15" i="6"/>
  <c r="B15" i="6"/>
  <c r="G14" i="6"/>
  <c r="F14" i="6"/>
  <c r="E14" i="6"/>
  <c r="D14" i="6"/>
  <c r="C14" i="6"/>
  <c r="B14" i="6"/>
  <c r="G13" i="6"/>
  <c r="F13" i="6"/>
  <c r="E13" i="6"/>
  <c r="D13" i="6"/>
  <c r="C13" i="6"/>
  <c r="B13" i="6"/>
  <c r="G12" i="6"/>
  <c r="F12" i="6"/>
  <c r="E12" i="6"/>
  <c r="D12" i="6"/>
  <c r="C12" i="6"/>
  <c r="B12" i="6"/>
  <c r="G11" i="6"/>
  <c r="F11" i="6"/>
  <c r="E11" i="6"/>
  <c r="D11" i="6"/>
  <c r="C11" i="6"/>
  <c r="B11" i="6"/>
  <c r="G10" i="6"/>
  <c r="F10" i="6"/>
  <c r="E10" i="6"/>
  <c r="D10" i="6"/>
  <c r="C10" i="6"/>
  <c r="B10" i="6"/>
  <c r="G9" i="6"/>
  <c r="F9" i="6"/>
  <c r="E9" i="6"/>
  <c r="D9" i="6"/>
  <c r="C9" i="6"/>
  <c r="B9" i="6"/>
  <c r="G7" i="6"/>
  <c r="F7" i="6"/>
  <c r="C7" i="6"/>
  <c r="B7" i="6"/>
  <c r="G76" i="5" l="1"/>
  <c r="F76" i="5"/>
  <c r="E76" i="5"/>
  <c r="D76" i="5"/>
  <c r="C76" i="5"/>
  <c r="B76" i="5"/>
  <c r="G75" i="5"/>
  <c r="F75" i="5"/>
  <c r="E75" i="5"/>
  <c r="D75" i="5"/>
  <c r="C75" i="5"/>
  <c r="B75" i="5"/>
  <c r="G74" i="5"/>
  <c r="F74" i="5"/>
  <c r="E74" i="5"/>
  <c r="D74" i="5"/>
  <c r="C74" i="5"/>
  <c r="B74" i="5"/>
  <c r="G73" i="5"/>
  <c r="F73" i="5"/>
  <c r="E73" i="5"/>
  <c r="D73" i="5"/>
  <c r="C73" i="5"/>
  <c r="B73" i="5"/>
  <c r="G72" i="5"/>
  <c r="F72" i="5"/>
  <c r="E72" i="5"/>
  <c r="D72" i="5"/>
  <c r="C72" i="5"/>
  <c r="B72" i="5"/>
  <c r="G71" i="5"/>
  <c r="F71" i="5"/>
  <c r="E71" i="5"/>
  <c r="D71" i="5"/>
  <c r="C71" i="5"/>
  <c r="B71" i="5"/>
  <c r="G70" i="5"/>
  <c r="F70" i="5"/>
  <c r="E70" i="5"/>
  <c r="D70" i="5"/>
  <c r="C70" i="5"/>
  <c r="B70" i="5"/>
  <c r="G69" i="5"/>
  <c r="F69" i="5"/>
  <c r="E69" i="5"/>
  <c r="D69" i="5"/>
  <c r="C69" i="5"/>
  <c r="B69" i="5"/>
  <c r="G68" i="5"/>
  <c r="F68" i="5"/>
  <c r="E68" i="5"/>
  <c r="D68" i="5"/>
  <c r="C68" i="5"/>
  <c r="B68" i="5"/>
  <c r="G67" i="5"/>
  <c r="F67" i="5"/>
  <c r="E67" i="5"/>
  <c r="D67" i="5"/>
  <c r="C67" i="5"/>
  <c r="B67" i="5"/>
  <c r="G66" i="5"/>
  <c r="F66" i="5"/>
  <c r="E66" i="5"/>
  <c r="D66" i="5"/>
  <c r="C66" i="5"/>
  <c r="B66" i="5"/>
  <c r="G65" i="5"/>
  <c r="F65" i="5"/>
  <c r="E65" i="5"/>
  <c r="D65" i="5"/>
  <c r="C65" i="5"/>
  <c r="B65" i="5"/>
  <c r="G64" i="5"/>
  <c r="F64" i="5"/>
  <c r="E64" i="5"/>
  <c r="D64" i="5"/>
  <c r="C64" i="5"/>
  <c r="B64" i="5"/>
  <c r="G63" i="5"/>
  <c r="F63" i="5"/>
  <c r="E63" i="5"/>
  <c r="D63" i="5"/>
  <c r="C63" i="5"/>
  <c r="B63" i="5"/>
  <c r="G62" i="5"/>
  <c r="F62" i="5"/>
  <c r="E62" i="5"/>
  <c r="D62" i="5"/>
  <c r="B62" i="5"/>
  <c r="G61" i="5"/>
  <c r="F61" i="5"/>
  <c r="E61" i="5"/>
  <c r="D61" i="5"/>
  <c r="C61" i="5"/>
  <c r="B61" i="5"/>
  <c r="G60" i="5"/>
  <c r="F60" i="5"/>
  <c r="E60" i="5"/>
  <c r="D60" i="5"/>
  <c r="C60" i="5"/>
  <c r="B60" i="5"/>
  <c r="G59" i="5"/>
  <c r="F59" i="5"/>
  <c r="E59" i="5"/>
  <c r="D59" i="5"/>
  <c r="C59" i="5"/>
  <c r="B59" i="5"/>
  <c r="G58" i="5"/>
  <c r="F58" i="5"/>
  <c r="E58" i="5"/>
  <c r="D58" i="5"/>
  <c r="C58" i="5"/>
  <c r="B58" i="5"/>
  <c r="G57" i="5"/>
  <c r="F57" i="5"/>
  <c r="E57" i="5"/>
  <c r="D57" i="5"/>
  <c r="C57" i="5"/>
  <c r="B57" i="5"/>
  <c r="G56" i="5"/>
  <c r="F56" i="5"/>
  <c r="E56" i="5"/>
  <c r="D56" i="5"/>
  <c r="C56" i="5"/>
  <c r="B56" i="5"/>
  <c r="G55" i="5"/>
  <c r="F55" i="5"/>
  <c r="E55" i="5"/>
  <c r="D55" i="5"/>
  <c r="B55" i="5"/>
  <c r="G54" i="5"/>
  <c r="F54" i="5"/>
  <c r="E54" i="5"/>
  <c r="D54" i="5"/>
  <c r="C54" i="5"/>
  <c r="B54" i="5"/>
  <c r="G53" i="5"/>
  <c r="F53" i="5"/>
  <c r="E53" i="5"/>
  <c r="D53" i="5"/>
  <c r="C53" i="5"/>
  <c r="B53" i="5"/>
  <c r="G52" i="5"/>
  <c r="F52" i="5"/>
  <c r="E52" i="5"/>
  <c r="D52" i="5"/>
  <c r="C52" i="5"/>
  <c r="B52" i="5"/>
  <c r="G51" i="5"/>
  <c r="F51" i="5"/>
  <c r="E51" i="5"/>
  <c r="D51" i="5"/>
  <c r="C51" i="5"/>
  <c r="B51" i="5"/>
  <c r="G50" i="5"/>
  <c r="F50" i="5"/>
  <c r="E50" i="5"/>
  <c r="D50" i="5"/>
  <c r="C50" i="5"/>
  <c r="B50" i="5"/>
  <c r="G49" i="5"/>
  <c r="F49" i="5"/>
  <c r="E49" i="5"/>
  <c r="D49" i="5"/>
  <c r="C49" i="5"/>
  <c r="B49" i="5"/>
  <c r="G48" i="5"/>
  <c r="F48" i="5"/>
  <c r="E48" i="5"/>
  <c r="D48" i="5"/>
  <c r="B48" i="5"/>
  <c r="G47" i="5"/>
  <c r="F47" i="5"/>
  <c r="E47" i="5"/>
  <c r="D47" i="5"/>
  <c r="C47" i="5"/>
  <c r="B47" i="5"/>
  <c r="G46" i="5"/>
  <c r="F46" i="5"/>
  <c r="E46" i="5"/>
  <c r="D46" i="5"/>
  <c r="C46" i="5"/>
  <c r="B46" i="5"/>
  <c r="G45" i="5"/>
  <c r="F45" i="5"/>
  <c r="E45" i="5"/>
  <c r="D45" i="5"/>
  <c r="C45" i="5"/>
  <c r="B45" i="5"/>
  <c r="G44" i="5"/>
  <c r="F44" i="5"/>
  <c r="E44" i="5"/>
  <c r="D44" i="5"/>
  <c r="C44" i="5"/>
  <c r="B44" i="5"/>
  <c r="G43" i="5"/>
  <c r="F43" i="5"/>
  <c r="E43" i="5"/>
  <c r="D43" i="5"/>
  <c r="C43" i="5"/>
  <c r="B43" i="5"/>
  <c r="G42" i="5"/>
  <c r="F42" i="5"/>
  <c r="E42" i="5"/>
  <c r="D42" i="5"/>
  <c r="C42" i="5"/>
  <c r="B42" i="5"/>
  <c r="G41" i="5"/>
  <c r="F41" i="5"/>
  <c r="E41" i="5"/>
  <c r="D41" i="5"/>
  <c r="C41" i="5"/>
  <c r="B41" i="5"/>
  <c r="G40" i="5"/>
  <c r="F40" i="5"/>
  <c r="E40" i="5"/>
  <c r="D40" i="5"/>
  <c r="C40" i="5"/>
  <c r="B40" i="5"/>
  <c r="G39" i="5"/>
  <c r="F39" i="5"/>
  <c r="E39" i="5"/>
  <c r="D39" i="5"/>
  <c r="B39" i="5"/>
  <c r="G38" i="5"/>
  <c r="F38" i="5"/>
  <c r="E38" i="5"/>
  <c r="D38" i="5"/>
  <c r="C38" i="5"/>
  <c r="B38" i="5"/>
  <c r="G37" i="5"/>
  <c r="F37" i="5"/>
  <c r="E37" i="5"/>
  <c r="D37" i="5"/>
  <c r="B37" i="5"/>
  <c r="G36" i="5"/>
  <c r="F36" i="5"/>
  <c r="E36" i="5"/>
  <c r="D36" i="5"/>
  <c r="B36" i="5"/>
  <c r="G35" i="5"/>
  <c r="F35" i="5"/>
  <c r="E35" i="5"/>
  <c r="D35" i="5"/>
  <c r="C35" i="5"/>
  <c r="B35" i="5"/>
  <c r="G34" i="5"/>
  <c r="F34" i="5"/>
  <c r="E34" i="5"/>
  <c r="D34" i="5"/>
  <c r="C34" i="5"/>
  <c r="B34" i="5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G28" i="5"/>
  <c r="F28" i="5"/>
  <c r="E28" i="5"/>
  <c r="D28" i="5"/>
  <c r="C28" i="5"/>
  <c r="B28" i="5"/>
  <c r="G27" i="5"/>
  <c r="F27" i="5"/>
  <c r="E27" i="5"/>
  <c r="D27" i="5"/>
  <c r="B27" i="5"/>
  <c r="G26" i="5"/>
  <c r="F26" i="5"/>
  <c r="E26" i="5"/>
  <c r="D26" i="5"/>
  <c r="C26" i="5"/>
  <c r="B26" i="5"/>
  <c r="G25" i="5"/>
  <c r="F25" i="5"/>
  <c r="E25" i="5"/>
  <c r="D25" i="5"/>
  <c r="C25" i="5"/>
  <c r="B25" i="5"/>
  <c r="G24" i="5"/>
  <c r="F24" i="5"/>
  <c r="E24" i="5"/>
  <c r="D24" i="5"/>
  <c r="C24" i="5"/>
  <c r="B24" i="5"/>
  <c r="G23" i="5"/>
  <c r="F23" i="5"/>
  <c r="E23" i="5"/>
  <c r="D23" i="5"/>
  <c r="C23" i="5"/>
  <c r="B23" i="5"/>
  <c r="G22" i="5"/>
  <c r="F22" i="5"/>
  <c r="E22" i="5"/>
  <c r="D22" i="5"/>
  <c r="C22" i="5"/>
  <c r="B22" i="5"/>
  <c r="G21" i="5"/>
  <c r="F21" i="5"/>
  <c r="E21" i="5"/>
  <c r="D21" i="5"/>
  <c r="C21" i="5"/>
  <c r="B21" i="5"/>
  <c r="G20" i="5"/>
  <c r="F20" i="5"/>
  <c r="E20" i="5"/>
  <c r="D20" i="5"/>
  <c r="C20" i="5"/>
  <c r="B20" i="5"/>
  <c r="G19" i="5"/>
  <c r="F19" i="5"/>
  <c r="E19" i="5"/>
  <c r="D19" i="5"/>
  <c r="C19" i="5"/>
  <c r="B19" i="5"/>
  <c r="G18" i="5"/>
  <c r="F18" i="5"/>
  <c r="E18" i="5"/>
  <c r="D18" i="5"/>
  <c r="C18" i="5"/>
  <c r="B18" i="5"/>
  <c r="G17" i="5"/>
  <c r="F17" i="5"/>
  <c r="E17" i="5"/>
  <c r="D17" i="5"/>
  <c r="C17" i="5"/>
  <c r="B17" i="5"/>
  <c r="G16" i="5"/>
  <c r="F16" i="5"/>
  <c r="E16" i="5"/>
  <c r="D16" i="5"/>
  <c r="B16" i="5"/>
  <c r="G15" i="5"/>
  <c r="F15" i="5"/>
  <c r="E15" i="5"/>
  <c r="D15" i="5"/>
  <c r="C15" i="5"/>
  <c r="B15" i="5"/>
  <c r="G14" i="5"/>
  <c r="F14" i="5"/>
  <c r="E14" i="5"/>
  <c r="D14" i="5"/>
  <c r="C14" i="5"/>
  <c r="B14" i="5"/>
  <c r="G13" i="5"/>
  <c r="F13" i="5"/>
  <c r="E13" i="5"/>
  <c r="D13" i="5"/>
  <c r="C13" i="5"/>
  <c r="B13" i="5"/>
  <c r="G12" i="5"/>
  <c r="F12" i="5"/>
  <c r="E12" i="5"/>
  <c r="D12" i="5"/>
  <c r="C12" i="5"/>
  <c r="B12" i="5"/>
  <c r="G11" i="5"/>
  <c r="F11" i="5"/>
  <c r="E11" i="5"/>
  <c r="D11" i="5"/>
  <c r="C11" i="5"/>
  <c r="B11" i="5"/>
  <c r="G10" i="5"/>
  <c r="F10" i="5"/>
  <c r="E10" i="5"/>
  <c r="D10" i="5"/>
  <c r="C10" i="5"/>
  <c r="B10" i="5"/>
  <c r="G9" i="5"/>
  <c r="F9" i="5"/>
  <c r="E9" i="5"/>
  <c r="D9" i="5"/>
  <c r="C9" i="5"/>
  <c r="B9" i="5"/>
  <c r="G7" i="5"/>
  <c r="F7" i="5"/>
  <c r="C7" i="5"/>
  <c r="B7" i="5"/>
  <c r="G116" i="2" l="1"/>
  <c r="F116" i="2"/>
  <c r="E116" i="2"/>
  <c r="D116" i="2"/>
  <c r="C116" i="2"/>
  <c r="B116" i="2"/>
  <c r="G115" i="2"/>
  <c r="F115" i="2"/>
  <c r="E115" i="2"/>
  <c r="D115" i="2"/>
  <c r="C115" i="2"/>
  <c r="B115" i="2"/>
  <c r="G114" i="2"/>
  <c r="F114" i="2"/>
  <c r="E114" i="2"/>
  <c r="D114" i="2"/>
  <c r="B114" i="2"/>
  <c r="G113" i="2"/>
  <c r="F113" i="2"/>
  <c r="E113" i="2"/>
  <c r="D113" i="2"/>
  <c r="B113" i="2"/>
  <c r="G112" i="2"/>
  <c r="F112" i="2"/>
  <c r="E112" i="2"/>
  <c r="D112" i="2"/>
  <c r="C112" i="2"/>
  <c r="B112" i="2"/>
  <c r="G111" i="2"/>
  <c r="F111" i="2"/>
  <c r="E111" i="2"/>
  <c r="D111" i="2"/>
  <c r="B111" i="2"/>
  <c r="G110" i="2"/>
  <c r="F110" i="2"/>
  <c r="E110" i="2"/>
  <c r="D110" i="2"/>
  <c r="B110" i="2"/>
  <c r="G109" i="2"/>
  <c r="F109" i="2"/>
  <c r="E109" i="2"/>
  <c r="D109" i="2"/>
  <c r="C109" i="2"/>
  <c r="B109" i="2"/>
  <c r="G108" i="2"/>
  <c r="F108" i="2"/>
  <c r="E108" i="2"/>
  <c r="D108" i="2"/>
  <c r="B108" i="2"/>
  <c r="G107" i="2"/>
  <c r="F107" i="2"/>
  <c r="E107" i="2"/>
  <c r="D107" i="2"/>
  <c r="C107" i="2"/>
  <c r="B107" i="2"/>
  <c r="G106" i="2"/>
  <c r="F106" i="2"/>
  <c r="E106" i="2"/>
  <c r="D106" i="2"/>
  <c r="C106" i="2"/>
  <c r="B106" i="2"/>
  <c r="G105" i="2"/>
  <c r="F105" i="2"/>
  <c r="E105" i="2"/>
  <c r="D105" i="2"/>
  <c r="C105" i="2"/>
  <c r="B105" i="2"/>
  <c r="G104" i="2"/>
  <c r="F104" i="2"/>
  <c r="E104" i="2"/>
  <c r="D104" i="2"/>
  <c r="C104" i="2"/>
  <c r="B104" i="2"/>
  <c r="G103" i="2"/>
  <c r="F103" i="2"/>
  <c r="E103" i="2"/>
  <c r="D103" i="2"/>
  <c r="B103" i="2"/>
  <c r="G102" i="2"/>
  <c r="F102" i="2"/>
  <c r="E102" i="2"/>
  <c r="D102" i="2"/>
  <c r="C102" i="2"/>
  <c r="B102" i="2"/>
  <c r="G101" i="2"/>
  <c r="F101" i="2"/>
  <c r="E101" i="2"/>
  <c r="D101" i="2"/>
  <c r="C101" i="2"/>
  <c r="B101" i="2"/>
  <c r="G100" i="2"/>
  <c r="F100" i="2"/>
  <c r="E100" i="2"/>
  <c r="D100" i="2"/>
  <c r="C100" i="2"/>
  <c r="B100" i="2"/>
  <c r="G99" i="2"/>
  <c r="F99" i="2"/>
  <c r="E99" i="2"/>
  <c r="D99" i="2"/>
  <c r="B99" i="2"/>
  <c r="G98" i="2"/>
  <c r="F98" i="2"/>
  <c r="E98" i="2"/>
  <c r="D98" i="2"/>
  <c r="C98" i="2"/>
  <c r="B98" i="2"/>
  <c r="G97" i="2"/>
  <c r="F97" i="2"/>
  <c r="E97" i="2"/>
  <c r="D97" i="2"/>
  <c r="C97" i="2"/>
  <c r="B97" i="2"/>
  <c r="G96" i="2"/>
  <c r="F96" i="2"/>
  <c r="E96" i="2"/>
  <c r="D96" i="2"/>
  <c r="B96" i="2"/>
  <c r="G95" i="2"/>
  <c r="F95" i="2"/>
  <c r="E95" i="2"/>
  <c r="D95" i="2"/>
  <c r="C95" i="2"/>
  <c r="B95" i="2"/>
  <c r="G94" i="2"/>
  <c r="F94" i="2"/>
  <c r="E94" i="2"/>
  <c r="D94" i="2"/>
  <c r="B94" i="2"/>
  <c r="G93" i="2"/>
  <c r="F93" i="2"/>
  <c r="E93" i="2"/>
  <c r="D93" i="2"/>
  <c r="B93" i="2"/>
  <c r="G92" i="2"/>
  <c r="F92" i="2"/>
  <c r="E92" i="2"/>
  <c r="D92" i="2"/>
  <c r="C92" i="2"/>
  <c r="B92" i="2"/>
  <c r="G91" i="2"/>
  <c r="F91" i="2"/>
  <c r="E91" i="2"/>
  <c r="D91" i="2"/>
  <c r="C91" i="2"/>
  <c r="B91" i="2"/>
  <c r="G90" i="2"/>
  <c r="F90" i="2"/>
  <c r="E90" i="2"/>
  <c r="D90" i="2"/>
  <c r="C90" i="2"/>
  <c r="B90" i="2"/>
  <c r="G89" i="2"/>
  <c r="F89" i="2"/>
  <c r="E89" i="2"/>
  <c r="D89" i="2"/>
  <c r="C89" i="2"/>
  <c r="B89" i="2"/>
  <c r="G88" i="2"/>
  <c r="F88" i="2"/>
  <c r="E88" i="2"/>
  <c r="D88" i="2"/>
  <c r="C88" i="2"/>
  <c r="B88" i="2"/>
  <c r="G87" i="2"/>
  <c r="F87" i="2"/>
  <c r="E87" i="2"/>
  <c r="D87" i="2"/>
  <c r="C87" i="2"/>
  <c r="B87" i="2"/>
  <c r="G86" i="2"/>
  <c r="F86" i="2"/>
  <c r="E86" i="2"/>
  <c r="D86" i="2"/>
  <c r="C86" i="2"/>
  <c r="B86" i="2"/>
  <c r="G85" i="2"/>
  <c r="F85" i="2"/>
  <c r="E85" i="2"/>
  <c r="D85" i="2"/>
  <c r="B85" i="2"/>
  <c r="G84" i="2"/>
  <c r="F84" i="2"/>
  <c r="E84" i="2"/>
  <c r="D84" i="2"/>
  <c r="C84" i="2"/>
  <c r="B84" i="2"/>
  <c r="G83" i="2"/>
  <c r="F83" i="2"/>
  <c r="E83" i="2"/>
  <c r="D83" i="2"/>
  <c r="C83" i="2"/>
  <c r="B83" i="2"/>
  <c r="G82" i="2"/>
  <c r="F82" i="2"/>
  <c r="E82" i="2"/>
  <c r="D82" i="2"/>
  <c r="C82" i="2"/>
  <c r="B82" i="2"/>
  <c r="G81" i="2"/>
  <c r="F81" i="2"/>
  <c r="E81" i="2"/>
  <c r="D81" i="2"/>
  <c r="C81" i="2"/>
  <c r="B81" i="2"/>
  <c r="G80" i="2"/>
  <c r="F80" i="2"/>
  <c r="E80" i="2"/>
  <c r="D80" i="2"/>
  <c r="C80" i="2"/>
  <c r="B80" i="2"/>
  <c r="G79" i="2"/>
  <c r="F79" i="2"/>
  <c r="E79" i="2"/>
  <c r="D79" i="2"/>
  <c r="C79" i="2"/>
  <c r="B79" i="2"/>
  <c r="G78" i="2"/>
  <c r="F78" i="2"/>
  <c r="E78" i="2"/>
  <c r="D78" i="2"/>
  <c r="B78" i="2"/>
  <c r="G77" i="2"/>
  <c r="F77" i="2"/>
  <c r="E77" i="2"/>
  <c r="D77" i="2"/>
  <c r="C77" i="2"/>
  <c r="B77" i="2"/>
  <c r="G76" i="2"/>
  <c r="F76" i="2"/>
  <c r="E76" i="2"/>
  <c r="D76" i="2"/>
  <c r="C76" i="2"/>
  <c r="B76" i="2"/>
  <c r="G75" i="2"/>
  <c r="F75" i="2"/>
  <c r="E75" i="2"/>
  <c r="D75" i="2"/>
  <c r="C75" i="2"/>
  <c r="B75" i="2"/>
  <c r="G74" i="2"/>
  <c r="F74" i="2"/>
  <c r="E74" i="2"/>
  <c r="D74" i="2"/>
  <c r="C74" i="2"/>
  <c r="B74" i="2"/>
  <c r="G73" i="2"/>
  <c r="F73" i="2"/>
  <c r="E73" i="2"/>
  <c r="D73" i="2"/>
  <c r="B73" i="2"/>
  <c r="G72" i="2"/>
  <c r="F72" i="2"/>
  <c r="E72" i="2"/>
  <c r="D72" i="2"/>
  <c r="C72" i="2"/>
  <c r="B72" i="2"/>
  <c r="G71" i="2"/>
  <c r="F71" i="2"/>
  <c r="E71" i="2"/>
  <c r="D71" i="2"/>
  <c r="C71" i="2"/>
  <c r="B71" i="2"/>
  <c r="G70" i="2"/>
  <c r="F70" i="2"/>
  <c r="E70" i="2"/>
  <c r="D70" i="2"/>
  <c r="C70" i="2"/>
  <c r="B70" i="2"/>
  <c r="G69" i="2"/>
  <c r="F69" i="2"/>
  <c r="E69" i="2"/>
  <c r="D69" i="2"/>
  <c r="C69" i="2"/>
  <c r="B69" i="2"/>
  <c r="G68" i="2"/>
  <c r="F68" i="2"/>
  <c r="E68" i="2"/>
  <c r="D68" i="2"/>
  <c r="B68" i="2"/>
  <c r="G67" i="2"/>
  <c r="F67" i="2"/>
  <c r="E67" i="2"/>
  <c r="D67" i="2"/>
  <c r="C67" i="2"/>
  <c r="B67" i="2"/>
  <c r="G66" i="2"/>
  <c r="F66" i="2"/>
  <c r="E66" i="2"/>
  <c r="D66" i="2"/>
  <c r="C66" i="2"/>
  <c r="B66" i="2"/>
  <c r="G65" i="2"/>
  <c r="F65" i="2"/>
  <c r="E65" i="2"/>
  <c r="D65" i="2"/>
  <c r="C65" i="2"/>
  <c r="B65" i="2"/>
  <c r="G64" i="2"/>
  <c r="F64" i="2"/>
  <c r="E64" i="2"/>
  <c r="D64" i="2"/>
  <c r="C64" i="2"/>
  <c r="B64" i="2"/>
  <c r="G63" i="2"/>
  <c r="F63" i="2"/>
  <c r="E63" i="2"/>
  <c r="D63" i="2"/>
  <c r="C63" i="2"/>
  <c r="B63" i="2"/>
  <c r="G62" i="2"/>
  <c r="F62" i="2"/>
  <c r="E62" i="2"/>
  <c r="D62" i="2"/>
  <c r="C62" i="2"/>
  <c r="B62" i="2"/>
  <c r="G61" i="2"/>
  <c r="F61" i="2"/>
  <c r="E61" i="2"/>
  <c r="D61" i="2"/>
  <c r="C61" i="2"/>
  <c r="B61" i="2"/>
  <c r="G60" i="2"/>
  <c r="F60" i="2"/>
  <c r="E60" i="2"/>
  <c r="D60" i="2"/>
  <c r="C60" i="2"/>
  <c r="B60" i="2"/>
  <c r="G59" i="2"/>
  <c r="F59" i="2"/>
  <c r="E59" i="2"/>
  <c r="D59" i="2"/>
  <c r="C59" i="2"/>
  <c r="B59" i="2"/>
  <c r="G58" i="2"/>
  <c r="F58" i="2"/>
  <c r="E58" i="2"/>
  <c r="D58" i="2"/>
  <c r="C58" i="2"/>
  <c r="B58" i="2"/>
  <c r="G57" i="2"/>
  <c r="F57" i="2"/>
  <c r="E57" i="2"/>
  <c r="D57" i="2"/>
  <c r="C57" i="2"/>
  <c r="B57" i="2"/>
  <c r="G56" i="2"/>
  <c r="F56" i="2"/>
  <c r="E56" i="2"/>
  <c r="D56" i="2"/>
  <c r="C56" i="2"/>
  <c r="B56" i="2"/>
  <c r="G55" i="2"/>
  <c r="F55" i="2"/>
  <c r="E55" i="2"/>
  <c r="D55" i="2"/>
  <c r="C55" i="2"/>
  <c r="B55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C52" i="2"/>
  <c r="B52" i="2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  <c r="G48" i="2"/>
  <c r="F48" i="2"/>
  <c r="E48" i="2"/>
  <c r="D48" i="2"/>
  <c r="C48" i="2"/>
  <c r="B48" i="2"/>
  <c r="G47" i="2"/>
  <c r="F47" i="2"/>
  <c r="E47" i="2"/>
  <c r="D47" i="2"/>
  <c r="C47" i="2"/>
  <c r="B47" i="2"/>
  <c r="G46" i="2"/>
  <c r="F46" i="2"/>
  <c r="E46" i="2"/>
  <c r="D46" i="2"/>
  <c r="B46" i="2"/>
  <c r="G45" i="2"/>
  <c r="F45" i="2"/>
  <c r="E45" i="2"/>
  <c r="D45" i="2"/>
  <c r="C45" i="2"/>
  <c r="B45" i="2"/>
  <c r="G44" i="2"/>
  <c r="F44" i="2"/>
  <c r="E44" i="2"/>
  <c r="D44" i="2"/>
  <c r="C44" i="2"/>
  <c r="B44" i="2"/>
  <c r="G43" i="2"/>
  <c r="F43" i="2"/>
  <c r="E43" i="2"/>
  <c r="D43" i="2"/>
  <c r="C43" i="2"/>
  <c r="B43" i="2"/>
  <c r="G42" i="2"/>
  <c r="F42" i="2"/>
  <c r="E42" i="2"/>
  <c r="D42" i="2"/>
  <c r="C42" i="2"/>
  <c r="B42" i="2"/>
  <c r="G41" i="2"/>
  <c r="F41" i="2"/>
  <c r="E41" i="2"/>
  <c r="D41" i="2"/>
  <c r="B41" i="2"/>
  <c r="G40" i="2"/>
  <c r="F40" i="2"/>
  <c r="E40" i="2"/>
  <c r="D40" i="2"/>
  <c r="C40" i="2"/>
  <c r="B40" i="2"/>
  <c r="G39" i="2"/>
  <c r="F39" i="2"/>
  <c r="E39" i="2"/>
  <c r="D39" i="2"/>
  <c r="C39" i="2"/>
  <c r="B39" i="2"/>
  <c r="G38" i="2"/>
  <c r="F38" i="2"/>
  <c r="E38" i="2"/>
  <c r="D38" i="2"/>
  <c r="C38" i="2"/>
  <c r="B38" i="2"/>
  <c r="G37" i="2"/>
  <c r="F37" i="2"/>
  <c r="E37" i="2"/>
  <c r="D37" i="2"/>
  <c r="C37" i="2"/>
  <c r="B37" i="2"/>
  <c r="G36" i="2"/>
  <c r="F36" i="2"/>
  <c r="E36" i="2"/>
  <c r="D36" i="2"/>
  <c r="C36" i="2"/>
  <c r="B36" i="2"/>
  <c r="G35" i="2"/>
  <c r="F35" i="2"/>
  <c r="E35" i="2"/>
  <c r="D35" i="2"/>
  <c r="C35" i="2"/>
  <c r="B35" i="2"/>
  <c r="G34" i="2"/>
  <c r="F34" i="2"/>
  <c r="E34" i="2"/>
  <c r="D34" i="2"/>
  <c r="C34" i="2"/>
  <c r="B34" i="2"/>
  <c r="G33" i="2"/>
  <c r="F33" i="2"/>
  <c r="E33" i="2"/>
  <c r="D33" i="2"/>
  <c r="C33" i="2"/>
  <c r="B33" i="2"/>
  <c r="G32" i="2"/>
  <c r="F32" i="2"/>
  <c r="E32" i="2"/>
  <c r="D32" i="2"/>
  <c r="C32" i="2"/>
  <c r="B32" i="2"/>
  <c r="G31" i="2"/>
  <c r="F31" i="2"/>
  <c r="E31" i="2"/>
  <c r="D31" i="2"/>
  <c r="C31" i="2"/>
  <c r="B31" i="2"/>
  <c r="G30" i="2"/>
  <c r="F30" i="2"/>
  <c r="E30" i="2"/>
  <c r="D30" i="2"/>
  <c r="C30" i="2"/>
  <c r="B30" i="2"/>
  <c r="G29" i="2"/>
  <c r="F29" i="2"/>
  <c r="E29" i="2"/>
  <c r="D29" i="2"/>
  <c r="C29" i="2"/>
  <c r="B29" i="2"/>
  <c r="G28" i="2"/>
  <c r="F28" i="2"/>
  <c r="E28" i="2"/>
  <c r="D28" i="2"/>
  <c r="C28" i="2"/>
  <c r="B28" i="2"/>
  <c r="G27" i="2"/>
  <c r="F27" i="2"/>
  <c r="E27" i="2"/>
  <c r="D27" i="2"/>
  <c r="C27" i="2"/>
  <c r="B27" i="2"/>
  <c r="G26" i="2"/>
  <c r="F26" i="2"/>
  <c r="E26" i="2"/>
  <c r="D26" i="2"/>
  <c r="C26" i="2"/>
  <c r="B26" i="2"/>
  <c r="G25" i="2"/>
  <c r="F25" i="2"/>
  <c r="E25" i="2"/>
  <c r="D25" i="2"/>
  <c r="C25" i="2"/>
  <c r="B25" i="2"/>
  <c r="G24" i="2"/>
  <c r="F24" i="2"/>
  <c r="E24" i="2"/>
  <c r="D24" i="2"/>
  <c r="C24" i="2"/>
  <c r="B24" i="2"/>
  <c r="G23" i="2"/>
  <c r="F23" i="2"/>
  <c r="E23" i="2"/>
  <c r="D23" i="2"/>
  <c r="C23" i="2"/>
  <c r="B23" i="2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G18" i="2"/>
  <c r="F18" i="2"/>
  <c r="E18" i="2"/>
  <c r="D18" i="2"/>
  <c r="C18" i="2"/>
  <c r="B18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D9" i="2"/>
  <c r="C9" i="2"/>
  <c r="B9" i="2"/>
  <c r="G8" i="2"/>
  <c r="F8" i="2"/>
  <c r="E8" i="2"/>
  <c r="D8" i="2"/>
  <c r="C8" i="2"/>
  <c r="B8" i="2"/>
  <c r="G6" i="2"/>
  <c r="F6" i="2"/>
  <c r="C6" i="2"/>
  <c r="B6" i="2"/>
  <c r="G104" i="1" l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B99" i="1"/>
  <c r="G98" i="1"/>
  <c r="F98" i="1"/>
  <c r="E98" i="1"/>
  <c r="D98" i="1"/>
  <c r="C98" i="1"/>
  <c r="B98" i="1"/>
  <c r="G97" i="1"/>
  <c r="F97" i="1"/>
  <c r="E97" i="1"/>
  <c r="D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B85" i="1"/>
  <c r="G84" i="1"/>
  <c r="F84" i="1"/>
  <c r="E84" i="1"/>
  <c r="D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B81" i="1"/>
  <c r="G80" i="1"/>
  <c r="F80" i="1"/>
  <c r="E80" i="1"/>
  <c r="D80" i="1"/>
  <c r="B80" i="1"/>
  <c r="G79" i="1"/>
  <c r="F79" i="1"/>
  <c r="E79" i="1"/>
  <c r="D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B72" i="1"/>
  <c r="G71" i="1"/>
  <c r="F71" i="1"/>
  <c r="E71" i="1"/>
  <c r="D71" i="1"/>
  <c r="C71" i="1"/>
  <c r="B71" i="1"/>
  <c r="G70" i="1"/>
  <c r="F70" i="1"/>
  <c r="E70" i="1"/>
  <c r="D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B67" i="1"/>
  <c r="G66" i="1"/>
  <c r="F66" i="1"/>
  <c r="E66" i="1"/>
  <c r="D66" i="1"/>
  <c r="B66" i="1"/>
  <c r="G65" i="1"/>
  <c r="F65" i="1"/>
  <c r="E65" i="1"/>
  <c r="D65" i="1"/>
  <c r="B65" i="1"/>
  <c r="G64" i="1"/>
  <c r="F64" i="1"/>
  <c r="E64" i="1"/>
  <c r="D64" i="1"/>
  <c r="C64" i="1"/>
  <c r="B64" i="1"/>
  <c r="G63" i="1"/>
  <c r="F63" i="1"/>
  <c r="E63" i="1"/>
  <c r="D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B33" i="1"/>
  <c r="G32" i="1"/>
  <c r="F32" i="1"/>
  <c r="E32" i="1"/>
  <c r="D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B22" i="1"/>
  <c r="G21" i="1"/>
  <c r="F21" i="1"/>
  <c r="E21" i="1"/>
  <c r="D21" i="1"/>
  <c r="B21" i="1"/>
  <c r="G20" i="1"/>
  <c r="F20" i="1"/>
  <c r="E20" i="1"/>
  <c r="D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B15" i="1"/>
  <c r="G14" i="1"/>
  <c r="F14" i="1"/>
  <c r="E14" i="1"/>
  <c r="D14" i="1"/>
  <c r="C14" i="1"/>
  <c r="B14" i="1"/>
  <c r="G13" i="1"/>
  <c r="F13" i="1"/>
  <c r="E13" i="1"/>
  <c r="D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6" i="1"/>
  <c r="F6" i="1"/>
  <c r="C6" i="1"/>
  <c r="B6" i="1"/>
</calcChain>
</file>

<file path=xl/sharedStrings.xml><?xml version="1.0" encoding="utf-8"?>
<sst xmlns="http://schemas.openxmlformats.org/spreadsheetml/2006/main" count="813" uniqueCount="322">
  <si>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</si>
  <si>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</si>
  <si>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</si>
  <si>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</si>
  <si>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</si>
  <si>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</si>
  <si>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</si>
  <si>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</si>
  <si>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</si>
  <si>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</si>
  <si>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</si>
  <si>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</si>
  <si>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</si>
  <si>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</si>
  <si>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</si>
  <si>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</si>
  <si>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</si>
  <si>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</si>
  <si>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</si>
  <si>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</si>
  <si>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</si>
  <si>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</si>
  <si>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</si>
  <si>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conform Clasificării Standard de Comerţ Internaţional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</si>
  <si>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</si>
  <si>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</si>
  <si>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</si>
  <si>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</si>
  <si>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</si>
  <si>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</si>
  <si>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</si>
  <si>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</si>
  <si>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</si>
  <si>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</si>
  <si>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</si>
  <si>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</si>
  <si>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</si>
  <si>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</si>
  <si>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</si>
  <si>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</si>
  <si>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</si>
  <si>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</si>
  <si>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</si>
  <si>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</si>
  <si>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</si>
  <si>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</si>
  <si>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</si>
  <si>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</si>
  <si>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</si>
  <si>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</si>
  <si>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</si>
  <si>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</si>
  <si>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</si>
  <si>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</si>
  <si>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</si>
  <si>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</si>
  <si>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</si>
  <si>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</si>
  <si>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</si>
  <si>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</si>
  <si>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</si>
  <si>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</si>
  <si>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</si>
  <si>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</si>
  <si>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</si>
  <si>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</si>
  <si>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</si>
  <si>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</si>
  <si>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</si>
  <si>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</si>
  <si>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</si>
  <si>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</si>
  <si>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</si>
  <si>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</si>
  <si>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</si>
  <si>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</si>
  <si>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</si>
  <si>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</si>
  <si>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</si>
  <si>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</si>
  <si>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</si>
  <si>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</si>
  <si>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</si>
  <si>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</si>
  <si>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</si>
  <si>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</si>
  <si>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</si>
  <si>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</si>
  <si>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</si>
  <si>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</si>
  <si>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</si>
  <si>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</si>
  <si>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</si>
  <si>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</si>
  <si>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</si>
  <si>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</si>
  <si>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</si>
  <si>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</si>
  <si>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</si>
  <si>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</si>
  <si>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de 2,2 ori</t>
  </si>
  <si>
    <t>mii dolari        SUA</t>
  </si>
  <si>
    <t>EXPORT - total</t>
  </si>
  <si>
    <t>Oman</t>
  </si>
  <si>
    <t>Albania</t>
  </si>
  <si>
    <t>de 1,8 ori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</si>
  <si>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</si>
  <si>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</si>
  <si>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</si>
  <si>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</si>
  <si>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</si>
  <si>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</si>
  <si>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Swaziland</t>
  </si>
  <si>
    <t>mii dolari         SUA</t>
  </si>
  <si>
    <t>Belize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</si>
  <si>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</si>
  <si>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</si>
  <si>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</si>
  <si>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</si>
  <si>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</si>
  <si>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</si>
  <si>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</si>
  <si>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</si>
  <si>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</si>
  <si>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2019¹</t>
  </si>
  <si>
    <t>mii dolari             SUA</t>
  </si>
  <si>
    <t>Regatul Unit al Marii Britanii şi Irlandei de Nord</t>
  </si>
  <si>
    <t>Franţa</t>
  </si>
  <si>
    <t>Croaţia</t>
  </si>
  <si>
    <t>Federaţia Rusă</t>
  </si>
  <si>
    <t>de 1,5 ori</t>
  </si>
  <si>
    <t>Kârgâzstan</t>
  </si>
  <si>
    <t>Elveţia</t>
  </si>
  <si>
    <t>Siria</t>
  </si>
  <si>
    <t>Afganistan</t>
  </si>
  <si>
    <t>IMPORT - total</t>
  </si>
  <si>
    <t>de 3,0 ori</t>
  </si>
  <si>
    <t>San Marino</t>
  </si>
  <si>
    <t>Etiopia</t>
  </si>
  <si>
    <t>Bahrain</t>
  </si>
  <si>
    <t>Senegal</t>
  </si>
  <si>
    <t xml:space="preserve">   din care:</t>
  </si>
  <si>
    <t xml:space="preserve">IMPORT - total      </t>
  </si>
  <si>
    <t>BALANŢA COMERCIALĂ - total, mii dolari SUA</t>
  </si>
  <si>
    <t>2020¹</t>
  </si>
  <si>
    <t>Burkina Faso</t>
  </si>
  <si>
    <t>Macedonia de Nord</t>
  </si>
  <si>
    <t>Andorra</t>
  </si>
  <si>
    <t>Cote D'Ivoire</t>
  </si>
  <si>
    <t>de 2,5 ori</t>
  </si>
  <si>
    <t>Insulele Feroe</t>
  </si>
  <si>
    <t>Antigua şi Barbuda</t>
  </si>
  <si>
    <t>Insulele Folkland</t>
  </si>
  <si>
    <t>Laos</t>
  </si>
  <si>
    <t>de 2,6 ori</t>
  </si>
  <si>
    <t xml:space="preserve"> - </t>
  </si>
  <si>
    <t xml:space="preserve">     din care:</t>
  </si>
  <si>
    <t>Republica Yemen</t>
  </si>
  <si>
    <t>Zimbabwe</t>
  </si>
  <si>
    <t>Madagascar</t>
  </si>
  <si>
    <t>Camerun</t>
  </si>
  <si>
    <t xml:space="preserve">EXPORT - total      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</si>
  <si>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</si>
  <si>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</si>
  <si>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grupe de ţări</t>
    </r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</si>
  <si>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pe grupe de ţări și moduri de transport a mărfurilor </t>
    </r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</si>
  <si>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pe grupe de ţări și moduri de transport a mărfurilor</t>
    </r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</si>
  <si>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</si>
  <si>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</si>
  <si>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</si>
  <si>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Liechtenstein</t>
  </si>
  <si>
    <t>Tanzania</t>
  </si>
  <si>
    <t>Sierra Leone</t>
  </si>
  <si>
    <t>Mali</t>
  </si>
  <si>
    <t>de 2,4 ori</t>
  </si>
  <si>
    <t>Ţările Uniunii Europene (UE-27) - total</t>
  </si>
  <si>
    <t>Țările Uniunii Europene (UE-27) - total</t>
  </si>
  <si>
    <t xml:space="preserve">Țările CSI - total </t>
  </si>
  <si>
    <t>Celelalte țări ale lumii - total</t>
  </si>
  <si>
    <t xml:space="preserve">Celelalte țări ale lumii - total </t>
  </si>
  <si>
    <t>Ţările CSI - total</t>
  </si>
  <si>
    <t>Celelalte ţări ale lumii - total</t>
  </si>
  <si>
    <t>Liberia</t>
  </si>
  <si>
    <t>Sri Lanka</t>
  </si>
  <si>
    <t>Cambodgia</t>
  </si>
  <si>
    <t>BALANŢA COMERCIALĂ – total, mii dolari SUA</t>
  </si>
  <si>
    <t>Mauritius</t>
  </si>
  <si>
    <t>Republica Dominicană</t>
  </si>
  <si>
    <t>Cuba</t>
  </si>
  <si>
    <t>Kosovo</t>
  </si>
  <si>
    <t>Ghana</t>
  </si>
  <si>
    <t>Montenegro</t>
  </si>
  <si>
    <t>de 3,5 ori</t>
  </si>
  <si>
    <t>de 3,8 ori</t>
  </si>
  <si>
    <t>Insulele Georgia şi Sandwich de Sud</t>
  </si>
  <si>
    <t>Paraguay</t>
  </si>
  <si>
    <t>de 2,7 ori</t>
  </si>
  <si>
    <t>de 2,9 ori</t>
  </si>
  <si>
    <t>Bosnia şi Herţegovina</t>
  </si>
  <si>
    <t>Guatemala</t>
  </si>
  <si>
    <t>Coreea de Nord</t>
  </si>
  <si>
    <t>Panama</t>
  </si>
  <si>
    <t>Libia</t>
  </si>
  <si>
    <t>Algeria</t>
  </si>
  <si>
    <t>Congo</t>
  </si>
  <si>
    <t>de 5,1 ori</t>
  </si>
  <si>
    <t>Produse alimentare și animale vii</t>
  </si>
  <si>
    <t>Carne și preparate din carne</t>
  </si>
  <si>
    <t>Produse lactate și ouă de păsări</t>
  </si>
  <si>
    <t>Pește, crustacee, moluște</t>
  </si>
  <si>
    <t>Cereale și preparate pe bază de cereale</t>
  </si>
  <si>
    <t>Legume și fructe</t>
  </si>
  <si>
    <t>Zahăr, preparate pe bază de zahăr; miere</t>
  </si>
  <si>
    <t>Cafea, ceai, cacao, condimente și înlocuitori ai acestora</t>
  </si>
  <si>
    <t>Hrană destinată animalelor (exclusiv cereale nemăcinate)</t>
  </si>
  <si>
    <t>Produse și preparate alimentare diverse</t>
  </si>
  <si>
    <t xml:space="preserve">Băuturi și tutun </t>
  </si>
  <si>
    <t>Bauturi (alcoolice și nealcoolice)</t>
  </si>
  <si>
    <t>Tutun brut și prelucrat</t>
  </si>
  <si>
    <t>Piei crude, piei tăbăcite și blănuri brute</t>
  </si>
  <si>
    <t>Semințe și fructe oleaginoase</t>
  </si>
  <si>
    <t>Cauciuc brut (inclusiv cauciuc sintetic și regenerat)</t>
  </si>
  <si>
    <t>Lemn și plută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</si>
  <si>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</si>
  <si>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</si>
  <si>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</si>
  <si>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</si>
  <si>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</si>
  <si>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</si>
  <si>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</si>
  <si>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Energie electrică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</si>
  <si>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</si>
  <si>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</si>
  <si>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</si>
  <si>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</si>
  <si>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</si>
  <si>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</si>
  <si>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</si>
  <si>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</si>
  <si>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</si>
  <si>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</si>
  <si>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</si>
  <si>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</si>
  <si>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</si>
  <si>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</si>
  <si>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</si>
  <si>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</si>
  <si>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</si>
  <si>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</si>
  <si>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</si>
  <si>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</si>
  <si>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</si>
  <si>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</si>
  <si>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Construcţii prefabricate; alte instalaţii şi accesorii pentru instalaţii sanitare, de încălzit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</si>
  <si>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</si>
  <si>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</si>
  <si>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</si>
  <si>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</si>
  <si>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ştiintifice şi de control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</si>
  <si>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</si>
  <si>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</si>
  <si>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</si>
  <si>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</si>
  <si>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</si>
  <si>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</si>
  <si>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</si>
  <si>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</si>
  <si>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</si>
  <si>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</si>
  <si>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</si>
  <si>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</si>
  <si>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</si>
  <si>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</si>
  <si>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</si>
  <si>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</si>
  <si>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</si>
  <si>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</si>
  <si>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</si>
  <si>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</si>
  <si>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</si>
  <si>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</si>
  <si>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</si>
  <si>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Ianuarie - iunie 2020</t>
  </si>
  <si>
    <t>în % faţă de ianuarie-iunie 2019¹</t>
  </si>
  <si>
    <t>ianuarie - iunie</t>
  </si>
  <si>
    <t>Ianuarie - iunie</t>
  </si>
  <si>
    <t>Ianuarie - iunie 2020         în % faţă de            ianuarie - iunie 2019¹</t>
  </si>
  <si>
    <t>în % faţă de ianuarie - iunie 2019¹</t>
  </si>
  <si>
    <t>Ianuarie - iunie 2020      în % faţă de                          ianuarie - iunie 2019¹</t>
  </si>
  <si>
    <t>de 114,8 ori</t>
  </si>
  <si>
    <t>de 11,7 ori</t>
  </si>
  <si>
    <t>de 103,9 ori</t>
  </si>
  <si>
    <t>de 10,7 ori</t>
  </si>
  <si>
    <t>de 7,6 ori</t>
  </si>
  <si>
    <t>de 3,2 ori</t>
  </si>
  <si>
    <t>de 157,3 ori</t>
  </si>
  <si>
    <t>de 6,6 ori</t>
  </si>
  <si>
    <t>de 29,3 ori</t>
  </si>
  <si>
    <t>Uganda</t>
  </si>
  <si>
    <t>de 10,8 ori</t>
  </si>
  <si>
    <t>de 11,4 ori</t>
  </si>
  <si>
    <t>de 3,4 ori</t>
  </si>
  <si>
    <t>de 4,1 ori</t>
  </si>
  <si>
    <t>Mărfuri manufacturate, clasificate mai ales după materia primă</t>
  </si>
  <si>
    <t>Uleiuri și grăsimi de origine animală</t>
  </si>
  <si>
    <t>de 14,7 ori</t>
  </si>
  <si>
    <t>de 48,9 ori</t>
  </si>
  <si>
    <t>Honduras</t>
  </si>
  <si>
    <t>Nicaragua</t>
  </si>
  <si>
    <t>Trinidad Tobago</t>
  </si>
  <si>
    <t>Kuwait</t>
  </si>
  <si>
    <t>Gabon</t>
  </si>
  <si>
    <t>Brunei Darussalam</t>
  </si>
  <si>
    <t>de 3,6 ori</t>
  </si>
  <si>
    <t>de 29,1 ori</t>
  </si>
  <si>
    <t>de 4,9 ori</t>
  </si>
  <si>
    <t>de 3,1 ori</t>
  </si>
  <si>
    <t>de 30,6 ori</t>
  </si>
  <si>
    <t>de 11,6 ori</t>
  </si>
  <si>
    <t>de 33,2 ori</t>
  </si>
  <si>
    <t>de 6,7 ori</t>
  </si>
  <si>
    <t>de 3,3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</si>
</sst>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3" fillId="0" borderId="0"/>
    <xf numFmtId="0" fontId="19" fillId="0" borderId="0"/>
    <xf numFmtId="0" fontId="13" fillId="0" borderId="0"/>
  </cellStyleXfs>
  <cellXfs count="111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164" fontId="11" fillId="0" borderId="0" xfId="0" applyNumberFormat="1" applyFont="1" applyFill="1" applyAlignment="1" applyProtection="1">
      <alignment horizontal="right"/>
    </xf>
    <xf numFmtId="164" fontId="9" fillId="0" borderId="0" xfId="0" applyNumberFormat="1" applyFont="1" applyFill="1" applyAlignment="1" applyProtection="1">
      <alignment horizontal="right"/>
    </xf>
    <xf numFmtId="0" fontId="12" fillId="0" borderId="0" xfId="0" applyFo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2" fontId="12" fillId="0" borderId="0" xfId="0" applyNumberFormat="1" applyFont="1" applyFill="1" applyAlignment="1" applyProtection="1">
      <alignment horizontal="right"/>
    </xf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/>
    <xf numFmtId="38" fontId="23" fillId="0" borderId="0" xfId="0" applyNumberFormat="1" applyFont="1" applyFill="1" applyBorder="1" applyAlignment="1" applyProtection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24" fillId="0" borderId="0" xfId="0" applyNumberFormat="1" applyFont="1" applyFill="1" applyAlignment="1" applyProtection="1">
      <alignment horizontal="right" vertical="top" wrapText="1"/>
    </xf>
    <xf numFmtId="4" fontId="24" fillId="0" borderId="0" xfId="0" applyNumberFormat="1" applyFont="1" applyFill="1" applyAlignment="1" applyProtection="1">
      <alignment horizontal="right" vertical="top"/>
    </xf>
    <xf numFmtId="4" fontId="24" fillId="0" borderId="0" xfId="0" applyNumberFormat="1" applyFont="1" applyFill="1" applyBorder="1" applyAlignment="1" applyProtection="1">
      <alignment horizontal="right" vertical="top" wrapText="1"/>
    </xf>
    <xf numFmtId="4" fontId="22" fillId="0" borderId="0" xfId="0" applyNumberFormat="1" applyFont="1" applyFill="1" applyBorder="1" applyAlignment="1" applyProtection="1">
      <alignment horizontal="right" vertical="top"/>
    </xf>
    <xf numFmtId="4" fontId="25" fillId="0" borderId="0" xfId="0" applyNumberFormat="1" applyFont="1" applyAlignment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Alignment="1" applyProtection="1">
      <alignment horizontal="left" vertical="top" wrapText="1"/>
    </xf>
    <xf numFmtId="4" fontId="24" fillId="0" borderId="0" xfId="0" applyNumberFormat="1" applyFont="1" applyFill="1" applyBorder="1" applyAlignment="1" applyProtection="1">
      <alignment horizontal="right" vertical="top"/>
    </xf>
    <xf numFmtId="4" fontId="24" fillId="0" borderId="0" xfId="0" applyNumberFormat="1" applyFont="1" applyFill="1" applyBorder="1" applyAlignment="1" applyProtection="1">
      <alignment horizontal="right" vertical="top" indent="1"/>
    </xf>
    <xf numFmtId="0" fontId="2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NumberFormat="1" applyFont="1" applyFill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4" fontId="22" fillId="0" borderId="0" xfId="0" applyNumberFormat="1" applyFont="1" applyFill="1" applyBorder="1" applyAlignment="1" applyProtection="1">
      <alignment horizontal="right" vertical="top" indent="1"/>
    </xf>
    <xf numFmtId="4" fontId="26" fillId="0" borderId="5" xfId="0" applyNumberFormat="1" applyFont="1" applyFill="1" applyBorder="1" applyAlignment="1" applyProtection="1">
      <alignment horizontal="right" vertical="top"/>
    </xf>
    <xf numFmtId="4" fontId="11" fillId="0" borderId="0" xfId="0" applyNumberFormat="1" applyFont="1" applyFill="1" applyAlignment="1" applyProtection="1">
      <alignment horizontal="right" vertical="top"/>
    </xf>
    <xf numFmtId="38" fontId="9" fillId="0" borderId="0" xfId="0" applyNumberFormat="1" applyFont="1" applyFill="1" applyAlignment="1" applyProtection="1">
      <alignment horizontal="left" vertical="top" wrapText="1"/>
    </xf>
    <xf numFmtId="4" fontId="9" fillId="0" borderId="0" xfId="0" applyNumberFormat="1" applyFont="1" applyFill="1" applyAlignment="1" applyProtection="1">
      <alignment horizontal="right" vertical="top"/>
    </xf>
    <xf numFmtId="0" fontId="26" fillId="0" borderId="5" xfId="0" applyNumberFormat="1" applyFont="1" applyFill="1" applyBorder="1" applyAlignment="1" applyProtection="1">
      <alignment horizontal="left" vertical="top" wrapText="1"/>
    </xf>
    <xf numFmtId="38" fontId="9" fillId="0" borderId="0" xfId="0" applyNumberFormat="1" applyFont="1" applyFill="1" applyBorder="1" applyAlignment="1" applyProtection="1">
      <alignment horizontal="left" vertical="top" wrapText="1"/>
    </xf>
    <xf numFmtId="38" fontId="9" fillId="0" borderId="3" xfId="0" applyNumberFormat="1" applyFont="1" applyFill="1" applyBorder="1" applyAlignment="1" applyProtection="1">
      <alignment horizontal="left" vertical="top" wrapText="1"/>
    </xf>
    <xf numFmtId="0" fontId="11" fillId="0" borderId="0" xfId="0" applyFont="1"/>
    <xf numFmtId="4" fontId="9" fillId="0" borderId="0" xfId="0" applyNumberFormat="1" applyFont="1" applyFill="1" applyBorder="1" applyAlignment="1" applyProtection="1">
      <alignment horizontal="right" vertical="top"/>
    </xf>
    <xf numFmtId="4" fontId="9" fillId="0" borderId="3" xfId="0" applyNumberFormat="1" applyFont="1" applyFill="1" applyBorder="1" applyAlignment="1" applyProtection="1">
      <alignment horizontal="right" vertical="top"/>
    </xf>
    <xf numFmtId="38" fontId="11" fillId="0" borderId="0" xfId="0" applyNumberFormat="1" applyFont="1" applyFill="1" applyAlignment="1" applyProtection="1">
      <alignment horizontal="left" vertical="top" wrapText="1"/>
    </xf>
    <xf numFmtId="38" fontId="11" fillId="0" borderId="3" xfId="0" applyNumberFormat="1" applyFont="1" applyFill="1" applyBorder="1" applyAlignment="1" applyProtection="1">
      <alignment horizontal="left" vertical="top" wrapText="1"/>
    </xf>
    <xf numFmtId="4" fontId="11" fillId="0" borderId="3" xfId="0" applyNumberFormat="1" applyFont="1" applyFill="1" applyBorder="1" applyAlignment="1" applyProtection="1">
      <alignment horizontal="right" vertical="top"/>
    </xf>
    <xf numFmtId="4" fontId="26" fillId="0" borderId="5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Fill="1" applyAlignment="1" applyProtection="1">
      <alignment horizontal="right" vertical="top" indent="1"/>
    </xf>
    <xf numFmtId="4" fontId="9" fillId="0" borderId="0" xfId="0" applyNumberFormat="1" applyFont="1" applyFill="1" applyAlignment="1" applyProtection="1">
      <alignment horizontal="right" vertical="top" indent="1"/>
    </xf>
    <xf numFmtId="4" fontId="11" fillId="0" borderId="3" xfId="0" applyNumberFormat="1" applyFont="1" applyFill="1" applyBorder="1" applyAlignment="1" applyProtection="1">
      <alignment horizontal="right" vertical="top" indent="1"/>
    </xf>
    <xf numFmtId="4" fontId="9" fillId="0" borderId="3" xfId="0" applyNumberFormat="1" applyFont="1" applyFill="1" applyBorder="1" applyAlignment="1" applyProtection="1">
      <alignment horizontal="right" vertical="top" indent="1"/>
    </xf>
    <xf numFmtId="4" fontId="9" fillId="0" borderId="0" xfId="0" applyNumberFormat="1" applyFont="1" applyFill="1" applyBorder="1" applyAlignment="1" applyProtection="1">
      <alignment horizontal="right" vertical="top" inden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4" fontId="26" fillId="0" borderId="5" xfId="0" applyNumberFormat="1" applyFont="1" applyFill="1" applyBorder="1" applyAlignment="1" applyProtection="1">
      <alignment horizontal="right" vertical="top" indent="2"/>
    </xf>
    <xf numFmtId="4" fontId="24" fillId="0" borderId="0" xfId="0" applyNumberFormat="1" applyFont="1" applyFill="1" applyBorder="1" applyAlignment="1" applyProtection="1">
      <alignment horizontal="right" vertical="top" indent="2"/>
    </xf>
    <xf numFmtId="4" fontId="11" fillId="0" borderId="0" xfId="0" applyNumberFormat="1" applyFont="1" applyFill="1" applyAlignment="1" applyProtection="1">
      <alignment horizontal="right" vertical="top" indent="2"/>
    </xf>
    <xf numFmtId="4" fontId="9" fillId="0" borderId="0" xfId="0" applyNumberFormat="1" applyFont="1" applyFill="1" applyAlignment="1" applyProtection="1">
      <alignment horizontal="right" vertical="top" indent="2"/>
    </xf>
    <xf numFmtId="4" fontId="11" fillId="0" borderId="3" xfId="0" applyNumberFormat="1" applyFont="1" applyFill="1" applyBorder="1" applyAlignment="1" applyProtection="1">
      <alignment horizontal="right" vertical="top" indent="2"/>
    </xf>
    <xf numFmtId="4" fontId="25" fillId="0" borderId="0" xfId="0" applyNumberFormat="1" applyFont="1" applyAlignment="1">
      <alignment horizontal="right" vertical="top" indent="2"/>
    </xf>
    <xf numFmtId="4" fontId="9" fillId="0" borderId="3" xfId="0" applyNumberFormat="1" applyFont="1" applyFill="1" applyBorder="1" applyAlignment="1" applyProtection="1">
      <alignment horizontal="right" vertical="top" indent="2"/>
    </xf>
    <xf numFmtId="4" fontId="26" fillId="0" borderId="0" xfId="0" applyNumberFormat="1" applyFont="1" applyFill="1" applyAlignment="1" applyProtection="1">
      <alignment horizontal="right" vertical="top"/>
    </xf>
    <xf numFmtId="4" fontId="26" fillId="0" borderId="0" xfId="0" applyNumberFormat="1" applyFont="1" applyFill="1" applyAlignment="1" applyProtection="1">
      <alignment horizontal="right" vertical="top" wrapText="1"/>
    </xf>
    <xf numFmtId="4" fontId="27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Border="1" applyAlignment="1">
      <alignment horizontal="right" vertical="top" wrapText="1" indent="1"/>
    </xf>
    <xf numFmtId="4" fontId="9" fillId="0" borderId="0" xfId="0" applyNumberFormat="1" applyFont="1" applyFill="1" applyAlignment="1" applyProtection="1">
      <alignment horizontal="right" vertical="top" wrapText="1" indent="1"/>
    </xf>
    <xf numFmtId="4" fontId="9" fillId="0" borderId="3" xfId="0" applyNumberFormat="1" applyFont="1" applyBorder="1" applyAlignment="1">
      <alignment horizontal="right" vertical="top" wrapText="1" indent="1"/>
    </xf>
    <xf numFmtId="4" fontId="26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Alignment="1">
      <alignment horizontal="right" vertical="top" wrapText="1" indent="1"/>
    </xf>
    <xf numFmtId="0" fontId="17" fillId="0" borderId="0" xfId="0" applyFont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 2" xfId="4"/>
    <cellStyle name="Normal 3" xfId="3"/>
    <cellStyle name="Обычный" xfId="0" builtinId="0"/>
    <cellStyle name="Обычный 2" xfId="1"/>
    <cellStyle name="Обычный 3" xfId="2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5"/>
  <sheetViews>
    <sheetView tabSelected="1" zoomScaleNormal="100" workbookViewId="0">
      <selection activeCell="A21" sqref="A21"/>
    </sheetView>
  </sheetViews>
  <sheetFormatPr defaultRowHeight="15.75" x14ac:dyDescent="0.25"/>
  <cols>
    <col min="1" max="1" width="27.5" style="9" customWidth="1"/>
    <col min="2" max="2" width="13.125" style="9" customWidth="1"/>
    <col min="3" max="3" width="10.75" style="9" customWidth="1"/>
    <col min="4" max="4" width="8.875" style="9" customWidth="1"/>
    <col min="5" max="5" width="9" style="9" customWidth="1"/>
    <col min="6" max="6" width="9.75" style="9" customWidth="1"/>
    <col min="7" max="7" width="10" style="9" customWidth="1"/>
  </cols>
  <sheetData>
    <row r="1" spans="1:7" x14ac:dyDescent="0.25">
      <c r="A1" s="82" t="s">
        <v>162</v>
      </c>
      <c r="B1" s="82"/>
      <c r="C1" s="82"/>
      <c r="D1" s="82"/>
      <c r="E1" s="82"/>
      <c r="F1" s="82"/>
      <c r="G1" s="82"/>
    </row>
    <row r="3" spans="1:7" ht="54" customHeight="1" x14ac:dyDescent="0.25">
      <c r="A3" s="83"/>
      <c r="B3" s="86" t="s">
        <v>282</v>
      </c>
      <c r="C3" s="87"/>
      <c r="D3" s="86" t="s">
        <v>111</v>
      </c>
      <c r="E3" s="87"/>
      <c r="F3" s="88" t="s">
        <v>1</v>
      </c>
      <c r="G3" s="89"/>
    </row>
    <row r="4" spans="1:7" ht="24" customHeight="1" x14ac:dyDescent="0.25">
      <c r="A4" s="84"/>
      <c r="B4" s="90" t="s">
        <v>101</v>
      </c>
      <c r="C4" s="92" t="s">
        <v>287</v>
      </c>
      <c r="D4" s="94" t="s">
        <v>284</v>
      </c>
      <c r="E4" s="94"/>
      <c r="F4" s="94" t="s">
        <v>284</v>
      </c>
      <c r="G4" s="86"/>
    </row>
    <row r="5" spans="1:7" ht="29.25" customHeight="1" x14ac:dyDescent="0.25">
      <c r="A5" s="85"/>
      <c r="B5" s="91"/>
      <c r="C5" s="93"/>
      <c r="D5" s="23">
        <v>2019</v>
      </c>
      <c r="E5" s="23">
        <v>2020</v>
      </c>
      <c r="F5" s="23" t="s">
        <v>124</v>
      </c>
      <c r="G5" s="19" t="s">
        <v>144</v>
      </c>
    </row>
    <row r="6" spans="1:7" ht="15.75" customHeight="1" x14ac:dyDescent="0.25">
      <c r="A6" s="49" t="s">
        <v>102</v>
      </c>
      <c r="B6" s="45">
        <f>IF(1170231.19764="","-",1170231.19764)</f>
        <v>1170231.1976399999</v>
      </c>
      <c r="C6" s="58">
        <f>IF(1361213.47779="","-",1170231.19764/1361213.47779*100)</f>
        <v>85.96970399822446</v>
      </c>
      <c r="D6" s="45">
        <v>100</v>
      </c>
      <c r="E6" s="45">
        <v>100</v>
      </c>
      <c r="F6" s="45">
        <f>IF(1314797.53704="","-",(1361213.47779-1314797.53704)/1314797.53704*100)</f>
        <v>3.5302728703383419</v>
      </c>
      <c r="G6" s="45">
        <f>IF(1361213.47779="","-",(1170231.19764-1361213.47779)/1361213.47779*100)</f>
        <v>-14.030296001775531</v>
      </c>
    </row>
    <row r="7" spans="1:7" ht="15.75" customHeight="1" x14ac:dyDescent="0.25">
      <c r="A7" s="36" t="s">
        <v>141</v>
      </c>
      <c r="B7" s="34"/>
      <c r="C7" s="44"/>
      <c r="D7" s="34"/>
      <c r="E7" s="34"/>
      <c r="F7" s="34"/>
      <c r="G7" s="34"/>
    </row>
    <row r="8" spans="1:7" ht="15.75" customHeight="1" x14ac:dyDescent="0.25">
      <c r="A8" s="37" t="s">
        <v>175</v>
      </c>
      <c r="B8" s="46">
        <f>IF(742631.45798="","-",742631.45798)</f>
        <v>742631.45797999995</v>
      </c>
      <c r="C8" s="59">
        <f>IF(853964.52537="","-",742631.45798/853964.52537*100)</f>
        <v>86.962799497817258</v>
      </c>
      <c r="D8" s="46">
        <f>IF(853964.52537="","-",853964.52537/1361213.47779*100)</f>
        <v>62.735532618767145</v>
      </c>
      <c r="E8" s="46">
        <f>IF(742631.45798="","-",742631.45798/1170231.19764*100)</f>
        <v>63.460234138148216</v>
      </c>
      <c r="F8" s="46">
        <f>IF(1314797.53704="","-",(853964.52537-857590.44697)/1314797.53704*100)</f>
        <v>-0.27577794282783857</v>
      </c>
      <c r="G8" s="46">
        <f>IF(1361213.47779="","-",(742631.45798-853964.52537)/1361213.47779*100)</f>
        <v>-8.1789571736209261</v>
      </c>
    </row>
    <row r="9" spans="1:7" ht="15.75" customHeight="1" x14ac:dyDescent="0.25">
      <c r="A9" s="47" t="s">
        <v>2</v>
      </c>
      <c r="B9" s="48">
        <f>IF(294130.78817="","-",294130.78817)</f>
        <v>294130.78817000001</v>
      </c>
      <c r="C9" s="60">
        <f>IF(OR(380464.81782="",294130.78817=""),"-",294130.78817/380464.81782*100)</f>
        <v>77.308275139688448</v>
      </c>
      <c r="D9" s="48">
        <f>IF(380464.81782="","-",380464.81782/1361213.47779*100)</f>
        <v>27.950415127956578</v>
      </c>
      <c r="E9" s="48">
        <f>IF(294130.78817="","-",294130.78817/1170231.19764*100)</f>
        <v>25.134416922328878</v>
      </c>
      <c r="F9" s="48">
        <f>IF(OR(1314797.53704="",346385.25703="",380464.81782=""),"-",(380464.81782-346385.25703)/1314797.53704*100)</f>
        <v>2.5920006563689828</v>
      </c>
      <c r="G9" s="48">
        <f>IF(OR(1361213.47779="",294130.78817="",380464.81782=""),"-",(294130.78817-380464.81782)/1361213.47779*100)</f>
        <v>-6.3424312981508022</v>
      </c>
    </row>
    <row r="10" spans="1:7" ht="15.75" customHeight="1" x14ac:dyDescent="0.25">
      <c r="A10" s="47" t="s">
        <v>3</v>
      </c>
      <c r="B10" s="48">
        <f>IF(106152.85536="","-",106152.85536)</f>
        <v>106152.85536</v>
      </c>
      <c r="C10" s="60">
        <f>IF(OR(135801.93342="",106152.85536=""),"-",106152.85536/135801.93342*100)</f>
        <v>78.167410939354511</v>
      </c>
      <c r="D10" s="48">
        <f>IF(135801.93342="","-",135801.93342/1361213.47779*100)</f>
        <v>9.9765345873948732</v>
      </c>
      <c r="E10" s="48">
        <f>IF(106152.85536="","-",106152.85536/1170231.19764*100)</f>
        <v>9.0711011272027271</v>
      </c>
      <c r="F10" s="48">
        <f>IF(OR(1314797.53704="",147373.44482="",135801.93342=""),"-",(135801.93342-147373.44482)/1314797.53704*100)</f>
        <v>-0.8800983477692641</v>
      </c>
      <c r="G10" s="48">
        <f>IF(OR(1361213.47779="",106152.85536="",135801.93342=""),"-",(106152.85536-135801.93342)/1361213.47779*100)</f>
        <v>-2.178135798959087</v>
      </c>
    </row>
    <row r="11" spans="1:7" ht="13.5" customHeight="1" x14ac:dyDescent="0.25">
      <c r="A11" s="47" t="s">
        <v>4</v>
      </c>
      <c r="B11" s="48">
        <f>IF(103573.72767="","-",103573.72767)</f>
        <v>103573.72766999999</v>
      </c>
      <c r="C11" s="60">
        <f>IF(OR(124696.9991="",103573.72767=""),"-",103573.72767/124696.9991*100)</f>
        <v>83.06032095202201</v>
      </c>
      <c r="D11" s="48">
        <f>IF(124696.9991="","-",124696.9991/1361213.47779*100)</f>
        <v>9.160723217525879</v>
      </c>
      <c r="E11" s="48">
        <f>IF(103573.72767="","-",103573.72767/1170231.19764*100)</f>
        <v>8.8507064141578748</v>
      </c>
      <c r="F11" s="48">
        <f>IF(OR(1314797.53704="",113271.54724="",124696.9991=""),"-",(124696.9991-113271.54724)/1314797.53704*100)</f>
        <v>0.86898944804247868</v>
      </c>
      <c r="G11" s="48">
        <f>IF(OR(1361213.47779="",103573.72767="",124696.9991=""),"-",(103573.72767-124696.9991)/1361213.47779*100)</f>
        <v>-1.5517971115224869</v>
      </c>
    </row>
    <row r="12" spans="1:7" ht="15.75" customHeight="1" x14ac:dyDescent="0.25">
      <c r="A12" s="47" t="s">
        <v>5</v>
      </c>
      <c r="B12" s="48">
        <f>IF(46811.27185="","-",46811.27185)</f>
        <v>46811.271849999997</v>
      </c>
      <c r="C12" s="60">
        <f>IF(OR(52151.67968="",46811.27185=""),"-",46811.27185/52151.67968*100)</f>
        <v>89.759854595732165</v>
      </c>
      <c r="D12" s="48">
        <f>IF(52151.67968="","-",52151.67968/1361213.47779*100)</f>
        <v>3.8312638341394432</v>
      </c>
      <c r="E12" s="48">
        <f>IF(46811.27185="","-",46811.27185/1170231.19764*100)</f>
        <v>4.0001729525246024</v>
      </c>
      <c r="F12" s="48">
        <f>IF(OR(1314797.53704="",46125.68362="",52151.67968=""),"-",(52151.67968-46125.68362)/1314797.53704*100)</f>
        <v>0.45832121602283382</v>
      </c>
      <c r="G12" s="48">
        <f>IF(OR(1361213.47779="",46811.27185="",52151.67968=""),"-",(46811.27185-52151.67968)/1361213.47779*100)</f>
        <v>-0.39232698743700589</v>
      </c>
    </row>
    <row r="13" spans="1:7" s="14" customFormat="1" x14ac:dyDescent="0.25">
      <c r="A13" s="47" t="s">
        <v>7</v>
      </c>
      <c r="B13" s="48">
        <f>IF(39229.52009="","-",39229.52009)</f>
        <v>39229.520089999998</v>
      </c>
      <c r="C13" s="60" t="s">
        <v>107</v>
      </c>
      <c r="D13" s="48">
        <f>IF(24633.96387="","-",24633.96387/1361213.47779*100)</f>
        <v>1.8097061388192031</v>
      </c>
      <c r="E13" s="48">
        <f>IF(39229.52009="","-",39229.52009/1170231.19764*100)</f>
        <v>3.3522880067728495</v>
      </c>
      <c r="F13" s="48">
        <f>IF(OR(1314797.53704="",20753.54191="",24633.96387=""),"-",(24633.96387-20753.54191)/1314797.53704*100)</f>
        <v>0.29513456259858706</v>
      </c>
      <c r="G13" s="48">
        <f>IF(OR(1361213.47779="",39229.52009="",24633.96387=""),"-",(39229.52009-24633.96387)/1361213.47779*100)</f>
        <v>1.0722459377713944</v>
      </c>
    </row>
    <row r="14" spans="1:7" s="14" customFormat="1" x14ac:dyDescent="0.25">
      <c r="A14" s="47" t="s">
        <v>41</v>
      </c>
      <c r="B14" s="48">
        <f>IF(21744.1889="","-",21744.1889)</f>
        <v>21744.188900000001</v>
      </c>
      <c r="C14" s="60">
        <f>IF(OR(19934.79232="",21744.1889=""),"-",21744.1889/19934.79232*100)</f>
        <v>109.07657602324096</v>
      </c>
      <c r="D14" s="48">
        <f>IF(19934.79232="","-",19934.79232/1361213.47779*100)</f>
        <v>1.4644868453965914</v>
      </c>
      <c r="E14" s="48">
        <f>IF(21744.1889="","-",21744.1889/1170231.19764*100)</f>
        <v>1.8581105121664343</v>
      </c>
      <c r="F14" s="48">
        <f>IF(OR(1314797.53704="",17555.36542="",19934.79232=""),"-",(19934.79232-17555.36542)/1314797.53704*100)</f>
        <v>0.18097287475581975</v>
      </c>
      <c r="G14" s="48">
        <f>IF(OR(1361213.47779="",21744.1889="",19934.79232=""),"-",(21744.1889-19934.79232)/1361213.47779*100)</f>
        <v>0.13292526187278492</v>
      </c>
    </row>
    <row r="15" spans="1:7" s="14" customFormat="1" x14ac:dyDescent="0.25">
      <c r="A15" s="47" t="s">
        <v>9</v>
      </c>
      <c r="B15" s="48">
        <f>IF(20594.02363="","-",20594.02363)</f>
        <v>20594.02363</v>
      </c>
      <c r="C15" s="60" t="s">
        <v>108</v>
      </c>
      <c r="D15" s="48">
        <f>IF(10646.02983="","-",10646.02983/1361213.47779*100)</f>
        <v>0.78209847343595051</v>
      </c>
      <c r="E15" s="48">
        <f>IF(20594.02363="","-",20594.02363/1170231.19764*100)</f>
        <v>1.7598252098843268</v>
      </c>
      <c r="F15" s="48">
        <f>IF(OR(1314797.53704="",17761.18814="",10646.02983=""),"-",(10646.02983-17761.18814)/1314797.53704*100)</f>
        <v>-0.54115999684775307</v>
      </c>
      <c r="G15" s="48">
        <f>IF(OR(1361213.47779="",20594.02363="",10646.02983=""),"-",(20594.02363-10646.02983)/1361213.47779*100)</f>
        <v>0.73081805038773784</v>
      </c>
    </row>
    <row r="16" spans="1:7" s="14" customFormat="1" x14ac:dyDescent="0.25">
      <c r="A16" s="47" t="s">
        <v>6</v>
      </c>
      <c r="B16" s="48">
        <f>IF(18676.9623="","-",18676.9623)</f>
        <v>18676.962299999999</v>
      </c>
      <c r="C16" s="60">
        <f>IF(OR(20120.47027="",18676.9623=""),"-",18676.9623/20120.47027*100)</f>
        <v>92.825674794727348</v>
      </c>
      <c r="D16" s="48">
        <f>IF(20120.47027="","-",20120.47027/1361213.47779*100)</f>
        <v>1.4781274648166591</v>
      </c>
      <c r="E16" s="48">
        <f>IF(18676.9623="","-",18676.9623/1170231.19764*100)</f>
        <v>1.596006185586724</v>
      </c>
      <c r="F16" s="48">
        <f>IF(OR(1314797.53704="",29454.50956="",20120.47027=""),"-",(20120.47027-29454.50956)/1314797.53704*100)</f>
        <v>-0.70992217638418254</v>
      </c>
      <c r="G16" s="48">
        <f>IF(OR(1361213.47779="",18676.9623="",20120.47027=""),"-",(18676.9623-20120.47027)/1361213.47779*100)</f>
        <v>-0.10604567127439936</v>
      </c>
    </row>
    <row r="17" spans="1:7" s="14" customFormat="1" x14ac:dyDescent="0.25">
      <c r="A17" s="47" t="s">
        <v>127</v>
      </c>
      <c r="B17" s="48">
        <f>IF(18384.844="","-",18384.844)</f>
        <v>18384.844000000001</v>
      </c>
      <c r="C17" s="60">
        <f>IF(OR(17926.68986="",18384.844=""),"-",18384.844/17926.68986*100)</f>
        <v>102.55570963506366</v>
      </c>
      <c r="D17" s="48">
        <f>IF(17926.68986="","-",17926.68986/1361213.47779*100)</f>
        <v>1.3169638820433149</v>
      </c>
      <c r="E17" s="48">
        <f>IF(18384.844="","-",18384.844/1170231.19764*100)</f>
        <v>1.5710437422174897</v>
      </c>
      <c r="F17" s="48">
        <f>IF(OR(1314797.53704="",26992.63284="",17926.68986=""),"-",(17926.68986-26992.63284)/1314797.53704*100)</f>
        <v>-0.6895314848558457</v>
      </c>
      <c r="G17" s="48">
        <f>IF(OR(1361213.47779="",18384.844="",17926.68986=""),"-",(18384.844-17926.68986)/1361213.47779*100)</f>
        <v>3.3657772823689577E-2</v>
      </c>
    </row>
    <row r="18" spans="1:7" s="14" customFormat="1" x14ac:dyDescent="0.25">
      <c r="A18" s="47" t="s">
        <v>10</v>
      </c>
      <c r="B18" s="48">
        <f>IF(17246.15189="","-",17246.15189)</f>
        <v>17246.151890000001</v>
      </c>
      <c r="C18" s="60">
        <f>IF(OR(18630.32793="",17246.15189=""),"-",17246.15189/18630.32793*100)</f>
        <v>92.570307698282164</v>
      </c>
      <c r="D18" s="48">
        <f>IF(18630.32793="","-",18630.32793/1361213.47779*100)</f>
        <v>1.3686558525887722</v>
      </c>
      <c r="E18" s="48">
        <f>IF(17246.15189="","-",17246.15189/1170231.19764*100)</f>
        <v>1.4737388581658257</v>
      </c>
      <c r="F18" s="48">
        <f>IF(OR(1314797.53704="",19187.60976="",18630.32793=""),"-",(18630.32793-19187.60976)/1314797.53704*100)</f>
        <v>-4.2385372218950675E-2</v>
      </c>
      <c r="G18" s="48">
        <f>IF(OR(1361213.47779="",17246.15189="",18630.32793=""),"-",(17246.15189-18630.32793)/1361213.47779*100)</f>
        <v>-0.10168691851679865</v>
      </c>
    </row>
    <row r="19" spans="1:7" s="16" customFormat="1" x14ac:dyDescent="0.25">
      <c r="A19" s="47" t="s">
        <v>8</v>
      </c>
      <c r="B19" s="48">
        <f>IF(9351.59214="","-",9351.59214)</f>
        <v>9351.5921400000007</v>
      </c>
      <c r="C19" s="60">
        <f>IF(OR(14498.46715="",9351.59214=""),"-",9351.59214/14498.46715*100)</f>
        <v>64.500557495141834</v>
      </c>
      <c r="D19" s="48">
        <f>IF(14498.46715="","-",14498.46715/1361213.47779*100)</f>
        <v>1.0651133996659368</v>
      </c>
      <c r="E19" s="48">
        <f>IF(9351.59214="","-",9351.59214/1170231.19764*100)</f>
        <v>0.79912346883755236</v>
      </c>
      <c r="F19" s="48">
        <f>IF(OR(1314797.53704="",21905.12519="",14498.46715=""),"-",(14498.46715-21905.12519)/1314797.53704*100)</f>
        <v>-0.56333069018934934</v>
      </c>
      <c r="G19" s="48">
        <f>IF(OR(1361213.47779="",9351.59214="",14498.46715=""),"-",(9351.59214-14498.46715)/1361213.47779*100)</f>
        <v>-0.37810931892594951</v>
      </c>
    </row>
    <row r="20" spans="1:7" s="14" customFormat="1" x14ac:dyDescent="0.25">
      <c r="A20" s="47" t="s">
        <v>52</v>
      </c>
      <c r="B20" s="48">
        <f>IF(8961.65411="","-",8961.65411)</f>
        <v>8961.6541099999995</v>
      </c>
      <c r="C20" s="60" t="s">
        <v>289</v>
      </c>
      <c r="D20" s="48">
        <f>IF(78.03909="","-",78.03909/1361213.47779*100)</f>
        <v>5.7330529908284833E-3</v>
      </c>
      <c r="E20" s="48">
        <f>IF(8961.65411="","-",8961.65411/1170231.19764*100)</f>
        <v>0.76580201656501101</v>
      </c>
      <c r="F20" s="48">
        <f>IF(OR(1314797.53704="",9226.32139="",78.03909=""),"-",(78.03909-9226.32139)/1314797.53704*100)</f>
        <v>-0.69579399430542754</v>
      </c>
      <c r="G20" s="48">
        <f>IF(OR(1361213.47779="",8961.65411="",78.03909=""),"-",(8961.65411-78.03909)/1361213.47779*100)</f>
        <v>0.65262467386254541</v>
      </c>
    </row>
    <row r="21" spans="1:7" s="14" customFormat="1" x14ac:dyDescent="0.25">
      <c r="A21" s="47" t="s">
        <v>43</v>
      </c>
      <c r="B21" s="48">
        <f>IF(8639.94947="","-",8639.94947)</f>
        <v>8639.9494699999996</v>
      </c>
      <c r="C21" s="60" t="s">
        <v>96</v>
      </c>
      <c r="D21" s="48">
        <f>IF(4194.6282="","-",4194.6282/1361213.47779*100)</f>
        <v>0.30815359004600767</v>
      </c>
      <c r="E21" s="48">
        <f>IF(8639.94947="","-",8639.94947/1170231.19764*100)</f>
        <v>0.73831132578110603</v>
      </c>
      <c r="F21" s="48">
        <f>IF(OR(1314797.53704="",3844.23494="",4194.6282=""),"-",(4194.6282-3844.23494)/1314797.53704*100)</f>
        <v>2.6649978428529737E-2</v>
      </c>
      <c r="G21" s="48">
        <f>IF(OR(1361213.47779="",8639.94947="",4194.6282=""),"-",(8639.94947-4194.6282)/1361213.47779*100)</f>
        <v>0.32657047131337597</v>
      </c>
    </row>
    <row r="22" spans="1:7" s="14" customFormat="1" x14ac:dyDescent="0.25">
      <c r="A22" s="47" t="s">
        <v>48</v>
      </c>
      <c r="B22" s="48">
        <f>IF(7969.26089="","-",7969.26089)</f>
        <v>7969.2608899999996</v>
      </c>
      <c r="C22" s="60" t="s">
        <v>106</v>
      </c>
      <c r="D22" s="48">
        <f>IF(4795.85849="","-",4795.85849/1361213.47779*100)</f>
        <v>0.35232228950497335</v>
      </c>
      <c r="E22" s="48">
        <f>IF(7969.26089="","-",7969.26089/1170231.19764*100)</f>
        <v>0.68099884074801398</v>
      </c>
      <c r="F22" s="48">
        <f>IF(OR(1314797.53704="",4733.02703="",4795.85849=""),"-",(4795.85849-4733.02703)/1314797.53704*100)</f>
        <v>4.7787935579383352E-3</v>
      </c>
      <c r="G22" s="48">
        <f>IF(OR(1361213.47779="",7969.26089="",4795.85849=""),"-",(7969.26089-4795.85849)/1361213.47779*100)</f>
        <v>0.2331303981174343</v>
      </c>
    </row>
    <row r="23" spans="1:7" s="14" customFormat="1" x14ac:dyDescent="0.25">
      <c r="A23" s="47" t="s">
        <v>42</v>
      </c>
      <c r="B23" s="48">
        <f>IF(5211.45523="","-",5211.45523)</f>
        <v>5211.4552299999996</v>
      </c>
      <c r="C23" s="60">
        <f>IF(OR(7707.5054="",5211.45523=""),"-",5211.45523/7707.5054*100)</f>
        <v>67.615330246800738</v>
      </c>
      <c r="D23" s="48">
        <f>IF(7707.5054="","-",7707.5054/1361213.47779*100)</f>
        <v>0.56622311825133642</v>
      </c>
      <c r="E23" s="48">
        <f>IF(5211.45523="","-",5211.45523/1170231.19764*100)</f>
        <v>0.44533552348543765</v>
      </c>
      <c r="F23" s="48">
        <f>IF(OR(1314797.53704="",7772.04728="",7707.5054=""),"-",(7707.5054-7772.04728)/1314797.53704*100)</f>
        <v>-4.9088835491206285E-3</v>
      </c>
      <c r="G23" s="48">
        <f>IF(OR(1361213.47779="",5211.45523="",7707.5054=""),"-",(5211.45523-7707.5054)/1361213.47779*100)</f>
        <v>-0.18336948691196228</v>
      </c>
    </row>
    <row r="24" spans="1:7" s="14" customFormat="1" x14ac:dyDescent="0.25">
      <c r="A24" s="47" t="s">
        <v>45</v>
      </c>
      <c r="B24" s="48">
        <f>IF(4841.21335="","-",4841.21335)</f>
        <v>4841.21335</v>
      </c>
      <c r="C24" s="60">
        <f>IF(OR(5534.93532="",4841.21335=""),"-",4841.21335/5534.93532*100)</f>
        <v>87.466484612868072</v>
      </c>
      <c r="D24" s="48">
        <f>IF(5534.93532="","-",5534.93532/1361213.47779*100)</f>
        <v>0.40661772824834586</v>
      </c>
      <c r="E24" s="48">
        <f>IF(4841.21335="","-",4841.21335/1170231.19764*100)</f>
        <v>0.41369717024834524</v>
      </c>
      <c r="F24" s="48">
        <f>IF(OR(1314797.53704="",11666.99644="",5534.93532=""),"-",(5534.93532-11666.99644)/1314797.53704*100)</f>
        <v>-0.46638824208669361</v>
      </c>
      <c r="G24" s="48">
        <f>IF(OR(1361213.47779="",4841.21335="",5534.93532=""),"-",(4841.21335-5534.93532)/1361213.47779*100)</f>
        <v>-5.096349553681271E-2</v>
      </c>
    </row>
    <row r="25" spans="1:7" s="14" customFormat="1" x14ac:dyDescent="0.25">
      <c r="A25" s="47" t="s">
        <v>44</v>
      </c>
      <c r="B25" s="48">
        <f>IF(3376.85084="","-",3376.85084)</f>
        <v>3376.8508400000001</v>
      </c>
      <c r="C25" s="60">
        <f>IF(OR(4290.62708="",3376.85084=""),"-",3376.85084/4290.62708*100)</f>
        <v>78.702967585800991</v>
      </c>
      <c r="D25" s="48">
        <f>IF(4290.62708="","-",4290.62708/1361213.47779*100)</f>
        <v>0.31520603858301888</v>
      </c>
      <c r="E25" s="48">
        <f>IF(3376.85084="","-",3376.85084/1170231.19764*100)</f>
        <v>0.2885627085323037</v>
      </c>
      <c r="F25" s="48">
        <f>IF(OR(1314797.53704="",5416.8889="",4290.62708=""),"-",(4290.62708-5416.8889)/1314797.53704*100)</f>
        <v>-8.5660475340982895E-2</v>
      </c>
      <c r="G25" s="48">
        <f>IF(OR(1361213.47779="",3376.85084="",4290.62708=""),"-",(3376.85084-4290.62708)/1361213.47779*100)</f>
        <v>-6.7129532208538137E-2</v>
      </c>
    </row>
    <row r="26" spans="1:7" s="9" customFormat="1" x14ac:dyDescent="0.25">
      <c r="A26" s="47" t="s">
        <v>47</v>
      </c>
      <c r="B26" s="48">
        <f>IF(2911.65539="","-",2911.65539)</f>
        <v>2911.6553899999999</v>
      </c>
      <c r="C26" s="60" t="s">
        <v>105</v>
      </c>
      <c r="D26" s="48">
        <f>IF(1656.03225="","-",1656.03225/1361213.47779*100)</f>
        <v>0.12165852579484106</v>
      </c>
      <c r="E26" s="48">
        <f>IF(2911.65539="","-",2911.65539/1170231.19764*100)</f>
        <v>0.24881026893420055</v>
      </c>
      <c r="F26" s="48">
        <f>IF(OR(1314797.53704="",1792.96681="",1656.03225=""),"-",(1656.03225-1792.96681)/1314797.53704*100)</f>
        <v>-1.0414878043373909E-2</v>
      </c>
      <c r="G26" s="48">
        <f>IF(OR(1361213.47779="",2911.65539="",1656.03225=""),"-",(2911.65539-1656.03225)/1361213.47779*100)</f>
        <v>9.2242925925077435E-2</v>
      </c>
    </row>
    <row r="27" spans="1:7" s="9" customFormat="1" x14ac:dyDescent="0.25">
      <c r="A27" s="47" t="s">
        <v>46</v>
      </c>
      <c r="B27" s="48">
        <f>IF(2654.04605="","-",2654.04605)</f>
        <v>2654.0460499999999</v>
      </c>
      <c r="C27" s="60">
        <f>IF(OR(3946.13854="",2654.04605=""),"-",2654.04605/3946.13854*100)</f>
        <v>67.256788455278098</v>
      </c>
      <c r="D27" s="48">
        <f>IF(3946.13854="","-",3946.13854/1361213.47779*100)</f>
        <v>0.28989857978828998</v>
      </c>
      <c r="E27" s="48">
        <f>IF(2654.04605="","-",2654.04605/1170231.19764*100)</f>
        <v>0.22679672660858835</v>
      </c>
      <c r="F27" s="48">
        <f>IF(OR(1314797.53704="",3166.78533="",3946.13854=""),"-",(3946.13854-3166.78533)/1314797.53704*100)</f>
        <v>5.9275530113522684E-2</v>
      </c>
      <c r="G27" s="48">
        <f>IF(OR(1361213.47779="",2654.04605="",3946.13854=""),"-",(2654.04605-3946.13854)/1361213.47779*100)</f>
        <v>-9.4922105245224181E-2</v>
      </c>
    </row>
    <row r="28" spans="1:7" s="14" customFormat="1" x14ac:dyDescent="0.25">
      <c r="A28" s="47" t="s">
        <v>50</v>
      </c>
      <c r="B28" s="48">
        <f>IF(731.87664="","-",731.87664)</f>
        <v>731.87663999999995</v>
      </c>
      <c r="C28" s="60">
        <f>IF(OR(513.41934="",731.87664=""),"-",731.87664/513.41934*100)</f>
        <v>142.54948790982434</v>
      </c>
      <c r="D28" s="48">
        <f>IF(513.41934="","-",513.41934/1361213.47779*100)</f>
        <v>3.7717767887044631E-2</v>
      </c>
      <c r="E28" s="48">
        <f>IF(731.87664="","-",731.87664/1170231.19764*100)</f>
        <v>6.2541200531653254E-2</v>
      </c>
      <c r="F28" s="48">
        <f>IF(OR(1314797.53704="",100.71327="",513.41934=""),"-",(513.41934-100.71327)/1314797.53704*100)</f>
        <v>3.1389324848381146E-2</v>
      </c>
      <c r="G28" s="48">
        <f>IF(OR(1361213.47779="",731.87664="",513.41934=""),"-",(731.87664-513.41934)/1361213.47779*100)</f>
        <v>1.6048717086953664E-2</v>
      </c>
    </row>
    <row r="29" spans="1:7" s="14" customFormat="1" x14ac:dyDescent="0.25">
      <c r="A29" s="47" t="s">
        <v>128</v>
      </c>
      <c r="B29" s="48">
        <f>IF(520.06087="","-",520.06087)</f>
        <v>520.06087000000002</v>
      </c>
      <c r="C29" s="60" t="s">
        <v>20</v>
      </c>
      <c r="D29" s="48">
        <f>IF(265.54323="","-",265.54323/1361213.47779*100)</f>
        <v>1.9507831382269525E-2</v>
      </c>
      <c r="E29" s="48">
        <f>IF(520.06087="","-",520.06087/1170231.19764*100)</f>
        <v>4.4440865279340054E-2</v>
      </c>
      <c r="F29" s="48">
        <f>IF(OR(1314797.53704="",345.21707="",265.54323=""),"-",(265.54323-345.21707)/1314797.53704*100)</f>
        <v>-6.059780137660546E-3</v>
      </c>
      <c r="G29" s="48">
        <f>IF(OR(1361213.47779="",520.06087="",265.54323=""),"-",(520.06087-265.54323)/1361213.47779*100)</f>
        <v>1.8697848952628833E-2</v>
      </c>
    </row>
    <row r="30" spans="1:7" s="9" customFormat="1" x14ac:dyDescent="0.25">
      <c r="A30" s="47" t="s">
        <v>49</v>
      </c>
      <c r="B30" s="48">
        <f>IF(413.20688="","-",413.20688)</f>
        <v>413.20688000000001</v>
      </c>
      <c r="C30" s="60">
        <f>IF(OR(446.95394="",413.20688=""),"-",413.20688/446.95394*100)</f>
        <v>92.449544129759772</v>
      </c>
      <c r="D30" s="48">
        <f>IF(446.95394="","-",446.95394/1361213.47779*100)</f>
        <v>3.2834962868987509E-2</v>
      </c>
      <c r="E30" s="48">
        <f>IF(413.20688="","-",413.20688/1170231.19764*100)</f>
        <v>3.5309849953864887E-2</v>
      </c>
      <c r="F30" s="48">
        <f>IF(OR(1314797.53704="",1252.59525="",446.95394=""),"-",(446.95394-1252.59525)/1314797.53704*100)</f>
        <v>-6.1274933007080166E-2</v>
      </c>
      <c r="G30" s="48">
        <f>IF(OR(1361213.47779="",413.20688="",446.95394=""),"-",(413.20688-446.95394)/1361213.47779*100)</f>
        <v>-2.4791893814326655E-3</v>
      </c>
    </row>
    <row r="31" spans="1:7" s="9" customFormat="1" x14ac:dyDescent="0.25">
      <c r="A31" s="47" t="s">
        <v>51</v>
      </c>
      <c r="B31" s="48">
        <f>IF(233.85845="","-",233.85845)</f>
        <v>233.85845</v>
      </c>
      <c r="C31" s="60">
        <f>IF(OR(465.98069="",233.85845=""),"-",233.85845/465.98069*100)</f>
        <v>50.186296346314265</v>
      </c>
      <c r="D31" s="48">
        <f>IF(465.98069="","-",465.98069/1361213.47779*100)</f>
        <v>3.4232741418087013E-2</v>
      </c>
      <c r="E31" s="48">
        <f>IF(233.85845="","-",233.85845/1170231.19764*100)</f>
        <v>1.9983952783998695E-2</v>
      </c>
      <c r="F31" s="48">
        <f>IF(OR(1314797.53704="",593.47074="",465.98069=""),"-",(465.98069-593.47074)/1314797.53704*100)</f>
        <v>-9.6965537589169797E-3</v>
      </c>
      <c r="G31" s="48">
        <f>IF(OR(1361213.47779="",233.85845="",465.98069=""),"-",(233.85845-465.98069)/1361213.47779*100)</f>
        <v>-1.7052596362538402E-2</v>
      </c>
    </row>
    <row r="32" spans="1:7" s="9" customFormat="1" x14ac:dyDescent="0.25">
      <c r="A32" s="47" t="s">
        <v>54</v>
      </c>
      <c r="B32" s="48">
        <f>IF(162.78299="","-",162.78299)</f>
        <v>162.78299000000001</v>
      </c>
      <c r="C32" s="60" t="s">
        <v>290</v>
      </c>
      <c r="D32" s="48">
        <f>IF(13.91265="","-",13.91265/1361213.47779*100)</f>
        <v>1.0220770090072794E-3</v>
      </c>
      <c r="E32" s="48">
        <f>IF(162.78299="","-",162.78299/1170231.19764*100)</f>
        <v>1.3910327320642599E-2</v>
      </c>
      <c r="F32" s="48">
        <f>IF(OR(1314797.53704="",316.51621="",13.91265=""),"-",(13.91265-316.51621)/1314797.53704*100)</f>
        <v>-2.3015221087290028E-2</v>
      </c>
      <c r="G32" s="48">
        <f>IF(OR(1361213.47779="",162.78299="",13.91265=""),"-",(162.78299-13.91265)/1361213.47779*100)</f>
        <v>1.0936590213733312E-2</v>
      </c>
    </row>
    <row r="33" spans="1:7" s="9" customFormat="1" x14ac:dyDescent="0.25">
      <c r="A33" s="47" t="s">
        <v>53</v>
      </c>
      <c r="B33" s="48">
        <f>IF(79.63324="","-",79.63324)</f>
        <v>79.633240000000001</v>
      </c>
      <c r="C33" s="60" t="s">
        <v>149</v>
      </c>
      <c r="D33" s="48">
        <f>IF(31.8079="","-",31.8079/1361213.47779*100)</f>
        <v>2.336731197493119E-3</v>
      </c>
      <c r="E33" s="48">
        <f>IF(79.63324="","-",79.63324/1170231.19764*100)</f>
        <v>6.8049151450239919E-3</v>
      </c>
      <c r="F33" s="48" t="str">
        <f>IF(OR(1314797.53704="",""="",31.8079=""),"-",(31.8079-"")/1314797.53704*100)</f>
        <v>-</v>
      </c>
      <c r="G33" s="48">
        <f>IF(OR(1361213.47779="",79.63324="",31.8079=""),"-",(79.63324-31.8079)/1361213.47779*100)</f>
        <v>3.5134342100143542E-3</v>
      </c>
    </row>
    <row r="34" spans="1:7" s="9" customFormat="1" x14ac:dyDescent="0.25">
      <c r="A34" s="47" t="s">
        <v>55</v>
      </c>
      <c r="B34" s="48">
        <f>IF(25.65794="","-",25.65794)</f>
        <v>25.65794</v>
      </c>
      <c r="C34" s="60">
        <f>IF(OR(55.88281="",25.65794=""),"-",25.65794/55.88281*100)</f>
        <v>45.913832894229905</v>
      </c>
      <c r="D34" s="48">
        <f>IF(55.88281="","-",55.88281/1361213.47779*100)</f>
        <v>4.1053670795802447E-3</v>
      </c>
      <c r="E34" s="48">
        <f>IF(25.65794="","-",25.65794/1170231.19764*100)</f>
        <v>2.1925530657313061E-3</v>
      </c>
      <c r="F34" s="48">
        <f>IF(OR(1314797.53704="",23.07654="",55.88281=""),"-",(55.88281-23.07654)/1314797.53704*100)</f>
        <v>2.4951575490365354E-3</v>
      </c>
      <c r="G34" s="48">
        <f>IF(OR(1361213.47779="",25.65794="",55.88281=""),"-",(25.65794-55.88281)/1361213.47779*100)</f>
        <v>-2.2204356989670446E-3</v>
      </c>
    </row>
    <row r="35" spans="1:7" s="9" customFormat="1" x14ac:dyDescent="0.25">
      <c r="A35" s="47" t="s">
        <v>56</v>
      </c>
      <c r="B35" s="48">
        <f>IF(2.36964="","-",2.36964)</f>
        <v>2.36964</v>
      </c>
      <c r="C35" s="60">
        <f>IF(OR(461.08919="",2.36964=""),"-",2.36964/461.08919*100)</f>
        <v>0.51392226306585065</v>
      </c>
      <c r="D35" s="48">
        <f>IF(461.08919="","-",461.08919/1361213.47779*100)</f>
        <v>3.387339293382563E-2</v>
      </c>
      <c r="E35" s="48">
        <f>IF(2.36964="","-",2.36964/1170231.19764*100)</f>
        <v>2.0249331967724349E-4</v>
      </c>
      <c r="F35" s="48">
        <f>IF(OR(1314797.53704="",573.68424="",461.08919=""),"-",(461.08919-573.68424)/1314797.53704*100)</f>
        <v>-8.5636797170676928E-3</v>
      </c>
      <c r="G35" s="48">
        <f>IF(OR(1361213.47779="",2.36964="",461.08919=""),"-",(2.36964-461.08919)/1361213.47779*100)</f>
        <v>-3.369931002628293E-2</v>
      </c>
    </row>
    <row r="36" spans="1:7" s="9" customFormat="1" x14ac:dyDescent="0.25">
      <c r="A36" s="37" t="s">
        <v>180</v>
      </c>
      <c r="B36" s="46">
        <f>IF(193825.6464="","-",193825.6464)</f>
        <v>193825.6464</v>
      </c>
      <c r="C36" s="59">
        <f>IF(202404.26926="","-",193825.6464/202404.26926*100)</f>
        <v>95.761639370867087</v>
      </c>
      <c r="D36" s="46">
        <f>IF(202404.26926="","-",202404.26926/1361213.47779*100)</f>
        <v>14.86939944119667</v>
      </c>
      <c r="E36" s="46">
        <f>IF(193825.6464="","-",193825.6464/1170231.19764*100)</f>
        <v>16.563021631185983</v>
      </c>
      <c r="F36" s="46">
        <f>IF(1314797.53704="","-",(202404.26926-208275.81019)/1314797.53704*100)</f>
        <v>-0.44657377007402765</v>
      </c>
      <c r="G36" s="46">
        <f>IF(1361213.47779="","-",(193825.6464-202404.26926)/1361213.47779*100)</f>
        <v>-0.63021877170418839</v>
      </c>
    </row>
    <row r="37" spans="1:7" s="9" customFormat="1" x14ac:dyDescent="0.25">
      <c r="A37" s="47" t="s">
        <v>129</v>
      </c>
      <c r="B37" s="48">
        <f>IF(123801.65856="","-",123801.65856)</f>
        <v>123801.65856</v>
      </c>
      <c r="C37" s="60">
        <f>IF(OR(114429.1032="",123801.65856=""),"-",123801.65856/114429.1032*100)</f>
        <v>108.1907094418267</v>
      </c>
      <c r="D37" s="48">
        <f>IF(114429.1032="","-",114429.1032/1361213.47779*100)</f>
        <v>8.4064039231951728</v>
      </c>
      <c r="E37" s="48">
        <f>IF(123801.65856="","-",123801.65856/1170231.19764*100)</f>
        <v>10.579247828093308</v>
      </c>
      <c r="F37" s="48">
        <f>IF(OR(1314797.53704="",107450.65862="",114429.1032=""),"-",(114429.1032-107450.65862)/1314797.53704*100)</f>
        <v>0.5307619145462158</v>
      </c>
      <c r="G37" s="48">
        <f>IF(OR(1361213.47779="",123801.65856="",114429.1032=""),"-",(123801.65856-114429.1032)/1361213.47779*100)</f>
        <v>0.68854411985523567</v>
      </c>
    </row>
    <row r="38" spans="1:7" s="9" customFormat="1" ht="14.25" customHeight="1" x14ac:dyDescent="0.25">
      <c r="A38" s="47" t="s">
        <v>11</v>
      </c>
      <c r="B38" s="48">
        <f>IF(32611.59569="","-",32611.59569)</f>
        <v>32611.595689999998</v>
      </c>
      <c r="C38" s="60">
        <f>IF(OR(41805.31588="",32611.59569=""),"-",32611.59569/41805.31588*100)</f>
        <v>78.00825087319015</v>
      </c>
      <c r="D38" s="48">
        <f>IF(41805.31588="","-",41805.31588/1361213.47779*100)</f>
        <v>3.0711799847789547</v>
      </c>
      <c r="E38" s="48">
        <f>IF(32611.59569="","-",32611.59569/1170231.19764*100)</f>
        <v>2.7867651927044554</v>
      </c>
      <c r="F38" s="48">
        <f>IF(OR(1314797.53704="",49022.43812="",41805.31588=""),"-",(41805.31588-49022.43812)/1314797.53704*100)</f>
        <v>-0.54891510188312975</v>
      </c>
      <c r="G38" s="48">
        <f>IF(OR(1361213.47779="",32611.59569="",41805.31588=""),"-",(32611.59569-41805.31588)/1361213.47779*100)</f>
        <v>-0.675406197485385</v>
      </c>
    </row>
    <row r="39" spans="1:7" s="15" customFormat="1" ht="14.25" customHeight="1" x14ac:dyDescent="0.2">
      <c r="A39" s="47" t="s">
        <v>12</v>
      </c>
      <c r="B39" s="48">
        <f>IF(27426.28568="","-",27426.28568)</f>
        <v>27426.285680000001</v>
      </c>
      <c r="C39" s="60">
        <f>IF(OR(36805.30296="",27426.28568=""),"-",27426.28568/36805.30296*100)</f>
        <v>74.517212125130143</v>
      </c>
      <c r="D39" s="48">
        <f>IF(36805.30296="","-",36805.30296/1361213.47779*100)</f>
        <v>2.7038597222645273</v>
      </c>
      <c r="E39" s="48">
        <f>IF(27426.28568="","-",27426.28568/1170231.19764*100)</f>
        <v>2.3436638619198042</v>
      </c>
      <c r="F39" s="48">
        <f>IF(OR(1314797.53704="",38624.94186="",36805.30296=""),"-",(36805.30296-38624.94186)/1314797.53704*100)</f>
        <v>-0.13839688991938226</v>
      </c>
      <c r="G39" s="48">
        <f>IF(OR(1361213.47779="",27426.28568="",36805.30296=""),"-",(27426.28568-36805.30296)/1361213.47779*100)</f>
        <v>-0.68901883745871484</v>
      </c>
    </row>
    <row r="40" spans="1:7" s="15" customFormat="1" ht="14.25" customHeight="1" x14ac:dyDescent="0.2">
      <c r="A40" s="47" t="s">
        <v>13</v>
      </c>
      <c r="B40" s="48">
        <f>IF(6308.44855="","-",6308.44855)</f>
        <v>6308.4485500000001</v>
      </c>
      <c r="C40" s="60">
        <f>IF(OR(4211.57803="",6308.44855=""),"-",6308.44855/4211.57803*100)</f>
        <v>149.78823863795301</v>
      </c>
      <c r="D40" s="48">
        <f>IF(4211.57803="","-",4211.57803/1361213.47779*100)</f>
        <v>0.30939879002944587</v>
      </c>
      <c r="E40" s="48">
        <f>IF(6308.44855="","-",6308.44855/1170231.19764*100)</f>
        <v>0.53907711251607549</v>
      </c>
      <c r="F40" s="48">
        <f>IF(OR(1314797.53704="",7882.82533="",4211.57803=""),"-",(4211.57803-7882.82533)/1314797.53704*100)</f>
        <v>-0.27922529488951348</v>
      </c>
      <c r="G40" s="48">
        <f>IF(OR(1361213.47779="",6308.44855="",4211.57803=""),"-",(6308.44855-4211.57803)/1361213.47779*100)</f>
        <v>0.15404420792279969</v>
      </c>
    </row>
    <row r="41" spans="1:7" s="15" customFormat="1" ht="14.25" customHeight="1" x14ac:dyDescent="0.2">
      <c r="A41" s="47" t="s">
        <v>15</v>
      </c>
      <c r="B41" s="48">
        <f>IF(1426.66573="","-",1426.66573)</f>
        <v>1426.6657299999999</v>
      </c>
      <c r="C41" s="60">
        <f>IF(OR(1316.07721="",1426.66573=""),"-",1426.66573/1316.07721*100)</f>
        <v>108.40288997938046</v>
      </c>
      <c r="D41" s="48">
        <f>IF(1316.07721="","-",1316.07721/1361213.47779*100)</f>
        <v>9.668411542153689E-2</v>
      </c>
      <c r="E41" s="48">
        <f>IF(1426.66573="","-",1426.66573/1170231.19764*100)</f>
        <v>0.12191315125397019</v>
      </c>
      <c r="F41" s="48">
        <f>IF(OR(1314797.53704="",1517.3142="",1316.07721=""),"-",(1316.07721-1517.3142)/1314797.53704*100)</f>
        <v>-1.5305549663033623E-2</v>
      </c>
      <c r="G41" s="48">
        <f>IF(OR(1361213.47779="",1426.66573="",1316.07721=""),"-",(1426.66573-1316.07721)/1361213.47779*100)</f>
        <v>8.1242598464089672E-3</v>
      </c>
    </row>
    <row r="42" spans="1:7" s="13" customFormat="1" ht="14.25" customHeight="1" x14ac:dyDescent="0.2">
      <c r="A42" s="47" t="s">
        <v>14</v>
      </c>
      <c r="B42" s="48">
        <f>IF(1338.57699="","-",1338.57699)</f>
        <v>1338.57699</v>
      </c>
      <c r="C42" s="60">
        <f>IF(OR(2324.7795="",1338.57699=""),"-",1338.57699/2324.7795*100)</f>
        <v>57.578664557219298</v>
      </c>
      <c r="D42" s="48">
        <f>IF(2324.7795="","-",2324.7795/1361213.47779*100)</f>
        <v>0.17078728193129555</v>
      </c>
      <c r="E42" s="48">
        <f>IF(1338.57699="","-",1338.57699/1170231.19764*100)</f>
        <v>0.11438568658052378</v>
      </c>
      <c r="F42" s="48">
        <f>IF(OR(1314797.53704="",2069.78429="",2324.7795=""),"-",(2324.7795-2069.78429)/1314797.53704*100)</f>
        <v>1.9394256744203371E-2</v>
      </c>
      <c r="G42" s="48">
        <f>IF(OR(1361213.47779="",1338.57699="",2324.7795=""),"-",(1338.57699-2324.7795)/1361213.47779*100)</f>
        <v>-7.2450245761682477E-2</v>
      </c>
    </row>
    <row r="43" spans="1:7" s="15" customFormat="1" ht="14.25" customHeight="1" x14ac:dyDescent="0.2">
      <c r="A43" s="47" t="s">
        <v>17</v>
      </c>
      <c r="B43" s="48">
        <f>IF(476.98189="","-",476.98189)</f>
        <v>476.98189000000002</v>
      </c>
      <c r="C43" s="60">
        <f>IF(OR(657.76978="",476.98189=""),"-",476.98189/657.76978*100)</f>
        <v>72.51502037688627</v>
      </c>
      <c r="D43" s="48">
        <f>IF(657.76978="","-",657.76978/1361213.47779*100)</f>
        <v>4.8322308787885571E-2</v>
      </c>
      <c r="E43" s="48">
        <f>IF(476.98189="","-",476.98189/1170231.19764*100)</f>
        <v>4.0759628606887879E-2</v>
      </c>
      <c r="F43" s="48">
        <f>IF(OR(1314797.53704="",760.81492="",657.76978=""),"-",(657.76978-760.81492)/1314797.53704*100)</f>
        <v>-7.837338989239764E-3</v>
      </c>
      <c r="G43" s="48">
        <f>IF(OR(1361213.47779="",476.98189="",657.76978=""),"-",(476.98189-657.76978)/1361213.47779*100)</f>
        <v>-1.328137672376844E-2</v>
      </c>
    </row>
    <row r="44" spans="1:7" s="13" customFormat="1" ht="14.25" customHeight="1" x14ac:dyDescent="0.2">
      <c r="A44" s="47" t="s">
        <v>131</v>
      </c>
      <c r="B44" s="48">
        <f>IF(290.25257="","-",290.25257)</f>
        <v>290.25256999999999</v>
      </c>
      <c r="C44" s="60">
        <f>IF(OR(495.50919="",290.25257=""),"-",290.25257/495.50919*100)</f>
        <v>58.576627004637395</v>
      </c>
      <c r="D44" s="48">
        <f>IF(495.50919="","-",495.50919/1361213.47779*100)</f>
        <v>3.6402019087004973E-2</v>
      </c>
      <c r="E44" s="48">
        <f>IF(290.25257="","-",290.25257/1170231.19764*100)</f>
        <v>2.480301077132032E-2</v>
      </c>
      <c r="F44" s="48">
        <f>IF(OR(1314797.53704="",546.97892="",495.50919=""),"-",(495.50919-546.97892)/1314797.53704*100)</f>
        <v>-3.9146506249071386E-3</v>
      </c>
      <c r="G44" s="48">
        <f>IF(OR(1361213.47779="",290.25257="",495.50919=""),"-",(290.25257-495.50919)/1361213.47779*100)</f>
        <v>-1.5078944144253162E-2</v>
      </c>
    </row>
    <row r="45" spans="1:7" s="13" customFormat="1" ht="14.25" customHeight="1" x14ac:dyDescent="0.2">
      <c r="A45" s="47" t="s">
        <v>18</v>
      </c>
      <c r="B45" s="48">
        <f>IF(145.18074="","-",145.18074)</f>
        <v>145.18073999999999</v>
      </c>
      <c r="C45" s="60">
        <f>IF(OR(117.52379="",145.18074=""),"-",145.18074/117.52379*100)</f>
        <v>123.53306509260804</v>
      </c>
      <c r="D45" s="48">
        <f>IF(117.52379="","-",117.52379/1361213.47779*100)</f>
        <v>8.6337515692840421E-3</v>
      </c>
      <c r="E45" s="48">
        <f>IF(145.18074="","-",145.18074/1170231.19764*100)</f>
        <v>1.2406158739639257E-2</v>
      </c>
      <c r="F45" s="48">
        <f>IF(OR(1314797.53704="",220.85757="",117.52379=""),"-",(117.52379-220.85757)/1314797.53704*100)</f>
        <v>-7.8592921791316283E-3</v>
      </c>
      <c r="G45" s="48">
        <f>IF(OR(1361213.47779="",145.18074="",117.52379=""),"-",(145.18074-117.52379)/1361213.47779*100)</f>
        <v>2.0317863767336818E-3</v>
      </c>
    </row>
    <row r="46" spans="1:7" s="13" customFormat="1" ht="14.25" customHeight="1" x14ac:dyDescent="0.2">
      <c r="A46" s="47" t="s">
        <v>16</v>
      </c>
      <c r="B46" s="48" t="str">
        <f>IF(""="","-","")</f>
        <v>-</v>
      </c>
      <c r="C46" s="60" t="str">
        <f>IF(OR(241.30972="",""=""),"-",""/241.30972*100)</f>
        <v>-</v>
      </c>
      <c r="D46" s="48">
        <f>IF(241.30972="","-",241.30972/1361213.47779*100)</f>
        <v>1.7727544131562578E-2</v>
      </c>
      <c r="E46" s="48" t="str">
        <f>IF(""="","-",""/1170231.19764*100)</f>
        <v>-</v>
      </c>
      <c r="F46" s="48">
        <f>IF(OR(1314797.53704="",179.19636="",241.30972=""),"-",(241.30972-179.19636)/1314797.53704*100)</f>
        <v>4.7241767838899079E-3</v>
      </c>
      <c r="G46" s="48" t="str">
        <f>IF(OR(1361213.47779="",""="",241.30972=""),"-",(""-241.30972)/1361213.47779*100)</f>
        <v>-</v>
      </c>
    </row>
    <row r="47" spans="1:7" s="13" customFormat="1" ht="14.25" customHeight="1" x14ac:dyDescent="0.2">
      <c r="A47" s="37" t="s">
        <v>181</v>
      </c>
      <c r="B47" s="46">
        <f>IF(233774.09326="","-",233774.09326)</f>
        <v>233774.09325999999</v>
      </c>
      <c r="C47" s="59">
        <f>IF(304844.68316="","-",233774.09326/304844.68316*100)</f>
        <v>76.686295078763735</v>
      </c>
      <c r="D47" s="46">
        <f>IF(304844.68316="","-",304844.68316/1361213.47779*100)</f>
        <v>22.395067940036199</v>
      </c>
      <c r="E47" s="46">
        <f>IF(233774.09326="","-",233774.09326/1170231.19764*100)</f>
        <v>19.976744230665801</v>
      </c>
      <c r="F47" s="46">
        <f>IF(1314797.53704="","-",(304844.68316-248931.27988)/1314797.53704*100)</f>
        <v>4.2526245832402232</v>
      </c>
      <c r="G47" s="46">
        <f>IF(1361213.47779="","-",(233774.09326-304844.68316)/1361213.47779*100)</f>
        <v>-5.2211200564504239</v>
      </c>
    </row>
    <row r="48" spans="1:7" s="9" customFormat="1" x14ac:dyDescent="0.25">
      <c r="A48" s="47" t="s">
        <v>57</v>
      </c>
      <c r="B48" s="48">
        <f>IF(85304.66918="","-",85304.66918)</f>
        <v>85304.669179999997</v>
      </c>
      <c r="C48" s="60">
        <f>IF(OR(121593.52444="",85304.66918=""),"-",85304.66918/121593.52444*100)</f>
        <v>70.155602095482777</v>
      </c>
      <c r="D48" s="48">
        <f>IF(121593.52444="","-",121593.52444/1361213.47779*100)</f>
        <v>8.9327299812967862</v>
      </c>
      <c r="E48" s="48">
        <f>IF(85304.66918="","-",85304.66918/1170231.19764*100)</f>
        <v>7.2895569142263126</v>
      </c>
      <c r="F48" s="48">
        <f>IF(OR(1314797.53704="",50518.66389="",121593.52444=""),"-",(121593.52444-50518.66389)/1314797.53704*100)</f>
        <v>5.4057646555994179</v>
      </c>
      <c r="G48" s="48">
        <f>IF(OR(1361213.47779="",85304.66918="",121593.52444=""),"-",(85304.66918-121593.52444)/1361213.47779*100)</f>
        <v>-2.6659194793543199</v>
      </c>
    </row>
    <row r="49" spans="1:7" s="9" customFormat="1" x14ac:dyDescent="0.25">
      <c r="A49" s="47" t="s">
        <v>132</v>
      </c>
      <c r="B49" s="48">
        <f>IF(40324.65371="","-",40324.65371)</f>
        <v>40324.653709999999</v>
      </c>
      <c r="C49" s="60">
        <f>IF(OR(33581.89443="",40324.65371=""),"-",40324.65371/33581.89443*100)</f>
        <v>120.07855540745322</v>
      </c>
      <c r="D49" s="48">
        <f>IF(33581.89443="","-",33581.89443/1361213.47779*100)</f>
        <v>2.467055680680001</v>
      </c>
      <c r="E49" s="48">
        <f>IF(40324.65371="","-",40324.65371/1170231.19764*100)</f>
        <v>3.4458706784883661</v>
      </c>
      <c r="F49" s="48">
        <f>IF(OR(1314797.53704="",29088.33905="",33581.89443=""),"-",(33581.89443-29088.33905)/1314797.53704*100)</f>
        <v>0.34176785804728005</v>
      </c>
      <c r="G49" s="48">
        <f>IF(OR(1361213.47779="",40324.65371="",33581.89443=""),"-",(40324.65371-33581.89443)/1361213.47779*100)</f>
        <v>0.49534914177805633</v>
      </c>
    </row>
    <row r="50" spans="1:7" s="14" customFormat="1" ht="25.5" x14ac:dyDescent="0.25">
      <c r="A50" s="47" t="s">
        <v>126</v>
      </c>
      <c r="B50" s="48">
        <f>IF(18617.51527="","-",18617.51527)</f>
        <v>18617.51527</v>
      </c>
      <c r="C50" s="60">
        <f>IF(OR(26145.7018="",18617.51527=""),"-",18617.51527/26145.7018*100)</f>
        <v>71.206791129240216</v>
      </c>
      <c r="D50" s="48">
        <f>IF(26145.7018="","-",26145.7018/1361213.47779*100)</f>
        <v>1.9207642465051764</v>
      </c>
      <c r="E50" s="48">
        <f>IF(18617.51527="","-",18617.51527/1170231.19764*100)</f>
        <v>1.5909262466720988</v>
      </c>
      <c r="F50" s="48">
        <f>IF(OR(1314797.53704="",42788.61837="",26145.7018=""),"-",(26145.7018-42788.61837)/1314797.53704*100)</f>
        <v>-1.2658159223106051</v>
      </c>
      <c r="G50" s="48">
        <f>IF(OR(1361213.47779="",18617.51527="",26145.7018=""),"-",(18617.51527-26145.7018)/1361213.47779*100)</f>
        <v>-0.55304966141111067</v>
      </c>
    </row>
    <row r="51" spans="1:7" s="16" customFormat="1" x14ac:dyDescent="0.25">
      <c r="A51" s="47" t="s">
        <v>19</v>
      </c>
      <c r="B51" s="48">
        <f>IF(12373.1087="","-",12373.1087)</f>
        <v>12373.108700000001</v>
      </c>
      <c r="C51" s="60">
        <f>IF(OR(11108.34418="",12373.1087=""),"-",12373.1087/11108.34418*100)</f>
        <v>111.38571599426261</v>
      </c>
      <c r="D51" s="48">
        <f>IF(11108.34418="","-",11108.34418/1361213.47779*100)</f>
        <v>0.81606187135576758</v>
      </c>
      <c r="E51" s="48">
        <f>IF(12373.1087="","-",12373.1087/1170231.19764*100)</f>
        <v>1.0573217262497183</v>
      </c>
      <c r="F51" s="48">
        <f>IF(OR(1314797.53704="",11119.41616="",11108.34418=""),"-",(11108.34418-11119.41616)/1314797.53704*100)</f>
        <v>-8.4210531949481266E-4</v>
      </c>
      <c r="G51" s="48">
        <f>IF(OR(1361213.47779="",12373.1087="",11108.34418=""),"-",(12373.1087-11108.34418)/1361213.47779*100)</f>
        <v>9.2914487010032465E-2</v>
      </c>
    </row>
    <row r="52" spans="1:7" s="9" customFormat="1" x14ac:dyDescent="0.25">
      <c r="A52" s="47" t="s">
        <v>59</v>
      </c>
      <c r="B52" s="48">
        <f>IF(9223.45418="","-",9223.45418)</f>
        <v>9223.4541800000006</v>
      </c>
      <c r="C52" s="60">
        <f>IF(OR(9074.14472="",9223.45418=""),"-",9223.45418/9074.14472*100)</f>
        <v>101.6454383813266</v>
      </c>
      <c r="D52" s="48">
        <f>IF(9074.14472="","-",9074.14472/1361213.47779*100)</f>
        <v>0.66662172157833322</v>
      </c>
      <c r="E52" s="48">
        <f>IF(9223.45418="","-",9223.45418/1170231.19764*100)</f>
        <v>0.78817367017738893</v>
      </c>
      <c r="F52" s="48">
        <f>IF(OR(1314797.53704="",11149.36356="",9074.14472=""),"-",(9074.14472-11149.36356)/1314797.53704*100)</f>
        <v>-0.15783561967053375</v>
      </c>
      <c r="G52" s="48">
        <f>IF(OR(1361213.47779="",9223.45418="",9074.14472=""),"-",(9223.45418-9074.14472)/1361213.47779*100)</f>
        <v>1.0968849665109985E-2</v>
      </c>
    </row>
    <row r="53" spans="1:7" s="16" customFormat="1" x14ac:dyDescent="0.25">
      <c r="A53" s="47" t="s">
        <v>61</v>
      </c>
      <c r="B53" s="48">
        <f>IF(8269.452="","-",8269.452)</f>
        <v>8269.4519999999993</v>
      </c>
      <c r="C53" s="60">
        <f>IF(OR(7795.97754="",8269.452=""),"-",8269.452/7795.97754*100)</f>
        <v>106.07331739439567</v>
      </c>
      <c r="D53" s="48">
        <f>IF(7795.97754="","-",7795.97754/1361213.47779*100)</f>
        <v>0.57272262339461777</v>
      </c>
      <c r="E53" s="48">
        <f>IF(8269.452="","-",8269.452/1170231.19764*100)</f>
        <v>0.70665113156075199</v>
      </c>
      <c r="F53" s="48">
        <f>IF(OR(1314797.53704="",8492.50015="",7795.97754=""),"-",(7795.97754-8492.50015)/1314797.53704*100)</f>
        <v>-5.2975655215180835E-2</v>
      </c>
      <c r="G53" s="48">
        <f>IF(OR(1361213.47779="",8269.452="",7795.97754=""),"-",(8269.452-7795.97754)/1361213.47779*100)</f>
        <v>3.4783262708264512E-2</v>
      </c>
    </row>
    <row r="54" spans="1:7" s="14" customFormat="1" x14ac:dyDescent="0.25">
      <c r="A54" s="47" t="s">
        <v>60</v>
      </c>
      <c r="B54" s="48">
        <f>IF(4696.94796="","-",4696.94796)</f>
        <v>4696.9479600000004</v>
      </c>
      <c r="C54" s="60">
        <f>IF(OR(7885.86709="",4696.94796=""),"-",4696.94796/7885.86709*100)</f>
        <v>59.561591723453724</v>
      </c>
      <c r="D54" s="48">
        <f>IF(7885.86709="","-",7885.86709/1361213.47779*100)</f>
        <v>0.57932625695148943</v>
      </c>
      <c r="E54" s="48">
        <f>IF(4696.94796="","-",4696.94796/1170231.19764*100)</f>
        <v>0.40136923109487382</v>
      </c>
      <c r="F54" s="48">
        <f>IF(OR(1314797.53704="",8243.38655="",7885.86709=""),"-",(7885.86709-8243.38655)/1314797.53704*100)</f>
        <v>-2.7191978226920176E-2</v>
      </c>
      <c r="G54" s="48">
        <f>IF(OR(1361213.47779="",4696.94796="",7885.86709=""),"-",(4696.94796-7885.86709)/1361213.47779*100)</f>
        <v>-0.23427031703927687</v>
      </c>
    </row>
    <row r="55" spans="1:7" s="9" customFormat="1" x14ac:dyDescent="0.25">
      <c r="A55" s="47" t="s">
        <v>66</v>
      </c>
      <c r="B55" s="48">
        <f>IF(4405.77965="","-",4405.77965)</f>
        <v>4405.7796500000004</v>
      </c>
      <c r="C55" s="60">
        <f>IF(OR(5429.68179="",4405.77965=""),"-",4405.77965/5429.68179*100)</f>
        <v>81.142501907096118</v>
      </c>
      <c r="D55" s="48">
        <f>IF(5429.68179="","-",5429.68179/1361213.47779*100)</f>
        <v>0.39888539737465484</v>
      </c>
      <c r="E55" s="48">
        <f>IF(4405.77965="","-",4405.77965/1170231.19764*100)</f>
        <v>0.37648796741063789</v>
      </c>
      <c r="F55" s="48">
        <f>IF(OR(1314797.53704="",2456.8936="",5429.68179=""),"-",(5429.68179-2456.8936)/1314797.53704*100)</f>
        <v>0.22610235464029155</v>
      </c>
      <c r="G55" s="48">
        <f>IF(OR(1361213.47779="",4405.77965="",5429.68179=""),"-",(4405.77965-5429.68179)/1361213.47779*100)</f>
        <v>-7.5219806202797598E-2</v>
      </c>
    </row>
    <row r="56" spans="1:7" s="9" customFormat="1" x14ac:dyDescent="0.25">
      <c r="A56" s="47" t="s">
        <v>67</v>
      </c>
      <c r="B56" s="48">
        <f>IF(4090.58002="","-",4090.58002)</f>
        <v>4090.5800199999999</v>
      </c>
      <c r="C56" s="60">
        <f>IF(OR(5160.84755="",4090.58002=""),"-",4090.58002/5160.84755*100)</f>
        <v>79.2617875333287</v>
      </c>
      <c r="D56" s="48">
        <f>IF(5160.84755="","-",5160.84755/1361213.47779*100)</f>
        <v>0.37913579568569228</v>
      </c>
      <c r="E56" s="48">
        <f>IF(4090.58002="","-",4090.58002/1170231.19764*100)</f>
        <v>0.34955315054405101</v>
      </c>
      <c r="F56" s="48">
        <f>IF(OR(1314797.53704="",13895.07837="",5160.84755=""),"-",(5160.84755-13895.07837)/1314797.53704*100)</f>
        <v>-0.66430234115461972</v>
      </c>
      <c r="G56" s="48">
        <f>IF(OR(1361213.47779="",4090.58002="",5160.84755=""),"-",(4090.58002-5160.84755)/1361213.47779*100)</f>
        <v>-7.8625986846503668E-2</v>
      </c>
    </row>
    <row r="57" spans="1:7" s="16" customFormat="1" x14ac:dyDescent="0.25">
      <c r="A57" s="47" t="s">
        <v>58</v>
      </c>
      <c r="B57" s="48">
        <f>IF(3634.05403="","-",3634.05403)</f>
        <v>3634.0540299999998</v>
      </c>
      <c r="C57" s="60">
        <f>IF(OR(6056.02068="",3634.05403=""),"-",3634.05403/6056.02068*100)</f>
        <v>60.007292280250269</v>
      </c>
      <c r="D57" s="48">
        <f>IF(6056.02068="","-",6056.02068/1361213.47779*100)</f>
        <v>0.44489867157591334</v>
      </c>
      <c r="E57" s="48">
        <f>IF(3634.05403="","-",3634.05403/1170231.19764*100)</f>
        <v>0.31054154404093653</v>
      </c>
      <c r="F57" s="48">
        <f>IF(OR(1314797.53704="",7114.90611="",6056.02068=""),"-",(6056.02068-7114.90611)/1314797.53704*100)</f>
        <v>-8.0536006508185737E-2</v>
      </c>
      <c r="G57" s="48">
        <f>IF(OR(1361213.47779="",3634.05403="",6056.02068=""),"-",(3634.05403-6056.02068)/1361213.47779*100)</f>
        <v>-0.17792702537240426</v>
      </c>
    </row>
    <row r="58" spans="1:7" s="9" customFormat="1" x14ac:dyDescent="0.25">
      <c r="A58" s="47" t="s">
        <v>133</v>
      </c>
      <c r="B58" s="48">
        <f>IF(2918.2464="","-",2918.2464)</f>
        <v>2918.2464</v>
      </c>
      <c r="C58" s="60">
        <f>IF(OR(7034.04313="",2918.2464=""),"-",2918.2464/7034.04313*100)</f>
        <v>41.487468104279309</v>
      </c>
      <c r="D58" s="48">
        <f>IF(7034.04313="","-",7034.04313/1361213.47779*100)</f>
        <v>0.51674797853310495</v>
      </c>
      <c r="E58" s="48">
        <f>IF(2918.2464="","-",2918.2464/1170231.19764*100)</f>
        <v>0.24937349182667617</v>
      </c>
      <c r="F58" s="48">
        <f>IF(OR(1314797.53704="",1814.36371="",7034.04313=""),"-",(7034.04313-1814.36371)/1314797.53704*100)</f>
        <v>0.39699491921402974</v>
      </c>
      <c r="G58" s="48">
        <f>IF(OR(1361213.47779="",2918.2464="",7034.04313=""),"-",(2918.2464-7034.04313)/1361213.47779*100)</f>
        <v>-0.30236232575967498</v>
      </c>
    </row>
    <row r="59" spans="1:7" s="14" customFormat="1" x14ac:dyDescent="0.25">
      <c r="A59" s="47" t="s">
        <v>69</v>
      </c>
      <c r="B59" s="48">
        <f>IF(2659.16345="","-",2659.16345)</f>
        <v>2659.16345</v>
      </c>
      <c r="C59" s="60">
        <f>IF(OR(4922.58227="",2659.16345=""),"-",2659.16345/4922.58227*100)</f>
        <v>54.01968528196889</v>
      </c>
      <c r="D59" s="48">
        <f>IF(4922.58227="","-",4922.58227/1361213.47779*100)</f>
        <v>0.36163190787620364</v>
      </c>
      <c r="E59" s="48">
        <f>IF(2659.16345="","-",2659.16345/1170231.19764*100)</f>
        <v>0.22723402481174002</v>
      </c>
      <c r="F59" s="48">
        <f>IF(OR(1314797.53704="",2177.23762="",4922.58227=""),"-",(4922.58227-2177.23762)/1314797.53704*100)</f>
        <v>0.20880360455957245</v>
      </c>
      <c r="G59" s="48">
        <f>IF(OR(1361213.47779="",2659.16345="",4922.58227=""),"-",(2659.16345-4922.58227)/1361213.47779*100)</f>
        <v>-0.16627948936229878</v>
      </c>
    </row>
    <row r="60" spans="1:7" s="9" customFormat="1" x14ac:dyDescent="0.25">
      <c r="A60" s="47" t="s">
        <v>38</v>
      </c>
      <c r="B60" s="48">
        <f>IF(2634.19724="","-",2634.19724)</f>
        <v>2634.19724</v>
      </c>
      <c r="C60" s="60" t="s">
        <v>107</v>
      </c>
      <c r="D60" s="48">
        <f>IF(1644.15261="","-",1644.15261/1361213.47779*100)</f>
        <v>0.12078580155328512</v>
      </c>
      <c r="E60" s="48">
        <f>IF(2634.19724="","-",2634.19724/1170231.19764*100)</f>
        <v>0.22510058228770299</v>
      </c>
      <c r="F60" s="48">
        <f>IF(OR(1314797.53704="",2921.3012="",1644.15261=""),"-",(1644.15261-2921.3012)/1314797.53704*100)</f>
        <v>-9.7136521328997985E-2</v>
      </c>
      <c r="G60" s="48">
        <f>IF(OR(1361213.47779="",2634.19724="",1644.15261=""),"-",(2634.19724-1644.15261)/1361213.47779*100)</f>
        <v>7.2732502737732824E-2</v>
      </c>
    </row>
    <row r="61" spans="1:7" s="14" customFormat="1" x14ac:dyDescent="0.25">
      <c r="A61" s="47" t="s">
        <v>63</v>
      </c>
      <c r="B61" s="48">
        <f>IF(2490.22242="","-",2490.22242)</f>
        <v>2490.2224200000001</v>
      </c>
      <c r="C61" s="60">
        <f>IF(OR(4498.12174="",2490.22242=""),"-",2490.22242/4498.12174*100)</f>
        <v>55.361383349308824</v>
      </c>
      <c r="D61" s="48">
        <f>IF(4498.12174="","-",4498.12174/1361213.47779*100)</f>
        <v>0.33044939779048704</v>
      </c>
      <c r="E61" s="48">
        <f>IF(2490.22242="","-",2490.22242/1170231.19764*100)</f>
        <v>0.2127974732704119</v>
      </c>
      <c r="F61" s="48">
        <f>IF(OR(1314797.53704="",1685.98509="",4498.12174=""),"-",(4498.12174-1685.98509)/1314797.53704*100)</f>
        <v>0.21388362624491633</v>
      </c>
      <c r="G61" s="48">
        <f>IF(OR(1361213.47779="",2490.22242="",4498.12174=""),"-",(2490.22242-4498.12174)/1361213.47779*100)</f>
        <v>-0.14750803990421307</v>
      </c>
    </row>
    <row r="62" spans="1:7" s="9" customFormat="1" x14ac:dyDescent="0.25">
      <c r="A62" s="47" t="s">
        <v>62</v>
      </c>
      <c r="B62" s="48">
        <f>IF(2412.38479="","-",2412.38479)</f>
        <v>2412.3847900000001</v>
      </c>
      <c r="C62" s="60">
        <f>IF(OR(2051.78877="",2412.38479=""),"-",2412.38479/2051.78877*100)</f>
        <v>117.5747145745417</v>
      </c>
      <c r="D62" s="48">
        <f>IF(2051.78877="","-",2051.78877/1361213.47779*100)</f>
        <v>0.15073232843177434</v>
      </c>
      <c r="E62" s="48">
        <f>IF(2412.38479="","-",2412.38479/1170231.19764*100)</f>
        <v>0.20614599874495279</v>
      </c>
      <c r="F62" s="48">
        <f>IF(OR(1314797.53704="",2974.82416="",2051.78877=""),"-",(2051.78877-2974.82416)/1314797.53704*100)</f>
        <v>-7.0203614168461784E-2</v>
      </c>
      <c r="G62" s="48">
        <f>IF(OR(1361213.47779="",2412.38479="",2051.78877=""),"-",(2412.38479-2051.78877)/1361213.47779*100)</f>
        <v>2.6490776493445112E-2</v>
      </c>
    </row>
    <row r="63" spans="1:7" s="14" customFormat="1" x14ac:dyDescent="0.25">
      <c r="A63" s="47" t="s">
        <v>68</v>
      </c>
      <c r="B63" s="48">
        <f>IF(2314.69693="","-",2314.69693)</f>
        <v>2314.6969300000001</v>
      </c>
      <c r="C63" s="60" t="s">
        <v>291</v>
      </c>
      <c r="D63" s="48">
        <f>IF(22.26872="","-",22.26872/1361213.47779*100)</f>
        <v>1.6359461879671079E-3</v>
      </c>
      <c r="E63" s="48">
        <f>IF(2314.69693="","-",2314.69693/1170231.19764*100)</f>
        <v>0.19779825855506494</v>
      </c>
      <c r="F63" s="48">
        <f>IF(OR(1314797.53704="",11.3388="",22.26872=""),"-",(22.26872-11.3388)/1314797.53704*100)</f>
        <v>8.3130061413154866E-4</v>
      </c>
      <c r="G63" s="48">
        <f>IF(OR(1361213.47779="",2314.69693="",22.26872=""),"-",(2314.69693-22.26872)/1361213.47779*100)</f>
        <v>0.16841063120546493</v>
      </c>
    </row>
    <row r="64" spans="1:7" s="9" customFormat="1" x14ac:dyDescent="0.25">
      <c r="A64" s="47" t="s">
        <v>40</v>
      </c>
      <c r="B64" s="48">
        <f>IF(1309.92535="","-",1309.92535)</f>
        <v>1309.92535</v>
      </c>
      <c r="C64" s="60">
        <f>IF(OR(1150.83465="",1309.92535=""),"-",1309.92535/1150.83465*100)</f>
        <v>113.82394073727274</v>
      </c>
      <c r="D64" s="48">
        <f>IF(1150.83465="","-",1150.83465/1361213.47779*100)</f>
        <v>8.4544758686083479E-2</v>
      </c>
      <c r="E64" s="48">
        <f>IF(1309.92535="","-",1309.92535/1170231.19764*100)</f>
        <v>0.11193731227143154</v>
      </c>
      <c r="F64" s="48">
        <f>IF(OR(1314797.53704="",440.43995="",1150.83465=""),"-",(1150.83465-440.43995)/1314797.53704*100)</f>
        <v>5.403072944594265E-2</v>
      </c>
      <c r="G64" s="48">
        <f>IF(OR(1361213.47779="",1309.92535="",1150.83465=""),"-",(1309.92535-1150.83465)/1361213.47779*100)</f>
        <v>1.1687417337234414E-2</v>
      </c>
    </row>
    <row r="65" spans="1:7" s="9" customFormat="1" x14ac:dyDescent="0.25">
      <c r="A65" s="47" t="s">
        <v>77</v>
      </c>
      <c r="B65" s="48">
        <f>IF(1041.82748="","-",1041.82748)</f>
        <v>1041.8274799999999</v>
      </c>
      <c r="C65" s="60" t="s">
        <v>130</v>
      </c>
      <c r="D65" s="48">
        <f>IF(675.66082="","-",675.66082/1361213.47779*100)</f>
        <v>4.9636653693509558E-2</v>
      </c>
      <c r="E65" s="48">
        <f>IF(1041.82748="","-",1041.82748/1170231.19764*100)</f>
        <v>8.9027491499205358E-2</v>
      </c>
      <c r="F65" s="48">
        <f>IF(OR(1314797.53704="",633.85184="",675.66082=""),"-",(675.66082-633.85184)/1314797.53704*100)</f>
        <v>3.179879701792288E-3</v>
      </c>
      <c r="G65" s="48">
        <f>IF(OR(1361213.47779="",1041.82748="",675.66082=""),"-",(1041.82748-675.66082)/1361213.47779*100)</f>
        <v>2.6900017225401734E-2</v>
      </c>
    </row>
    <row r="66" spans="1:7" s="14" customFormat="1" x14ac:dyDescent="0.25">
      <c r="A66" s="47" t="s">
        <v>88</v>
      </c>
      <c r="B66" s="48">
        <f>IF(999.12187="","-",999.12187)</f>
        <v>999.12186999999994</v>
      </c>
      <c r="C66" s="60" t="s">
        <v>292</v>
      </c>
      <c r="D66" s="48">
        <f>IF(93.32974="","-",93.32974/1361213.47779*100)</f>
        <v>6.8563632025981421E-3</v>
      </c>
      <c r="E66" s="48">
        <f>IF(999.12187="","-",999.12187/1170231.19764*100)</f>
        <v>8.5378160487852711E-2</v>
      </c>
      <c r="F66" s="48">
        <f>IF(OR(1314797.53704="",54.8751="",93.32974=""),"-",(93.32974-54.8751)/1314797.53704*100)</f>
        <v>2.9247575323705591E-3</v>
      </c>
      <c r="G66" s="48">
        <f>IF(OR(1361213.47779="",999.12187="",93.32974=""),"-",(999.12187-93.32974)/1361213.47779*100)</f>
        <v>6.6542988647937867E-2</v>
      </c>
    </row>
    <row r="67" spans="1:7" s="16" customFormat="1" x14ac:dyDescent="0.25">
      <c r="A67" s="47" t="s">
        <v>71</v>
      </c>
      <c r="B67" s="48">
        <f>IF(789.02332="","-",789.02332)</f>
        <v>789.02332000000001</v>
      </c>
      <c r="C67" s="60" t="s">
        <v>293</v>
      </c>
      <c r="D67" s="48">
        <f>IF(103.39917="","-",103.39917/1361213.47779*100)</f>
        <v>7.5961024253061232E-3</v>
      </c>
      <c r="E67" s="48">
        <f>IF(789.02332="","-",789.02332/1170231.19764*100)</f>
        <v>6.7424567178795081E-2</v>
      </c>
      <c r="F67" s="48">
        <f>IF(OR(1314797.53704="",587.15407="",103.39917=""),"-",(103.39917-587.15407)/1314797.53704*100)</f>
        <v>-3.6793109689654276E-2</v>
      </c>
      <c r="G67" s="48">
        <f>IF(OR(1361213.47779="",789.02332="",103.39917=""),"-",(789.02332-103.39917)/1361213.47779*100)</f>
        <v>5.0368598400388015E-2</v>
      </c>
    </row>
    <row r="68" spans="1:7" s="9" customFormat="1" x14ac:dyDescent="0.25">
      <c r="A68" s="47" t="s">
        <v>198</v>
      </c>
      <c r="B68" s="48">
        <f>IF(773.8238="","-",773.8238)</f>
        <v>773.82380000000001</v>
      </c>
      <c r="C68" s="60">
        <f>IF(OR(740.01132="",773.8238=""),"-",773.8238/740.01132*100)</f>
        <v>104.56918415788559</v>
      </c>
      <c r="D68" s="48">
        <f>IF(740.01132="","-",740.01132/1361213.47779*100)</f>
        <v>5.4364089988401115E-2</v>
      </c>
      <c r="E68" s="48">
        <f>IF(773.8238="","-",773.8238/1170231.19764*100)</f>
        <v>6.612571956384064E-2</v>
      </c>
      <c r="F68" s="48">
        <f>IF(OR(1314797.53704="",698.55624="",740.01132=""),"-",(740.01132-698.55624)/1314797.53704*100)</f>
        <v>3.1529630100561078E-3</v>
      </c>
      <c r="G68" s="48">
        <f>IF(OR(1361213.47779="",773.8238="",740.01132=""),"-",(773.8238-740.01132)/1361213.47779*100)</f>
        <v>2.4839953873286905E-3</v>
      </c>
    </row>
    <row r="69" spans="1:7" s="9" customFormat="1" x14ac:dyDescent="0.25">
      <c r="A69" s="47" t="s">
        <v>146</v>
      </c>
      <c r="B69" s="48">
        <f>IF(714.53201="","-",714.53201)</f>
        <v>714.53201000000001</v>
      </c>
      <c r="C69" s="60">
        <f>IF(OR(550.83271="",714.53201=""),"-",714.53201/550.83271*100)</f>
        <v>129.71851471928747</v>
      </c>
      <c r="D69" s="48">
        <f>IF(550.83271="","-",550.83271/1361213.47779*100)</f>
        <v>4.0466298562831252E-2</v>
      </c>
      <c r="E69" s="48">
        <f>IF(714.53201="","-",714.53201/1170231.19764*100)</f>
        <v>6.1059046403906643E-2</v>
      </c>
      <c r="F69" s="48">
        <f>IF(OR(1314797.53704="",1176.8329="",550.83271=""),"-",(550.83271-1176.8329)/1314797.53704*100)</f>
        <v>-4.7611907716933556E-2</v>
      </c>
      <c r="G69" s="48">
        <f>IF(OR(1361213.47779="",714.53201="",550.83271=""),"-",(714.53201-550.83271)/1361213.47779*100)</f>
        <v>1.2025982894745813E-2</v>
      </c>
    </row>
    <row r="70" spans="1:7" s="9" customFormat="1" x14ac:dyDescent="0.25">
      <c r="A70" s="47" t="s">
        <v>139</v>
      </c>
      <c r="B70" s="48">
        <f>IF(602.29359="","-",602.29359)</f>
        <v>602.29358999999999</v>
      </c>
      <c r="C70" s="60" t="s">
        <v>294</v>
      </c>
      <c r="D70" s="48">
        <f>IF(187.01941="","-",187.01941/1361213.47779*100)</f>
        <v>1.3739168253287914E-2</v>
      </c>
      <c r="E70" s="48">
        <f>IF(602.29359="","-",602.29359/1170231.19764*100)</f>
        <v>5.1467914307415735E-2</v>
      </c>
      <c r="F70" s="48">
        <f>IF(OR(1314797.53704="",7.147="",187.01941=""),"-",(187.01941-7.147)/1314797.53704*100)</f>
        <v>1.3680616591733679E-2</v>
      </c>
      <c r="G70" s="48">
        <f>IF(OR(1361213.47779="",602.29359="",187.01941=""),"-",(602.29359-187.01941)/1361213.47779*100)</f>
        <v>3.0507645330857217E-2</v>
      </c>
    </row>
    <row r="71" spans="1:7" s="9" customFormat="1" x14ac:dyDescent="0.25">
      <c r="A71" s="47" t="s">
        <v>78</v>
      </c>
      <c r="B71" s="48">
        <f>IF(592.72355="","-",592.72355)</f>
        <v>592.72355000000005</v>
      </c>
      <c r="C71" s="60">
        <f>IF(OR(674.69314="",592.72355=""),"-",592.72355/674.69314*100)</f>
        <v>87.850833936150593</v>
      </c>
      <c r="D71" s="48">
        <f>IF(674.69314="","-",674.69314/1361213.47779*100)</f>
        <v>4.9565564182878871E-2</v>
      </c>
      <c r="E71" s="48">
        <f>IF(592.72355="","-",592.72355/1170231.19764*100)</f>
        <v>5.0650123770015959E-2</v>
      </c>
      <c r="F71" s="48">
        <f>IF(OR(1314797.53704="",825.35515="",674.69314=""),"-",(674.69314-825.35515)/1314797.53704*100)</f>
        <v>-1.1458951340841796E-2</v>
      </c>
      <c r="G71" s="48">
        <f>IF(OR(1361213.47779="",592.72355="",674.69314=""),"-",(592.72355-674.69314)/1361213.47779*100)</f>
        <v>-6.0218027030618133E-3</v>
      </c>
    </row>
    <row r="72" spans="1:7" s="9" customFormat="1" x14ac:dyDescent="0.25">
      <c r="A72" s="47" t="s">
        <v>94</v>
      </c>
      <c r="B72" s="48">
        <f>IF(579.12718="","-",579.12718)</f>
        <v>579.12717999999995</v>
      </c>
      <c r="C72" s="60" t="s">
        <v>290</v>
      </c>
      <c r="D72" s="48">
        <f>IF(49.39613="","-",49.39613/1361213.47779*100)</f>
        <v>3.6288305108613203E-3</v>
      </c>
      <c r="E72" s="48">
        <f>IF(579.12718="","-",579.12718/1170231.19764*100)</f>
        <v>4.9488270451849441E-2</v>
      </c>
      <c r="F72" s="48">
        <f>IF(OR(1314797.53704="",101.94671="",49.39613=""),"-",(49.39613-101.94671)/1314797.53704*100)</f>
        <v>-3.9968571981285391E-3</v>
      </c>
      <c r="G72" s="48">
        <f>IF(OR(1361213.47779="",579.12718="",49.39613=""),"-",(579.12718-49.39613)/1361213.47779*100)</f>
        <v>3.8916089110434433E-2</v>
      </c>
    </row>
    <row r="73" spans="1:7" s="9" customFormat="1" x14ac:dyDescent="0.25">
      <c r="A73" s="47" t="s">
        <v>73</v>
      </c>
      <c r="B73" s="48">
        <f>IF(574.86521="","-",574.86521)</f>
        <v>574.86521000000005</v>
      </c>
      <c r="C73" s="60">
        <f>IF(OR(775.00323="",574.86521=""),"-",574.86521/775.00323*100)</f>
        <v>74.175846983244185</v>
      </c>
      <c r="D73" s="48">
        <f>IF(775.00323="","-",775.00323/1361213.47779*100)</f>
        <v>5.693473085928135E-2</v>
      </c>
      <c r="E73" s="48">
        <f>IF(574.86521="","-",574.86521/1170231.19764*100)</f>
        <v>4.9124071479151148E-2</v>
      </c>
      <c r="F73" s="48">
        <f>IF(OR(1314797.53704="",433.97085="",775.00323=""),"-",(775.00323-433.97085)/1314797.53704*100)</f>
        <v>2.5938014819206708E-2</v>
      </c>
      <c r="G73" s="48">
        <f>IF(OR(1361213.47779="",574.86521="",775.00323=""),"-",(574.86521-775.00323)/1361213.47779*100)</f>
        <v>-1.4702912016778907E-2</v>
      </c>
    </row>
    <row r="74" spans="1:7" s="9" customFormat="1" x14ac:dyDescent="0.25">
      <c r="A74" s="47" t="s">
        <v>86</v>
      </c>
      <c r="B74" s="48">
        <f>IF(564.59884="","-",564.59884)</f>
        <v>564.59884</v>
      </c>
      <c r="C74" s="60">
        <f>IF(OR(1644.32272="",564.59884=""),"-",564.59884/1644.32272*100)</f>
        <v>34.336254868509023</v>
      </c>
      <c r="D74" s="48">
        <f>IF(1644.32272="","-",1644.32272/1361213.47779*100)</f>
        <v>0.12079829849096428</v>
      </c>
      <c r="E74" s="48">
        <f>IF(564.59884="","-",564.59884/1170231.19764*100)</f>
        <v>4.8246777315339391E-2</v>
      </c>
      <c r="F74" s="48">
        <f>IF(OR(1314797.53704="",1090.70602="",1644.32272=""),"-",(1644.32272-1090.70602)/1314797.53704*100)</f>
        <v>4.2106612189611752E-2</v>
      </c>
      <c r="G74" s="48">
        <f>IF(OR(1361213.47779="",564.59884="",1644.32272=""),"-",(564.59884-1644.32272)/1361213.47779*100)</f>
        <v>-7.9320686844284505E-2</v>
      </c>
    </row>
    <row r="75" spans="1:7" s="9" customFormat="1" x14ac:dyDescent="0.25">
      <c r="A75" s="47" t="s">
        <v>112</v>
      </c>
      <c r="B75" s="48">
        <f>IF(557.97836="","-",557.97836)</f>
        <v>557.97835999999995</v>
      </c>
      <c r="C75" s="60">
        <f>IF(OR(845.50047="",557.97836=""),"-",557.97836/845.50047*100)</f>
        <v>65.993855686443311</v>
      </c>
      <c r="D75" s="48">
        <f>IF(845.50047="","-",845.50047/1361213.47779*100)</f>
        <v>6.2113730417415018E-2</v>
      </c>
      <c r="E75" s="48">
        <f>IF(557.97836="","-",557.97836/1170231.19764*100)</f>
        <v>4.7681036117074339E-2</v>
      </c>
      <c r="F75" s="48">
        <f>IF(OR(1314797.53704="",545.57265="",845.50047=""),"-",(845.50047-545.57265)/1314797.53704*100)</f>
        <v>2.2811711427086077E-2</v>
      </c>
      <c r="G75" s="48">
        <f>IF(OR(1361213.47779="",557.97836="",845.50047=""),"-",(557.97836-845.50047)/1361213.47779*100)</f>
        <v>-2.1122484804279702E-2</v>
      </c>
    </row>
    <row r="76" spans="1:7" s="9" customFormat="1" x14ac:dyDescent="0.25">
      <c r="A76" s="47" t="s">
        <v>65</v>
      </c>
      <c r="B76" s="48">
        <f>IF(432.21897="","-",432.21897)</f>
        <v>432.21897000000001</v>
      </c>
      <c r="C76" s="60">
        <f>IF(OR(701.07757="",432.21897=""),"-",432.21897/701.07757*100)</f>
        <v>61.650662992969515</v>
      </c>
      <c r="D76" s="48">
        <f>IF(701.07757="","-",701.07757/1361213.47779*100)</f>
        <v>5.1503866325084843E-2</v>
      </c>
      <c r="E76" s="48">
        <f>IF(432.21897="","-",432.21897/1170231.19764*100)</f>
        <v>3.6934493873659678E-2</v>
      </c>
      <c r="F76" s="48">
        <f>IF(OR(1314797.53704="",1806.41989="",701.07757=""),"-",(701.07757-1806.41989)/1314797.53704*100)</f>
        <v>-8.4069393869451087E-2</v>
      </c>
      <c r="G76" s="48">
        <f>IF(OR(1361213.47779="",432.21897="",701.07757=""),"-",(432.21897-701.07757)/1361213.47779*100)</f>
        <v>-1.975139126865727E-2</v>
      </c>
    </row>
    <row r="77" spans="1:7" x14ac:dyDescent="0.25">
      <c r="A77" s="47" t="s">
        <v>39</v>
      </c>
      <c r="B77" s="48">
        <f>IF(409.46126="","-",409.46126)</f>
        <v>409.46125999999998</v>
      </c>
      <c r="C77" s="60">
        <f>IF(OR(568.81406="",409.46126=""),"-",409.46126/568.81406*100)</f>
        <v>71.98508067820967</v>
      </c>
      <c r="D77" s="48">
        <f>IF(568.81406="","-",568.81406/1361213.47779*100)</f>
        <v>4.1787277989893172E-2</v>
      </c>
      <c r="E77" s="48">
        <f>IF(409.46126="","-",409.46126/1170231.19764*100)</f>
        <v>3.4989774740731464E-2</v>
      </c>
      <c r="F77" s="48">
        <f>IF(OR(1314797.53704="",130.00785="",568.81406=""),"-",(568.81406-130.00785)/1314797.53704*100)</f>
        <v>3.33744320047848E-2</v>
      </c>
      <c r="G77" s="48">
        <f>IF(OR(1361213.47779="",409.46126="",568.81406=""),"-",(409.46126-568.81406)/1361213.47779*100)</f>
        <v>-1.1706672215640821E-2</v>
      </c>
    </row>
    <row r="78" spans="1:7" x14ac:dyDescent="0.25">
      <c r="A78" s="47" t="s">
        <v>76</v>
      </c>
      <c r="B78" s="48">
        <f>IF(381.21341="","-",381.21341)</f>
        <v>381.21341000000001</v>
      </c>
      <c r="C78" s="60">
        <f>IF(OR(1273.77288="",381.21341=""),"-",381.21341/1273.77288*100)</f>
        <v>29.927894994906783</v>
      </c>
      <c r="D78" s="48">
        <f>IF(1273.77288="","-",1273.77288/1361213.47779*100)</f>
        <v>9.3576275931974734E-2</v>
      </c>
      <c r="E78" s="48">
        <f>IF(381.21341="","-",381.21341/1170231.19764*100)</f>
        <v>3.257590557906774E-2</v>
      </c>
      <c r="F78" s="48">
        <f>IF(OR(1314797.53704="",8349.10914="",1273.77288=""),"-",(1273.77288-8349.10914)/1314797.53704*100)</f>
        <v>-0.53813123775153127</v>
      </c>
      <c r="G78" s="48">
        <f>IF(OR(1361213.47779="",381.21341="",1273.77288=""),"-",(381.21341-1273.77288)/1361213.47779*100)</f>
        <v>-6.5570866330909097E-2</v>
      </c>
    </row>
    <row r="79" spans="1:7" x14ac:dyDescent="0.25">
      <c r="A79" s="47" t="s">
        <v>83</v>
      </c>
      <c r="B79" s="48">
        <f>IF(302.39389="","-",302.39389)</f>
        <v>302.39389</v>
      </c>
      <c r="C79" s="60" t="s">
        <v>295</v>
      </c>
      <c r="D79" s="48">
        <f>IF(1.9226="","-",1.9226/1361213.47779*100)</f>
        <v>1.4124162237369556E-4</v>
      </c>
      <c r="E79" s="48">
        <f>IF(302.39389="","-",302.39389/1170231.19764*100)</f>
        <v>2.5840525411545721E-2</v>
      </c>
      <c r="F79" s="48">
        <f>IF(OR(1314797.53704="",879.76914="",1.9226=""),"-",(1.9226-879.76914)/1314797.53704*100)</f>
        <v>-6.6766670553421739E-2</v>
      </c>
      <c r="G79" s="48">
        <f>IF(OR(1361213.47779="",302.39389="",1.9226=""),"-",(302.39389-1.9226)/1361213.47779*100)</f>
        <v>2.2073781585518135E-2</v>
      </c>
    </row>
    <row r="80" spans="1:7" x14ac:dyDescent="0.25">
      <c r="A80" s="47" t="s">
        <v>104</v>
      </c>
      <c r="B80" s="48">
        <f>IF(267.43318="","-",267.43318)</f>
        <v>267.43317999999999</v>
      </c>
      <c r="C80" s="60" t="s">
        <v>154</v>
      </c>
      <c r="D80" s="48">
        <f>IF(100.98459="","-",100.98459/1361213.47779*100)</f>
        <v>7.418718051774925E-3</v>
      </c>
      <c r="E80" s="48">
        <f>IF(267.43318="","-",267.43318/1170231.19764*100)</f>
        <v>2.2853020885046586E-2</v>
      </c>
      <c r="F80" s="48">
        <f>IF(OR(1314797.53704="",93.57845="",100.98459=""),"-",(100.98459-93.57845)/1314797.53704*100)</f>
        <v>5.6329128944623786E-4</v>
      </c>
      <c r="G80" s="48">
        <f>IF(OR(1361213.47779="",267.43318="",100.98459=""),"-",(267.43318-100.98459)/1361213.47779*100)</f>
        <v>1.2227956357752043E-2</v>
      </c>
    </row>
    <row r="81" spans="1:7" x14ac:dyDescent="0.25">
      <c r="A81" s="47" t="s">
        <v>145</v>
      </c>
      <c r="B81" s="48">
        <f>IF(267.32271="","-",267.32271)</f>
        <v>267.32270999999997</v>
      </c>
      <c r="C81" s="60" t="s">
        <v>296</v>
      </c>
      <c r="D81" s="48">
        <f>IF(40.49731="","-",40.49731/1361213.47779*100)</f>
        <v>2.9750888204361204E-3</v>
      </c>
      <c r="E81" s="48">
        <f>IF(267.32271="","-",267.32271/1170231.19764*100)</f>
        <v>2.2843580870097163E-2</v>
      </c>
      <c r="F81" s="48">
        <f>IF(OR(1314797.53704="",77.69399="",40.49731=""),"-",(40.49731-77.69399)/1314797.53704*100)</f>
        <v>-2.8290804441070661E-3</v>
      </c>
      <c r="G81" s="48">
        <f>IF(OR(1361213.47779="",267.32271="",40.49731=""),"-",(267.32271-40.49731)/1361213.47779*100)</f>
        <v>1.6663470036181443E-2</v>
      </c>
    </row>
    <row r="82" spans="1:7" x14ac:dyDescent="0.25">
      <c r="A82" s="47" t="s">
        <v>72</v>
      </c>
      <c r="B82" s="48">
        <f>IF(266.42357="","-",266.42357)</f>
        <v>266.42356999999998</v>
      </c>
      <c r="C82" s="60">
        <f>IF(OR(544.95549="",266.42357=""),"-",266.42357/544.95549*100)</f>
        <v>48.889051470974252</v>
      </c>
      <c r="D82" s="48">
        <f>IF(544.95549="","-",544.95549/1361213.47779*100)</f>
        <v>4.0034535279856565E-2</v>
      </c>
      <c r="E82" s="48">
        <f>IF(266.42357="","-",266.42357/1170231.19764*100)</f>
        <v>2.27667464802934E-2</v>
      </c>
      <c r="F82" s="48" t="str">
        <f>IF(OR(1314797.53704="",""="",544.95549=""),"-",(544.95549-"")/1314797.53704*100)</f>
        <v>-</v>
      </c>
      <c r="G82" s="48">
        <f>IF(OR(1361213.47779="",266.42357="",544.95549=""),"-",(266.42357-544.95549)/1361213.47779*100)</f>
        <v>-2.0462030720722144E-2</v>
      </c>
    </row>
    <row r="83" spans="1:7" x14ac:dyDescent="0.25">
      <c r="A83" s="47" t="s">
        <v>37</v>
      </c>
      <c r="B83" s="48">
        <f>IF(255.58072="","-",255.58072)</f>
        <v>255.58072000000001</v>
      </c>
      <c r="C83" s="60">
        <f>IF(OR(177.25291="",255.58072=""),"-",255.58072/177.25291*100)</f>
        <v>144.18985843448212</v>
      </c>
      <c r="D83" s="48">
        <f>IF(177.25291="","-",177.25291/1361213.47779*100)</f>
        <v>1.3021683438499245E-2</v>
      </c>
      <c r="E83" s="48">
        <f>IF(255.58072="","-",255.58072/1170231.19764*100)</f>
        <v>2.1840190256030477E-2</v>
      </c>
      <c r="F83" s="48">
        <f>IF(OR(1314797.53704="",178.61707="",177.25291=""),"-",(177.25291-178.61707)/1314797.53704*100)</f>
        <v>-1.0375437750447325E-4</v>
      </c>
      <c r="G83" s="48">
        <f>IF(OR(1361213.47779="",255.58072="",177.25291=""),"-",(255.58072-177.25291)/1361213.47779*100)</f>
        <v>5.7542634772592199E-3</v>
      </c>
    </row>
    <row r="84" spans="1:7" x14ac:dyDescent="0.25">
      <c r="A84" s="47" t="s">
        <v>189</v>
      </c>
      <c r="B84" s="48">
        <f>IF(255.3744="","-",255.3744)</f>
        <v>255.37440000000001</v>
      </c>
      <c r="C84" s="60" t="s">
        <v>297</v>
      </c>
      <c r="D84" s="48">
        <f>IF(8.71721="","-",8.71721/1361213.47779*100)</f>
        <v>6.4039991832528999E-4</v>
      </c>
      <c r="E84" s="48">
        <f>IF(255.3744="","-",255.3744/1170231.19764*100)</f>
        <v>2.182255955190841E-2</v>
      </c>
      <c r="F84" s="48">
        <f>IF(OR(1314797.53704="",228.67546="",8.71721=""),"-",(8.71721-228.67546)/1314797.53704*100)</f>
        <v>-1.6729438853010887E-2</v>
      </c>
      <c r="G84" s="48">
        <f>IF(OR(1361213.47779="",255.3744="",8.71721=""),"-",(255.3744-8.71721)/1361213.47779*100)</f>
        <v>1.8120389933286633E-2</v>
      </c>
    </row>
    <row r="85" spans="1:7" x14ac:dyDescent="0.25">
      <c r="A85" s="47" t="s">
        <v>87</v>
      </c>
      <c r="B85" s="48">
        <f>IF(249.24138="","-",249.24138)</f>
        <v>249.24137999999999</v>
      </c>
      <c r="C85" s="60" t="s">
        <v>192</v>
      </c>
      <c r="D85" s="48">
        <f>IF(71.81214="","-",71.81214/1361213.47779*100)</f>
        <v>5.2755971911614269E-3</v>
      </c>
      <c r="E85" s="48">
        <f>IF(249.24138="","-",249.24138/1170231.19764*100)</f>
        <v>2.1298473370274521E-2</v>
      </c>
      <c r="F85" s="48">
        <f>IF(OR(1314797.53704="",66.63998="",71.81214=""),"-",(71.81214-66.63998)/1314797.53704*100)</f>
        <v>3.9338071864996596E-4</v>
      </c>
      <c r="G85" s="48">
        <f>IF(OR(1361213.47779="",249.24138="",71.81214=""),"-",(249.24138-71.81214)/1361213.47779*100)</f>
        <v>1.3034637321404242E-2</v>
      </c>
    </row>
    <row r="86" spans="1:7" x14ac:dyDescent="0.25">
      <c r="A86" s="47" t="s">
        <v>183</v>
      </c>
      <c r="B86" s="48">
        <f>IF(184.41676="","-",184.41676)</f>
        <v>184.41676000000001</v>
      </c>
      <c r="C86" s="60" t="str">
        <f>IF(OR(""="",184.41676=""),"-",184.41676/""*100)</f>
        <v>-</v>
      </c>
      <c r="D86" s="48" t="str">
        <f>IF(""="","-",""/1361213.47779*100)</f>
        <v>-</v>
      </c>
      <c r="E86" s="48">
        <f>IF(184.41676="","-",184.41676/1170231.19764*100)</f>
        <v>1.575900218451811E-2</v>
      </c>
      <c r="F86" s="48" t="str">
        <f>IF(OR(1314797.53704="",""="",""=""),"-",(""-"")/1314797.53704*100)</f>
        <v>-</v>
      </c>
      <c r="G86" s="48" t="str">
        <f>IF(OR(1361213.47779="",184.41676="",""=""),"-",(184.41676-"")/1361213.47779*100)</f>
        <v>-</v>
      </c>
    </row>
    <row r="87" spans="1:7" x14ac:dyDescent="0.25">
      <c r="A87" s="47" t="s">
        <v>97</v>
      </c>
      <c r="B87" s="48">
        <f>IF(183.36195="","-",183.36195)</f>
        <v>183.36195000000001</v>
      </c>
      <c r="C87" s="60">
        <f>IF(OR(323.47451="",183.36195=""),"-",183.36195/323.47451*100)</f>
        <v>56.685131078798143</v>
      </c>
      <c r="D87" s="48">
        <f>IF(323.47451="","-",323.47451/1361213.47779*100)</f>
        <v>2.3763686980618023E-2</v>
      </c>
      <c r="E87" s="48">
        <f>IF(183.36195="","-",183.36195/1170231.19764*100)</f>
        <v>1.5668865295147254E-2</v>
      </c>
      <c r="F87" s="48">
        <f>IF(OR(1314797.53704="",304.58737="",323.47451=""),"-",(323.47451-304.58737)/1314797.53704*100)</f>
        <v>1.4365055811193981E-3</v>
      </c>
      <c r="G87" s="48">
        <f>IF(OR(1361213.47779="",183.36195="",323.47451=""),"-",(183.36195-323.47451)/1361213.47779*100)</f>
        <v>-1.0293209866499408E-2</v>
      </c>
    </row>
    <row r="88" spans="1:7" x14ac:dyDescent="0.25">
      <c r="A88" s="47" t="s">
        <v>182</v>
      </c>
      <c r="B88" s="48">
        <f>IF(179.7168="","-",179.7168)</f>
        <v>179.71680000000001</v>
      </c>
      <c r="C88" s="60" t="s">
        <v>149</v>
      </c>
      <c r="D88" s="48">
        <f>IF(71.9935="","-",71.9935/1361213.47779*100)</f>
        <v>5.2889205972956686E-3</v>
      </c>
      <c r="E88" s="48">
        <f>IF(179.7168="","-",179.7168/1170231.19764*100)</f>
        <v>1.5357375564968193E-2</v>
      </c>
      <c r="F88" s="48">
        <f>IF(OR(1314797.53704="",65.856="",71.9935=""),"-",(71.9935-65.856)/1314797.53704*100)</f>
        <v>4.6680190881839796E-4</v>
      </c>
      <c r="G88" s="48">
        <f>IF(OR(1361213.47779="",179.7168="",71.9935=""),"-",(179.7168-71.9935)/1361213.47779*100)</f>
        <v>7.9137697178031426E-3</v>
      </c>
    </row>
    <row r="89" spans="1:7" x14ac:dyDescent="0.25">
      <c r="A89" s="47" t="s">
        <v>64</v>
      </c>
      <c r="B89" s="48">
        <f>IF(179.06542="","-",179.06542)</f>
        <v>179.06541999999999</v>
      </c>
      <c r="C89" s="60">
        <f>IF(OR(1808.30115="",179.06542=""),"-",179.06542/1808.30115*100)</f>
        <v>9.9024114429170158</v>
      </c>
      <c r="D89" s="48">
        <f>IF(1808.30115="","-",1808.30115/1361213.47779*100)</f>
        <v>0.13284478735369781</v>
      </c>
      <c r="E89" s="48">
        <f>IF(179.06542="","-",179.06542/1170231.19764*100)</f>
        <v>1.5301713059874019E-2</v>
      </c>
      <c r="F89" s="48">
        <f>IF(OR(1314797.53704="",259.82285="",1808.30115=""),"-",(1808.30115-259.82285)/1314797.53704*100)</f>
        <v>0.1177731366523613</v>
      </c>
      <c r="G89" s="48">
        <f>IF(OR(1361213.47779="",179.06542="",1808.30115=""),"-",(179.06542-1808.30115)/1361213.47779*100)</f>
        <v>-0.11968994992946647</v>
      </c>
    </row>
    <row r="90" spans="1:7" x14ac:dyDescent="0.25">
      <c r="A90" s="47" t="s">
        <v>173</v>
      </c>
      <c r="B90" s="48">
        <f>IF(171.72573="","-",171.72573)</f>
        <v>171.72573</v>
      </c>
      <c r="C90" s="60">
        <f>IF(OR(149.53541="",171.72573=""),"-",171.72573/149.53541*100)</f>
        <v>114.83950858194723</v>
      </c>
      <c r="D90" s="48">
        <f>IF(149.53541="","-",149.53541/1361213.47779*100)</f>
        <v>1.0985448824880756E-2</v>
      </c>
      <c r="E90" s="48">
        <f>IF(171.72573="","-",171.72573/1170231.19764*100)</f>
        <v>1.4674513065992304E-2</v>
      </c>
      <c r="F90" s="48">
        <f>IF(OR(1314797.53704="",166.943="",149.53541=""),"-",(149.53541-166.943)/1314797.53704*100)</f>
        <v>-1.3239749474424523E-3</v>
      </c>
      <c r="G90" s="48">
        <f>IF(OR(1361213.47779="",171.72573="",149.53541=""),"-",(171.72573-149.53541)/1361213.47779*100)</f>
        <v>1.6301866211336016E-3</v>
      </c>
    </row>
    <row r="91" spans="1:7" x14ac:dyDescent="0.25">
      <c r="A91" s="47" t="s">
        <v>79</v>
      </c>
      <c r="B91" s="48">
        <f>IF(139.76087="","-",139.76087)</f>
        <v>139.76087000000001</v>
      </c>
      <c r="C91" s="60" t="s">
        <v>96</v>
      </c>
      <c r="D91" s="48">
        <f>IF(67.65612="","-",67.65612/1361213.47779*100)</f>
        <v>4.9702799086182425E-3</v>
      </c>
      <c r="E91" s="48">
        <f>IF(139.76087="","-",139.76087/1170231.19764*100)</f>
        <v>1.1943013507233027E-2</v>
      </c>
      <c r="F91" s="48">
        <f>IF(OR(1314797.53704="",281.84207="",67.65612=""),"-",(67.65612-281.84207)/1314797.53704*100)</f>
        <v>-1.6290413083842263E-2</v>
      </c>
      <c r="G91" s="48">
        <f>IF(OR(1361213.47779="",139.76087="",67.65612=""),"-",(139.76087-67.65612)/1361213.47779*100)</f>
        <v>5.2970934520179579E-3</v>
      </c>
    </row>
    <row r="92" spans="1:7" x14ac:dyDescent="0.25">
      <c r="A92" s="47" t="s">
        <v>84</v>
      </c>
      <c r="B92" s="48">
        <f>IF(132.91601="","-",132.91601)</f>
        <v>132.91601</v>
      </c>
      <c r="C92" s="60">
        <f>IF(OR(656.81611="",132.91601=""),"-",132.91601/656.81611*100)</f>
        <v>20.236411375476159</v>
      </c>
      <c r="D92" s="48">
        <f>IF(656.81611="","-",656.81611/1361213.47779*100)</f>
        <v>4.8252248505970916E-2</v>
      </c>
      <c r="E92" s="48">
        <f>IF(132.91601="","-",132.91601/1170231.19764*100)</f>
        <v>1.1358098320062833E-2</v>
      </c>
      <c r="F92" s="48">
        <f>IF(OR(1314797.53704="",0.19008="",656.81611=""),"-",(656.81611-0.19008)/1314797.53704*100)</f>
        <v>4.9941227565596165E-2</v>
      </c>
      <c r="G92" s="48">
        <f>IF(OR(1361213.47779="",132.91601="",656.81611=""),"-",(132.91601-656.81611)/1361213.47779*100)</f>
        <v>-3.8487725000385588E-2</v>
      </c>
    </row>
    <row r="93" spans="1:7" x14ac:dyDescent="0.25">
      <c r="A93" s="47" t="s">
        <v>140</v>
      </c>
      <c r="B93" s="48">
        <f>IF(129.00573="","-",129.00573)</f>
        <v>129.00573</v>
      </c>
      <c r="C93" s="60">
        <f>IF(OR(264.90504="",129.00573=""),"-",129.00573/264.90504*100)</f>
        <v>48.698858277668108</v>
      </c>
      <c r="D93" s="48">
        <f>IF(264.90504="","-",264.90504/1361213.47779*100)</f>
        <v>1.9460947479750711E-2</v>
      </c>
      <c r="E93" s="48">
        <f>IF(129.00573="","-",129.00573/1170231.19764*100)</f>
        <v>1.1023952383098766E-2</v>
      </c>
      <c r="F93" s="48">
        <f>IF(OR(1314797.53704="",250.07847="",264.90504=""),"-",(264.90504-250.07847)/1314797.53704*100)</f>
        <v>1.1276694382451452E-3</v>
      </c>
      <c r="G93" s="48">
        <f>IF(OR(1361213.47779="",129.00573="",264.90504=""),"-",(129.00573-264.90504)/1361213.47779*100)</f>
        <v>-9.9836882470954891E-3</v>
      </c>
    </row>
    <row r="94" spans="1:7" x14ac:dyDescent="0.25">
      <c r="A94" s="47" t="s">
        <v>190</v>
      </c>
      <c r="B94" s="48">
        <f>IF(118.09341="","-",118.09341)</f>
        <v>118.09341000000001</v>
      </c>
      <c r="C94" s="60">
        <f>IF(OR(305.8273="",118.09341=""),"-",118.09341/305.8273*100)</f>
        <v>38.614410812899962</v>
      </c>
      <c r="D94" s="48">
        <f>IF(305.8273="","-",305.8273/1361213.47779*100)</f>
        <v>2.2467254768629409E-2</v>
      </c>
      <c r="E94" s="48">
        <f>IF(118.09341="","-",118.09341/1170231.19764*100)</f>
        <v>1.0091459725066164E-2</v>
      </c>
      <c r="F94" s="48">
        <f>IF(OR(1314797.53704="",392.51239="",305.8273=""),"-",(305.8273-392.51239)/1314797.53704*100)</f>
        <v>-6.593037145107063E-3</v>
      </c>
      <c r="G94" s="48">
        <f>IF(OR(1361213.47779="",118.09341="",305.8273=""),"-",(118.09341-305.8273)/1361213.47779*100)</f>
        <v>-1.3791656713889992E-2</v>
      </c>
    </row>
    <row r="95" spans="1:7" x14ac:dyDescent="0.25">
      <c r="A95" s="47" t="s">
        <v>110</v>
      </c>
      <c r="B95" s="48">
        <f>IF(98.84948="","-",98.84948)</f>
        <v>98.84948</v>
      </c>
      <c r="C95" s="60">
        <f>IF(OR(199.5923="",98.84948=""),"-",98.84948/199.5923*100)</f>
        <v>49.52569813564952</v>
      </c>
      <c r="D95" s="48">
        <f>IF(199.5923="","-",199.5923/1361213.47779*100)</f>
        <v>1.4662821317641402E-2</v>
      </c>
      <c r="E95" s="48">
        <f>IF(98.84948="","-",98.84948/1170231.19764*100)</f>
        <v>8.4470043354979169E-3</v>
      </c>
      <c r="F95" s="48">
        <f>IF(OR(1314797.53704="",244.84265="",199.5923=""),"-",(199.5923-244.84265)/1314797.53704*100)</f>
        <v>-3.4416211412954104E-3</v>
      </c>
      <c r="G95" s="48">
        <f>IF(OR(1361213.47779="",98.84948="",199.5923=""),"-",(98.84948-199.5923)/1361213.47779*100)</f>
        <v>-7.4009566936966515E-3</v>
      </c>
    </row>
    <row r="96" spans="1:7" x14ac:dyDescent="0.25">
      <c r="A96" s="47" t="s">
        <v>91</v>
      </c>
      <c r="B96" s="48">
        <f>IF(89.09929="","-",89.09929)</f>
        <v>89.099289999999996</v>
      </c>
      <c r="C96" s="60">
        <f>IF(OR(60.1192="",89.09929=""),"-",89.09929/60.1192*100)</f>
        <v>148.20438395720501</v>
      </c>
      <c r="D96" s="48">
        <f>IF(60.1192="","-",60.1192/1361213.47779*100)</f>
        <v>4.4165886527663982E-3</v>
      </c>
      <c r="E96" s="48">
        <f>IF(89.09929="","-",89.09929/1170231.19764*100)</f>
        <v>7.6138194042071469E-3</v>
      </c>
      <c r="F96" s="48">
        <f>IF(OR(1314797.53704="",76.62359="",60.1192=""),"-",(60.1192-76.62359)/1314797.53704*100)</f>
        <v>-1.2552799602253803E-3</v>
      </c>
      <c r="G96" s="48">
        <f>IF(OR(1361213.47779="",89.09929="",60.1192=""),"-",(89.09929-60.1192)/1361213.47779*100)</f>
        <v>2.128989351989863E-3</v>
      </c>
    </row>
    <row r="97" spans="1:7" x14ac:dyDescent="0.25">
      <c r="A97" s="47" t="s">
        <v>172</v>
      </c>
      <c r="B97" s="48">
        <f>IF(87.612="","-",87.612)</f>
        <v>87.611999999999995</v>
      </c>
      <c r="C97" s="60" t="s">
        <v>193</v>
      </c>
      <c r="D97" s="48">
        <f>IF(23.32711="","-",23.32711/1361213.47779*100)</f>
        <v>1.7136996055808062E-3</v>
      </c>
      <c r="E97" s="48">
        <f>IF(87.612="","-",87.612/1170231.19764*100)</f>
        <v>7.4867257151139642E-3</v>
      </c>
      <c r="F97" s="48">
        <f>IF(OR(1314797.53704="",55.11432="",23.32711=""),"-",(23.32711-55.11432)/1314797.53704*100)</f>
        <v>-2.4176505586983722E-3</v>
      </c>
      <c r="G97" s="48">
        <f>IF(OR(1361213.47779="",87.612="",23.32711=""),"-",(87.612-23.32711)/1361213.47779*100)</f>
        <v>4.7226163308616235E-3</v>
      </c>
    </row>
    <row r="98" spans="1:7" x14ac:dyDescent="0.25">
      <c r="A98" s="47" t="s">
        <v>134</v>
      </c>
      <c r="B98" s="48">
        <f>IF(81.7743="","-",81.7743)</f>
        <v>81.774299999999997</v>
      </c>
      <c r="C98" s="60">
        <f>IF(OR(2995.41757="",81.7743=""),"-",81.7743/2995.41757*100)</f>
        <v>2.7299799807210183</v>
      </c>
      <c r="D98" s="48">
        <f>IF(2995.41757="","-",2995.41757/1361213.47779*100)</f>
        <v>0.22005494500856795</v>
      </c>
      <c r="E98" s="48">
        <f>IF(81.7743="","-",81.7743/1170231.19764*100)</f>
        <v>6.9878755723581688E-3</v>
      </c>
      <c r="F98" s="48">
        <f>IF(OR(1314797.53704="",45.76322="",2995.41757=""),"-",(2995.41757-45.76322)/1314797.53704*100)</f>
        <v>0.22434285636407175</v>
      </c>
      <c r="G98" s="48">
        <f>IF(OR(1361213.47779="",81.7743="",2995.41757=""),"-",(81.7743-2995.41757)/1361213.47779*100)</f>
        <v>-0.21404748906324744</v>
      </c>
    </row>
    <row r="99" spans="1:7" x14ac:dyDescent="0.25">
      <c r="A99" s="47" t="s">
        <v>99</v>
      </c>
      <c r="B99" s="48">
        <f>IF(74.83124="","-",74.83124)</f>
        <v>74.831239999999994</v>
      </c>
      <c r="C99" s="60" t="s">
        <v>174</v>
      </c>
      <c r="D99" s="48">
        <f>IF(30.70499="","-",30.70499/1361213.47779*100)</f>
        <v>2.2557071687132517E-3</v>
      </c>
      <c r="E99" s="48">
        <f>IF(74.83124="","-",74.83124/1170231.19764*100)</f>
        <v>6.3945688809964926E-3</v>
      </c>
      <c r="F99" s="48">
        <f>IF(OR(1314797.53704="",52.20424="",30.70499=""),"-",(30.70499-52.20424)/1314797.53704*100)</f>
        <v>-1.6351757129391344E-3</v>
      </c>
      <c r="G99" s="48">
        <f>IF(OR(1361213.47779="",74.83124="",30.70499=""),"-",(74.83124-30.70499)/1361213.47779*100)</f>
        <v>3.2416847702420076E-3</v>
      </c>
    </row>
    <row r="100" spans="1:7" x14ac:dyDescent="0.25">
      <c r="A100" s="47" t="s">
        <v>74</v>
      </c>
      <c r="B100" s="48">
        <f>IF(70.05237="","-",70.05237)</f>
        <v>70.052369999999996</v>
      </c>
      <c r="C100" s="60" t="str">
        <f>IF(OR(""="",70.05237=""),"-",70.05237/""*100)</f>
        <v>-</v>
      </c>
      <c r="D100" s="48" t="str">
        <f>IF(""="","-",""/1361213.47779*100)</f>
        <v>-</v>
      </c>
      <c r="E100" s="48">
        <f>IF(70.05237="","-",70.05237/1170231.19764*100)</f>
        <v>5.9861991494735657E-3</v>
      </c>
      <c r="F100" s="48" t="str">
        <f>IF(OR(1314797.53704="",188.42651="",""=""),"-",(""-188.42651)/1314797.53704*100)</f>
        <v>-</v>
      </c>
      <c r="G100" s="48" t="str">
        <f>IF(OR(1361213.47779="",70.05237="",""=""),"-",(70.05237-"")/1361213.47779*100)</f>
        <v>-</v>
      </c>
    </row>
    <row r="101" spans="1:7" x14ac:dyDescent="0.25">
      <c r="A101" s="47" t="s">
        <v>103</v>
      </c>
      <c r="B101" s="48">
        <f>IF(68.83726="","-",68.83726)</f>
        <v>68.837260000000001</v>
      </c>
      <c r="C101" s="60">
        <f>IF(OR(227.79067="",68.83726=""),"-",68.83726/227.79067*100)</f>
        <v>30.219525672407915</v>
      </c>
      <c r="D101" s="48">
        <f>IF(227.79067="","-",227.79067/1361213.47779*100)</f>
        <v>1.6734382498903102E-2</v>
      </c>
      <c r="E101" s="48">
        <f>IF(68.83726="","-",68.83726/1170231.19764*100)</f>
        <v>5.8823641122219099E-3</v>
      </c>
      <c r="F101" s="48">
        <f>IF(OR(1314797.53704="",213.4128="",227.79067=""),"-",(227.79067-213.4128)/1314797.53704*100)</f>
        <v>1.0935425109153199E-3</v>
      </c>
      <c r="G101" s="48">
        <f>IF(OR(1361213.47779="",68.83726="",227.79067=""),"-",(68.83726-227.79067)/1361213.47779*100)</f>
        <v>-1.1677331483528142E-2</v>
      </c>
    </row>
    <row r="102" spans="1:7" x14ac:dyDescent="0.25">
      <c r="A102" s="47" t="s">
        <v>148</v>
      </c>
      <c r="B102" s="48">
        <f>IF(63.79511="","-",63.79511)</f>
        <v>63.795110000000001</v>
      </c>
      <c r="C102" s="60">
        <f>IF(OR(98.70973="",63.79511=""),"-",63.79511/98.70973*100)</f>
        <v>64.628998579977875</v>
      </c>
      <c r="D102" s="48">
        <f>IF(98.70973="","-",98.70973/1361213.47779*100)</f>
        <v>7.2515980491362981E-3</v>
      </c>
      <c r="E102" s="48">
        <f>IF(63.79511="","-",63.79511/1170231.19764*100)</f>
        <v>5.4514962623330599E-3</v>
      </c>
      <c r="F102" s="48">
        <f>IF(OR(1314797.53704="",330.16422="",98.70973=""),"-",(98.70973-330.16422)/1314797.53704*100)</f>
        <v>-1.7603812258507334E-2</v>
      </c>
      <c r="G102" s="48">
        <f>IF(OR(1361213.47779="",63.79511="",98.70973=""),"-",(63.79511-98.70973)/1361213.47779*100)</f>
        <v>-2.5649628489342962E-3</v>
      </c>
    </row>
    <row r="103" spans="1:7" x14ac:dyDescent="0.25">
      <c r="A103" s="50" t="s">
        <v>191</v>
      </c>
      <c r="B103" s="53">
        <f>IF(62.42252="","-",62.42252)</f>
        <v>62.422519999999999</v>
      </c>
      <c r="C103" s="63">
        <f>IF(OR(271.83195="",62.42252=""),"-",62.42252/271.83195*100)</f>
        <v>22.963643530497428</v>
      </c>
      <c r="D103" s="53">
        <f>IF(271.83195="","-",271.83195/1361213.47779*100)</f>
        <v>1.9969825044733845E-2</v>
      </c>
      <c r="E103" s="53">
        <f>IF(62.42252="","-",62.42252/1170231.19764*100)</f>
        <v>5.3342040552232092E-3</v>
      </c>
      <c r="F103" s="53">
        <f>IF(OR(1314797.53704="",21.31084="",271.83195=""),"-",(271.83195-21.31084)/1314797.53704*100)</f>
        <v>1.9053968610558664E-2</v>
      </c>
      <c r="G103" s="53">
        <f>IF(OR(1361213.47779="",62.42252="",271.83195=""),"-",(62.42252-271.83195)/1361213.47779*100)</f>
        <v>-1.5384025607797169E-2</v>
      </c>
    </row>
    <row r="104" spans="1:7" x14ac:dyDescent="0.25">
      <c r="A104" s="51" t="s">
        <v>157</v>
      </c>
      <c r="B104" s="54">
        <f>IF(50.18097="","-",50.18097)</f>
        <v>50.180970000000002</v>
      </c>
      <c r="C104" s="62">
        <f>IF(OR(43.23246="",50.18097=""),"-",50.18097/43.23246*100)</f>
        <v>116.07243723813079</v>
      </c>
      <c r="D104" s="54">
        <f>IF(43.23246="","-",43.23246/1361213.47779*100)</f>
        <v>3.1760235044241648E-3</v>
      </c>
      <c r="E104" s="54">
        <f>IF(50.18097="","-",50.18097/1170231.19764*100)</f>
        <v>4.2881244408113318E-3</v>
      </c>
      <c r="F104" s="54">
        <f>IF(OR(1314797.53704="",134.90109="",43.23246=""),"-",(43.23246-134.90109)/1314797.53704*100)</f>
        <v>-6.9720719287604798E-3</v>
      </c>
      <c r="G104" s="54">
        <f>IF(OR(1361213.47779="",50.18097="",43.23246=""),"-",(50.18097-43.23246)/1361213.47779*100)</f>
        <v>5.1046438441685596E-4</v>
      </c>
    </row>
    <row r="105" spans="1:7" x14ac:dyDescent="0.25">
      <c r="A105" s="52" t="s">
        <v>21</v>
      </c>
    </row>
  </sheetData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7"/>
  <sheetViews>
    <sheetView zoomScaleNormal="100" workbookViewId="0">
      <selection activeCell="I54" sqref="I54"/>
    </sheetView>
  </sheetViews>
  <sheetFormatPr defaultRowHeight="15.75" x14ac:dyDescent="0.25"/>
  <cols>
    <col min="1" max="1" width="27.625" customWidth="1"/>
    <col min="2" max="2" width="12.875" customWidth="1"/>
    <col min="3" max="3" width="10" customWidth="1"/>
    <col min="4" max="4" width="9.125" customWidth="1"/>
    <col min="5" max="5" width="9.5" customWidth="1"/>
    <col min="6" max="6" width="9.875" customWidth="1"/>
    <col min="7" max="7" width="10.25" customWidth="1"/>
  </cols>
  <sheetData>
    <row r="1" spans="1:7" x14ac:dyDescent="0.25">
      <c r="A1" s="95" t="s">
        <v>163</v>
      </c>
      <c r="B1" s="95"/>
      <c r="C1" s="95"/>
      <c r="D1" s="95"/>
      <c r="E1" s="95"/>
      <c r="F1" s="95"/>
      <c r="G1" s="95"/>
    </row>
    <row r="2" spans="1:7" x14ac:dyDescent="0.25">
      <c r="A2" s="2"/>
    </row>
    <row r="3" spans="1:7" ht="55.5" customHeight="1" x14ac:dyDescent="0.25">
      <c r="A3" s="83"/>
      <c r="B3" s="86" t="s">
        <v>282</v>
      </c>
      <c r="C3" s="87"/>
      <c r="D3" s="86" t="s">
        <v>111</v>
      </c>
      <c r="E3" s="87"/>
      <c r="F3" s="88" t="s">
        <v>123</v>
      </c>
      <c r="G3" s="89"/>
    </row>
    <row r="4" spans="1:7" ht="25.5" customHeight="1" x14ac:dyDescent="0.25">
      <c r="A4" s="84"/>
      <c r="B4" s="90" t="s">
        <v>101</v>
      </c>
      <c r="C4" s="92" t="s">
        <v>283</v>
      </c>
      <c r="D4" s="94" t="s">
        <v>284</v>
      </c>
      <c r="E4" s="94"/>
      <c r="F4" s="94" t="s">
        <v>284</v>
      </c>
      <c r="G4" s="86"/>
    </row>
    <row r="5" spans="1:7" ht="26.25" customHeight="1" x14ac:dyDescent="0.25">
      <c r="A5" s="85"/>
      <c r="B5" s="91"/>
      <c r="C5" s="93"/>
      <c r="D5" s="28">
        <v>2019</v>
      </c>
      <c r="E5" s="28">
        <v>2020</v>
      </c>
      <c r="F5" s="28" t="s">
        <v>124</v>
      </c>
      <c r="G5" s="27" t="s">
        <v>144</v>
      </c>
    </row>
    <row r="6" spans="1:7" s="3" customFormat="1" ht="15" x14ac:dyDescent="0.25">
      <c r="A6" s="49" t="s">
        <v>135</v>
      </c>
      <c r="B6" s="45">
        <f>IF(2393202.72267="","-",2393202.72267)</f>
        <v>2393202.72267</v>
      </c>
      <c r="C6" s="58">
        <f>IF(2808282.38613="","-",2393202.72267/2808282.38613*100)</f>
        <v>85.219447107240271</v>
      </c>
      <c r="D6" s="45">
        <v>100</v>
      </c>
      <c r="E6" s="45">
        <v>100</v>
      </c>
      <c r="F6" s="45">
        <f>IF(2734888.97913="","-",(2808282.38613-2734888.97913)/2734888.97913*100)</f>
        <v>2.6835973072423371</v>
      </c>
      <c r="G6" s="45">
        <f>IF(2808282.38613="","-",(2393202.72267-2808282.38613)/2808282.38613*100)</f>
        <v>-14.78055289275974</v>
      </c>
    </row>
    <row r="7" spans="1:7" s="3" customFormat="1" ht="15" x14ac:dyDescent="0.25">
      <c r="A7" s="36" t="s">
        <v>141</v>
      </c>
      <c r="B7" s="34"/>
      <c r="C7" s="44"/>
      <c r="D7" s="34"/>
      <c r="E7" s="34"/>
      <c r="F7" s="34"/>
      <c r="G7" s="34"/>
    </row>
    <row r="8" spans="1:7" ht="12.75" customHeight="1" x14ac:dyDescent="0.25">
      <c r="A8" s="37" t="s">
        <v>175</v>
      </c>
      <c r="B8" s="46">
        <f>IF(1118231.45947="","-",1118231.45947)</f>
        <v>1118231.4594699999</v>
      </c>
      <c r="C8" s="59">
        <f>IF(1375278.96616="","-",1118231.45947/1375278.96616*100)</f>
        <v>81.309427904091478</v>
      </c>
      <c r="D8" s="46">
        <f>IF(1375278.96616="","-",1375278.96616/2808282.38613*100)</f>
        <v>48.972246272399481</v>
      </c>
      <c r="E8" s="46">
        <f>IF(1118231.45947="","-",1118231.45947/2393202.72267*100)</f>
        <v>46.725312857008369</v>
      </c>
      <c r="F8" s="46">
        <f>IF(2734888.97913="","-",(1375278.96616-1366111.23264)/2734888.97913*100)</f>
        <v>0.33521410155802273</v>
      </c>
      <c r="G8" s="46">
        <f>IF(2808282.38613="","-",(1118231.45947-1375278.96616)/2808282.38613*100)</f>
        <v>-9.1531929965286984</v>
      </c>
    </row>
    <row r="9" spans="1:7" x14ac:dyDescent="0.25">
      <c r="A9" s="47" t="s">
        <v>2</v>
      </c>
      <c r="B9" s="48">
        <f>IF(293782.17927="","-",293782.17927)</f>
        <v>293782.17927000002</v>
      </c>
      <c r="C9" s="60">
        <f>IF(OR(398735.55201="",293782.17927=""),"-",293782.17927/398735.55201*100)</f>
        <v>73.67845124144641</v>
      </c>
      <c r="D9" s="48">
        <f>IF(398735.55201="","-",398735.55201/2808282.38613*100)</f>
        <v>14.198556170110946</v>
      </c>
      <c r="E9" s="48">
        <f>IF(293782.17927="","-",293782.17927/2393202.72267*100)</f>
        <v>12.275691335593963</v>
      </c>
      <c r="F9" s="48">
        <f>IF(OR(2734888.97913="",386686.37272="",398735.55201=""),"-",(398735.55201-386686.37272)/2734888.97913*100)</f>
        <v>0.44057288547899248</v>
      </c>
      <c r="G9" s="48">
        <f>IF(OR(2808282.38613="",293782.17927="",398735.55201=""),"-",(293782.17927-398735.55201)/2808282.38613*100)</f>
        <v>-3.7372798853263713</v>
      </c>
    </row>
    <row r="10" spans="1:7" s="9" customFormat="1" x14ac:dyDescent="0.25">
      <c r="A10" s="47" t="s">
        <v>4</v>
      </c>
      <c r="B10" s="48">
        <f>IF(197952.6897="","-",197952.6897)</f>
        <v>197952.68969999999</v>
      </c>
      <c r="C10" s="60">
        <f>IF(OR(238032.18999="",197952.6897=""),"-",197952.6897/238032.18999*100)</f>
        <v>83.162151181449957</v>
      </c>
      <c r="D10" s="48">
        <f>IF(238032.18999="","-",238032.18999/2808282.38613*100)</f>
        <v>8.4760774473974543</v>
      </c>
      <c r="E10" s="48">
        <f>IF(197952.6897="","-",197952.6897/2393202.72267*100)</f>
        <v>8.2714551435555848</v>
      </c>
      <c r="F10" s="48">
        <f>IF(OR(2734888.97913="",235960.24867="",238032.18999=""),"-",(238032.18999-235960.24867)/2734888.97913*100)</f>
        <v>7.5759613491115874E-2</v>
      </c>
      <c r="G10" s="48">
        <f>IF(OR(2808282.38613="",197952.6897="",238032.18999=""),"-",(197952.6897-238032.18999)/2808282.38613*100)</f>
        <v>-1.4271891063359994</v>
      </c>
    </row>
    <row r="11" spans="1:7" s="9" customFormat="1" x14ac:dyDescent="0.25">
      <c r="A11" s="47" t="s">
        <v>3</v>
      </c>
      <c r="B11" s="48">
        <f>IF(160821.43882="","-",160821.43882)</f>
        <v>160821.43882000001</v>
      </c>
      <c r="C11" s="60">
        <f>IF(OR(200707.15474="",160821.43882=""),"-",160821.43882/200707.15474*100)</f>
        <v>80.12740703156858</v>
      </c>
      <c r="D11" s="48">
        <f>IF(200707.15474="","-",200707.15474/2808282.38613*100)</f>
        <v>7.1469719616262601</v>
      </c>
      <c r="E11" s="48">
        <f>IF(160821.43882="","-",160821.43882/2393202.72267*100)</f>
        <v>6.7199254495489624</v>
      </c>
      <c r="F11" s="48">
        <f>IF(OR(2734888.97913="",195710.92908="",200707.15474=""),"-",(200707.15474-195710.92908)/2734888.97913*100)</f>
        <v>0.18268477068452535</v>
      </c>
      <c r="G11" s="48">
        <f>IF(OR(2808282.38613="",160821.43882="",200707.15474=""),"-",(160821.43882-200707.15474)/2808282.38613*100)</f>
        <v>-1.4202886475019045</v>
      </c>
    </row>
    <row r="12" spans="1:7" s="9" customFormat="1" x14ac:dyDescent="0.25">
      <c r="A12" s="47" t="s">
        <v>5</v>
      </c>
      <c r="B12" s="48">
        <f>IF(93113.2646="","-",93113.2646)</f>
        <v>93113.264599999995</v>
      </c>
      <c r="C12" s="60">
        <f>IF(OR(93971.30847="",93113.2646=""),"-",93113.2646/93971.30847*100)</f>
        <v>99.086908670348109</v>
      </c>
      <c r="D12" s="48">
        <f>IF(93971.30847="","-",93971.30847/2808282.38613*100)</f>
        <v>3.3462200572891363</v>
      </c>
      <c r="E12" s="48">
        <f>IF(93113.2646="","-",93113.2646/2393202.72267*100)</f>
        <v>3.8907387041628159</v>
      </c>
      <c r="F12" s="48">
        <f>IF(OR(2734888.97913="",96177.6956="",93971.30847=""),"-",(93971.30847-96177.6956)/2734888.97913*100)</f>
        <v>-8.0675564779301587E-2</v>
      </c>
      <c r="G12" s="48">
        <f>IF(OR(2808282.38613="",93113.2646="",93971.30847=""),"-",(93113.2646-93971.30847)/2808282.38613*100)</f>
        <v>-3.0554045214179835E-2</v>
      </c>
    </row>
    <row r="13" spans="1:7" s="9" customFormat="1" x14ac:dyDescent="0.25">
      <c r="A13" s="47" t="s">
        <v>127</v>
      </c>
      <c r="B13" s="48">
        <f>IF(66003.80937="","-",66003.80937)</f>
        <v>66003.809370000003</v>
      </c>
      <c r="C13" s="60">
        <f>IF(OR(76428.12446="",66003.80937=""),"-",66003.80937/76428.12446*100)</f>
        <v>86.360629462449054</v>
      </c>
      <c r="D13" s="48">
        <f>IF(76428.12446="","-",76428.12446/2808282.38613*100)</f>
        <v>2.7215256142856434</v>
      </c>
      <c r="E13" s="48">
        <f>IF(66003.80937="","-",66003.80937/2393202.72267*100)</f>
        <v>2.7579698428707373</v>
      </c>
      <c r="F13" s="48">
        <f>IF(OR(2734888.97913="",76456.96038="",76428.12446=""),"-",(76428.12446-76456.96038)/2734888.97913*100)</f>
        <v>-1.0543725986701937E-3</v>
      </c>
      <c r="G13" s="48">
        <f>IF(OR(2808282.38613="",66003.80937="",76428.12446=""),"-",(66003.80937-76428.12446)/2808282.38613*100)</f>
        <v>-0.37119896280677822</v>
      </c>
    </row>
    <row r="14" spans="1:7" s="9" customFormat="1" x14ac:dyDescent="0.25">
      <c r="A14" s="47" t="s">
        <v>43</v>
      </c>
      <c r="B14" s="48">
        <f>IF(48560.99087="","-",48560.99087)</f>
        <v>48560.990870000001</v>
      </c>
      <c r="C14" s="60">
        <f>IF(OR(57113.88832="",48560.99087=""),"-",48560.99087/57113.88832*100)</f>
        <v>85.024837738100629</v>
      </c>
      <c r="D14" s="48">
        <f>IF(57113.88832="","-",57113.88832/2808282.38613*100)</f>
        <v>2.0337658563855014</v>
      </c>
      <c r="E14" s="48">
        <f>IF(48560.99087="","-",48560.99087/2393202.72267*100)</f>
        <v>2.0291214952247114</v>
      </c>
      <c r="F14" s="48">
        <f>IF(OR(2734888.97913="",61500.5958="",57113.88832=""),"-",(57113.88832-61500.5958)/2734888.97913*100)</f>
        <v>-0.1603980093332881</v>
      </c>
      <c r="G14" s="48">
        <f>IF(OR(2808282.38613="",48560.99087="",57113.88832=""),"-",(48560.99087-57113.88832)/2808282.38613*100)</f>
        <v>-0.30455973702083639</v>
      </c>
    </row>
    <row r="15" spans="1:7" s="9" customFormat="1" x14ac:dyDescent="0.25">
      <c r="A15" s="47" t="s">
        <v>7</v>
      </c>
      <c r="B15" s="48">
        <f>IF(38660.09692="","-",38660.09692)</f>
        <v>38660.096920000004</v>
      </c>
      <c r="C15" s="60">
        <f>IF(OR(53720.88986="",38660.09692=""),"-",38660.09692/53720.88986*100)</f>
        <v>71.964736661568026</v>
      </c>
      <c r="D15" s="48">
        <f>IF(53720.88986="","-",53720.88986/2808282.38613*100)</f>
        <v>1.9129447282554433</v>
      </c>
      <c r="E15" s="48">
        <f>IF(38660.09692="","-",38660.09692/2393202.72267*100)</f>
        <v>1.615412541268902</v>
      </c>
      <c r="F15" s="48">
        <f>IF(OR(2734888.97913="",40443.61334="",53720.88986=""),"-",(53720.88986-40443.61334)/2734888.97913*100)</f>
        <v>0.48547771486591224</v>
      </c>
      <c r="G15" s="48">
        <f>IF(OR(2808282.38613="",38660.09692="",53720.88986=""),"-",(38660.09692-53720.88986)/2808282.38613*100)</f>
        <v>-0.53629909208506532</v>
      </c>
    </row>
    <row r="16" spans="1:7" s="9" customFormat="1" x14ac:dyDescent="0.25">
      <c r="A16" s="47" t="s">
        <v>41</v>
      </c>
      <c r="B16" s="48">
        <f>IF(36744.18372="","-",36744.18372)</f>
        <v>36744.183720000001</v>
      </c>
      <c r="C16" s="60">
        <f>IF(OR(41256.03811="",36744.18372=""),"-",36744.18372/41256.03811*100)</f>
        <v>89.063772003578848</v>
      </c>
      <c r="D16" s="48">
        <f>IF(41256.03811="","-",41256.03811/2808282.38613*100)</f>
        <v>1.4690843881570459</v>
      </c>
      <c r="E16" s="48">
        <f>IF(36744.18372="","-",36744.18372/2393202.72267*100)</f>
        <v>1.5353560888066344</v>
      </c>
      <c r="F16" s="48">
        <f>IF(OR(2734888.97913="",39979.49706="",41256.03811=""),"-",(41256.03811-39979.49706)/2734888.97913*100)</f>
        <v>4.6676156134355495E-2</v>
      </c>
      <c r="G16" s="48">
        <f>IF(OR(2808282.38613="",36744.18372="",41256.03811=""),"-",(36744.18372-41256.03811)/2808282.38613*100)</f>
        <v>-0.16066241814868326</v>
      </c>
    </row>
    <row r="17" spans="1:7" s="9" customFormat="1" x14ac:dyDescent="0.25">
      <c r="A17" s="47" t="s">
        <v>8</v>
      </c>
      <c r="B17" s="48">
        <f>IF(27493.31414="","-",27493.31414)</f>
        <v>27493.314139999999</v>
      </c>
      <c r="C17" s="60">
        <f>IF(OR(47039.67331="",27493.31414=""),"-",27493.31414/47039.67331*100)</f>
        <v>58.447077127458044</v>
      </c>
      <c r="D17" s="48">
        <f>IF(47039.67331="","-",47039.67331/2808282.38613*100)</f>
        <v>1.6750335914339369</v>
      </c>
      <c r="E17" s="48">
        <f>IF(27493.31414="","-",27493.31414/2393202.72267*100)</f>
        <v>1.1488084097333306</v>
      </c>
      <c r="F17" s="48">
        <f>IF(OR(2734888.97913="",55640.58105="",47039.67331=""),"-",(47039.67331-55640.58105)/2734888.97913*100)</f>
        <v>-0.31448836883814024</v>
      </c>
      <c r="G17" s="48">
        <f>IF(OR(2808282.38613="",27493.31414="",47039.67331=""),"-",(27493.31414-47039.67331)/2808282.38613*100)</f>
        <v>-0.6960254163377132</v>
      </c>
    </row>
    <row r="18" spans="1:7" s="9" customFormat="1" x14ac:dyDescent="0.25">
      <c r="A18" s="47" t="s">
        <v>10</v>
      </c>
      <c r="B18" s="48">
        <f>IF(26354.94037="","-",26354.94037)</f>
        <v>26354.94037</v>
      </c>
      <c r="C18" s="60">
        <f>IF(OR(29756.57923="",26354.94037=""),"-",26354.94037/29756.57923*100)</f>
        <v>88.568447892792278</v>
      </c>
      <c r="D18" s="48">
        <f>IF(29756.57923="","-",29756.57923/2808282.38613*100)</f>
        <v>1.0596006789405017</v>
      </c>
      <c r="E18" s="48">
        <f>IF(26354.94037="","-",26354.94037/2393202.72267*100)</f>
        <v>1.1012414502268681</v>
      </c>
      <c r="F18" s="48">
        <f>IF(OR(2734888.97913="",30633.23569="",29756.57923=""),"-",(29756.57923-30633.23569)/2734888.97913*100)</f>
        <v>-3.2054553829782027E-2</v>
      </c>
      <c r="G18" s="48">
        <f>IF(OR(2808282.38613="",26354.94037="",29756.57923=""),"-",(26354.94037-29756.57923)/2808282.38613*100)</f>
        <v>-0.1211288037414102</v>
      </c>
    </row>
    <row r="19" spans="1:7" s="9" customFormat="1" x14ac:dyDescent="0.25">
      <c r="A19" s="47" t="s">
        <v>6</v>
      </c>
      <c r="B19" s="48">
        <f>IF(25828.98215="","-",25828.98215)</f>
        <v>25828.98215</v>
      </c>
      <c r="C19" s="60">
        <f>IF(OR(23571.83007="",25828.98215=""),"-",25828.98215/23571.83007*100)</f>
        <v>109.57563359865168</v>
      </c>
      <c r="D19" s="48">
        <f>IF(23571.83007="","-",23571.83007/2808282.38613*100)</f>
        <v>0.83936822687135648</v>
      </c>
      <c r="E19" s="48">
        <f>IF(25828.98215="","-",25828.98215/2393202.72267*100)</f>
        <v>1.0792642806783892</v>
      </c>
      <c r="F19" s="48">
        <f>IF(OR(2734888.97913="",32988.2063="",23571.83007=""),"-",(23571.83007-32988.2063)/2734888.97913*100)</f>
        <v>-0.34430561173987606</v>
      </c>
      <c r="G19" s="48">
        <f>IF(OR(2808282.38613="",25828.98215="",23571.83007=""),"-",(25828.98215-23571.83007)/2808282.38613*100)</f>
        <v>8.0374825948700462E-2</v>
      </c>
    </row>
    <row r="20" spans="1:7" s="9" customFormat="1" ht="15.75" customHeight="1" x14ac:dyDescent="0.25">
      <c r="A20" s="47" t="s">
        <v>42</v>
      </c>
      <c r="B20" s="48">
        <f>IF(18458.9539="","-",18458.9539)</f>
        <v>18458.9539</v>
      </c>
      <c r="C20" s="60">
        <f>IF(OR(20773.19113="",18458.9539=""),"-",18458.9539/20773.19113*100)</f>
        <v>88.859500615397266</v>
      </c>
      <c r="D20" s="48">
        <f>IF(20773.19113="","-",20773.19113/2808282.38613*100)</f>
        <v>0.73971161990681567</v>
      </c>
      <c r="E20" s="48">
        <f>IF(18458.9539="","-",18458.9539/2393202.72267*100)</f>
        <v>0.77130757562426999</v>
      </c>
      <c r="F20" s="48">
        <f>IF(OR(2734888.97913="",23483.75691="",20773.19113=""),"-",(20773.19113-23483.75691)/2734888.97913*100)</f>
        <v>-9.9110633034261722E-2</v>
      </c>
      <c r="G20" s="48">
        <f>IF(OR(2808282.38613="",18458.9539="",20773.19113=""),"-",(18458.9539-20773.19113)/2808282.38613*100)</f>
        <v>-8.2407568463553682E-2</v>
      </c>
    </row>
    <row r="21" spans="1:7" s="9" customFormat="1" x14ac:dyDescent="0.25">
      <c r="A21" s="47" t="s">
        <v>9</v>
      </c>
      <c r="B21" s="48">
        <f>IF(12259.30066="","-",12259.30066)</f>
        <v>12259.300660000001</v>
      </c>
      <c r="C21" s="60">
        <f>IF(OR(10475.60672="",12259.30066=""),"-",12259.30066/10475.60672*100)</f>
        <v>117.02711821544978</v>
      </c>
      <c r="D21" s="48">
        <f>IF(10475.60672="","-",10475.60672/2808282.38613*100)</f>
        <v>0.37302540413096003</v>
      </c>
      <c r="E21" s="48">
        <f>IF(12259.30066="","-",12259.30066/2393202.72267*100)</f>
        <v>0.51225500221405373</v>
      </c>
      <c r="F21" s="48">
        <f>IF(OR(2734888.97913="",11674.40881="",10475.60672=""),"-",(10475.60672-11674.40881)/2734888.97913*100)</f>
        <v>-4.383366561305E-2</v>
      </c>
      <c r="G21" s="48">
        <f>IF(OR(2808282.38613="",12259.30066="",10475.60672=""),"-",(12259.30066-10475.60672)/2808282.38613*100)</f>
        <v>6.3515476535037849E-2</v>
      </c>
    </row>
    <row r="22" spans="1:7" s="9" customFormat="1" x14ac:dyDescent="0.25">
      <c r="A22" s="47" t="s">
        <v>45</v>
      </c>
      <c r="B22" s="48">
        <f>IF(11955.92814="","-",11955.92814)</f>
        <v>11955.92814</v>
      </c>
      <c r="C22" s="60">
        <f>IF(OR(17311.78722="",11955.92814=""),"-",11955.92814/17311.78722*100)</f>
        <v>69.062356116458787</v>
      </c>
      <c r="D22" s="48">
        <f>IF(17311.78722="","-",17311.78722/2808282.38613*100)</f>
        <v>0.61645464521311166</v>
      </c>
      <c r="E22" s="48">
        <f>IF(11955.92814="","-",11955.92814/2393202.72267*100)</f>
        <v>0.4995785783939462</v>
      </c>
      <c r="F22" s="48">
        <f>IF(OR(2734888.97913="",14275.17636="",17311.78722=""),"-",(17311.78722-14275.17636)/2734888.97913*100)</f>
        <v>0.11103232647366842</v>
      </c>
      <c r="G22" s="48">
        <f>IF(OR(2808282.38613="",11955.92814="",17311.78722=""),"-",(11955.92814-17311.78722)/2808282.38613*100)</f>
        <v>-0.19071654283957989</v>
      </c>
    </row>
    <row r="23" spans="1:7" s="9" customFormat="1" x14ac:dyDescent="0.25">
      <c r="A23" s="47" t="s">
        <v>53</v>
      </c>
      <c r="B23" s="48">
        <f>IF(11444.07206="","-",11444.07206)</f>
        <v>11444.07206</v>
      </c>
      <c r="C23" s="60">
        <f>IF(OR(10767.85225="",11444.07206=""),"-",11444.07206/10767.85225*100)</f>
        <v>106.27998782208404</v>
      </c>
      <c r="D23" s="48">
        <f>IF(10767.85225="","-",10767.85225/2808282.38613*100)</f>
        <v>0.38343196194164847</v>
      </c>
      <c r="E23" s="48">
        <f>IF(11444.07206="","-",11444.07206/2393202.72267*100)</f>
        <v>0.47819066690816353</v>
      </c>
      <c r="F23" s="48">
        <f>IF(OR(2734888.97913="",10482.36584="",10767.85225=""),"-",(10767.85225-10482.36584)/2734888.97913*100)</f>
        <v>1.0438683697164778E-2</v>
      </c>
      <c r="G23" s="48">
        <f>IF(OR(2808282.38613="",11444.07206="",10767.85225=""),"-",(11444.07206-10767.85225)/2808282.38613*100)</f>
        <v>2.4079480515913375E-2</v>
      </c>
    </row>
    <row r="24" spans="1:7" s="9" customFormat="1" x14ac:dyDescent="0.25">
      <c r="A24" s="47" t="s">
        <v>51</v>
      </c>
      <c r="B24" s="48">
        <f>IF(9222.65689="","-",9222.65689)</f>
        <v>9222.6568900000002</v>
      </c>
      <c r="C24" s="60">
        <f>IF(OR(12130.4513="",9222.65689=""),"-",9222.65689/12130.4513*100)</f>
        <v>76.028967611452344</v>
      </c>
      <c r="D24" s="48">
        <f>IF(12130.4513="","-",12130.4513/2808282.38613*100)</f>
        <v>0.43195268965513722</v>
      </c>
      <c r="E24" s="48">
        <f>IF(9222.65689="","-",9222.65689/2393202.72267*100)</f>
        <v>0.38536881153597602</v>
      </c>
      <c r="F24" s="48">
        <f>IF(OR(2734888.97913="",11677.74745="",12130.4513=""),"-",(12130.4513-11677.74745)/2734888.97913*100)</f>
        <v>1.6552915070944134E-2</v>
      </c>
      <c r="G24" s="48">
        <f>IF(OR(2808282.38613="",9222.65689="",12130.4513=""),"-",(9222.65689-12130.4513)/2808282.38613*100)</f>
        <v>-0.10354351914043569</v>
      </c>
    </row>
    <row r="25" spans="1:7" s="9" customFormat="1" x14ac:dyDescent="0.25">
      <c r="A25" s="47" t="s">
        <v>52</v>
      </c>
      <c r="B25" s="48">
        <f>IF(8245.95119="","-",8245.95119)</f>
        <v>8245.9511899999998</v>
      </c>
      <c r="C25" s="60">
        <f>IF(OR(8584.84942="",8245.95119=""),"-",8245.95119/8584.84942*100)</f>
        <v>96.052368382717646</v>
      </c>
      <c r="D25" s="48">
        <f>IF(8584.84942="","-",8584.84942/2808282.38613*100)</f>
        <v>0.30569751327004169</v>
      </c>
      <c r="E25" s="48">
        <f>IF(8245.95119="","-",8245.95119/2393202.72267*100)</f>
        <v>0.3445571539714915</v>
      </c>
      <c r="F25" s="48">
        <f>IF(OR(2734888.97913="",7966.20164="",8584.84942=""),"-",(8584.84942-7966.20164)/2734888.97913*100)</f>
        <v>2.262058111758523E-2</v>
      </c>
      <c r="G25" s="48">
        <f>IF(OR(2808282.38613="",8245.95119="",8584.84942=""),"-",(8245.95119-8584.84942)/2808282.38613*100)</f>
        <v>-1.2067811687094082E-2</v>
      </c>
    </row>
    <row r="26" spans="1:7" s="9" customFormat="1" x14ac:dyDescent="0.25">
      <c r="A26" s="47" t="s">
        <v>44</v>
      </c>
      <c r="B26" s="48">
        <f>IF(6466.31201="","-",6466.31201)</f>
        <v>6466.3120099999996</v>
      </c>
      <c r="C26" s="60">
        <f>IF(OR(7881.52531="",6466.31201=""),"-",6466.31201/7881.52531*100)</f>
        <v>82.043916065277472</v>
      </c>
      <c r="D26" s="48">
        <f>IF(7881.52531="","-",7881.52531/2808282.38613*100)</f>
        <v>0.28065287696588326</v>
      </c>
      <c r="E26" s="48">
        <f>IF(6466.31201="","-",6466.31201/2393202.72267*100)</f>
        <v>0.27019491281481561</v>
      </c>
      <c r="F26" s="48">
        <f>IF(OR(2734888.97913="",6694.36201="",7881.52531=""),"-",(7881.52531-6694.36201)/2734888.97913*100)</f>
        <v>4.3408098429562239E-2</v>
      </c>
      <c r="G26" s="48">
        <f>IF(OR(2808282.38613="",6466.31201="",7881.52531=""),"-",(6466.31201-7881.52531)/2808282.38613*100)</f>
        <v>-5.0394266153207558E-2</v>
      </c>
    </row>
    <row r="27" spans="1:7" s="9" customFormat="1" x14ac:dyDescent="0.25">
      <c r="A27" s="47" t="s">
        <v>49</v>
      </c>
      <c r="B27" s="48">
        <f>IF(6046.14963="","-",6046.14963)</f>
        <v>6046.1496299999999</v>
      </c>
      <c r="C27" s="60">
        <f>IF(OR(6163.98277="",6046.14963=""),"-",6046.14963/6163.98277*100)</f>
        <v>98.088360328106504</v>
      </c>
      <c r="D27" s="48">
        <f>IF(6163.98277="","-",6163.98277/2808282.38613*100)</f>
        <v>0.21949298263036782</v>
      </c>
      <c r="E27" s="48">
        <f>IF(6046.14963="","-",6046.14963/2393202.72267*100)</f>
        <v>0.25263842351201049</v>
      </c>
      <c r="F27" s="48">
        <f>IF(OR(2734888.97913="",8113.60165="",6163.98277=""),"-",(6163.98277-8113.60165)/2734888.97913*100)</f>
        <v>-7.1286947838745424E-2</v>
      </c>
      <c r="G27" s="48">
        <f>IF(OR(2808282.38613="",6046.14963="",6163.98277=""),"-",(6046.14963-6163.98277)/2808282.38613*100)</f>
        <v>-4.1959149329844157E-3</v>
      </c>
    </row>
    <row r="28" spans="1:7" s="9" customFormat="1" x14ac:dyDescent="0.25">
      <c r="A28" s="47" t="s">
        <v>46</v>
      </c>
      <c r="B28" s="48">
        <f>IF(5097.40527="","-",5097.40527)</f>
        <v>5097.4052700000002</v>
      </c>
      <c r="C28" s="60">
        <f>IF(OR(5110.16333="",5097.40527=""),"-",5097.40527/5110.16333*100)</f>
        <v>99.75033948670287</v>
      </c>
      <c r="D28" s="48">
        <f>IF(5110.16333="","-",5110.16333/2808282.38613*100)</f>
        <v>0.18196757403168937</v>
      </c>
      <c r="E28" s="48">
        <f>IF(5097.40527="","-",5097.40527/2393202.72267*100)</f>
        <v>0.21299513082255858</v>
      </c>
      <c r="F28" s="48">
        <f>IF(OR(2734888.97913="",5506.66131="",5110.16333=""),"-",(5110.16333-5506.66131)/2734888.97913*100)</f>
        <v>-1.449777241510296E-2</v>
      </c>
      <c r="G28" s="48">
        <f>IF(OR(2808282.38613="",5097.40527="",5110.16333=""),"-",(5097.40527-5110.16333)/2808282.38613*100)</f>
        <v>-4.5430117936186504E-4</v>
      </c>
    </row>
    <row r="29" spans="1:7" s="9" customFormat="1" x14ac:dyDescent="0.25">
      <c r="A29" s="47" t="s">
        <v>50</v>
      </c>
      <c r="B29" s="48">
        <f>IF(4749.71207="","-",4749.71207)</f>
        <v>4749.7120699999996</v>
      </c>
      <c r="C29" s="60">
        <f>IF(OR(6595.25957="",4749.71207=""),"-",4749.71207/6595.25957*100)</f>
        <v>72.017060429359262</v>
      </c>
      <c r="D29" s="48">
        <f>IF(6595.25957="","-",6595.25957/2808282.38613*100)</f>
        <v>0.2348502986228784</v>
      </c>
      <c r="E29" s="48">
        <f>IF(4749.71207="","-",4749.71207/2393202.72267*100)</f>
        <v>0.19846676693986615</v>
      </c>
      <c r="F29" s="48">
        <f>IF(OR(2734888.97913="",5953.46187="",6595.25957=""),"-",(6595.25957-5953.46187)/2734888.97913*100)</f>
        <v>2.3467047653399204E-2</v>
      </c>
      <c r="G29" s="48">
        <f>IF(OR(2808282.38613="",4749.71207="",6595.25957=""),"-",(4749.71207-6595.25957)/2808282.38613*100)</f>
        <v>-6.5718017145109386E-2</v>
      </c>
    </row>
    <row r="30" spans="1:7" s="9" customFormat="1" x14ac:dyDescent="0.25">
      <c r="A30" s="47" t="s">
        <v>54</v>
      </c>
      <c r="B30" s="48">
        <f>IF(3823.7802="","-",3823.7802)</f>
        <v>3823.7802000000001</v>
      </c>
      <c r="C30" s="60">
        <f>IF(OR(2950.54452="",3823.7802=""),"-",3823.7802/2950.54452*100)</f>
        <v>129.59574661832252</v>
      </c>
      <c r="D30" s="48">
        <f>IF(2950.54452="","-",2950.54452/2808282.38613*100)</f>
        <v>0.10506580586669728</v>
      </c>
      <c r="E30" s="48">
        <f>IF(3823.7802="","-",3823.7802/2393202.72267*100)</f>
        <v>0.15977669437606032</v>
      </c>
      <c r="F30" s="48">
        <f>IF(OR(2734888.97913="",2915.63214="",2950.54452=""),"-",(2950.54452-2915.63214)/2734888.97913*100)</f>
        <v>1.2765556578865512E-3</v>
      </c>
      <c r="G30" s="48">
        <f>IF(OR(2808282.38613="",3823.7802="",2950.54452=""),"-",(3823.7802-2950.54452)/2808282.38613*100)</f>
        <v>3.1095009686806358E-2</v>
      </c>
    </row>
    <row r="31" spans="1:7" s="9" customFormat="1" x14ac:dyDescent="0.25">
      <c r="A31" s="47" t="s">
        <v>128</v>
      </c>
      <c r="B31" s="48">
        <f>IF(2694.65721="","-",2694.65721)</f>
        <v>2694.6572099999998</v>
      </c>
      <c r="C31" s="60">
        <f>IF(OR(2668.92383="",2694.65721=""),"-",2694.65721/2668.92383*100)</f>
        <v>100.96418562833244</v>
      </c>
      <c r="D31" s="48">
        <f>IF(2668.92383="","-",2668.92383/2808282.38613*100)</f>
        <v>9.5037587501232562E-2</v>
      </c>
      <c r="E31" s="48">
        <f>IF(2694.65721="","-",2694.65721/2393202.72267*100)</f>
        <v>0.11259627880556976</v>
      </c>
      <c r="F31" s="48">
        <f>IF(OR(2734888.97913="",1731.87609="",2668.92383=""),"-",(2668.92383-1731.87609)/2734888.97913*100)</f>
        <v>3.4262734142066931E-2</v>
      </c>
      <c r="G31" s="48">
        <f>IF(OR(2808282.38613="",2694.65721="",2668.92383=""),"-",(2694.65721-2668.92383)/2808282.38613*100)</f>
        <v>9.1633876020074951E-4</v>
      </c>
    </row>
    <row r="32" spans="1:7" s="9" customFormat="1" x14ac:dyDescent="0.25">
      <c r="A32" s="47" t="s">
        <v>47</v>
      </c>
      <c r="B32" s="48">
        <f>IF(1673.0394="","-",1673.0394)</f>
        <v>1673.0393999999999</v>
      </c>
      <c r="C32" s="60">
        <f>IF(OR(2343.87571="",1673.0394=""),"-",1673.0394/2343.87571*100)</f>
        <v>71.379185886951319</v>
      </c>
      <c r="D32" s="48">
        <f>IF(2343.87571="","-",2343.87571/2808282.38613*100)</f>
        <v>8.3462963752374511E-2</v>
      </c>
      <c r="E32" s="48">
        <f>IF(1673.0394="","-",1673.0394/2393202.72267*100)</f>
        <v>6.9907968269961568E-2</v>
      </c>
      <c r="F32" s="48">
        <f>IF(OR(2734888.97913="",2410.09462="",2343.87571=""),"-",(2343.87571-2410.09462)/2734888.97913*100)</f>
        <v>-2.42126501314379E-3</v>
      </c>
      <c r="G32" s="48">
        <f>IF(OR(2808282.38613="",1673.0394="",2343.87571=""),"-",(1673.0394-2343.87571)/2808282.38613*100)</f>
        <v>-2.3887779708808309E-2</v>
      </c>
    </row>
    <row r="33" spans="1:7" s="9" customFormat="1" x14ac:dyDescent="0.25">
      <c r="A33" s="47" t="s">
        <v>55</v>
      </c>
      <c r="B33" s="48">
        <f>IF(517.66669="","-",517.66669)</f>
        <v>517.66669000000002</v>
      </c>
      <c r="C33" s="60">
        <f>IF(OR(773.82471="",517.66669=""),"-",517.66669/773.82471*100)</f>
        <v>66.897151681806605</v>
      </c>
      <c r="D33" s="48">
        <f>IF(773.82471="","-",773.82471/2808282.38613*100)</f>
        <v>2.7555088969039965E-2</v>
      </c>
      <c r="E33" s="48">
        <f>IF(517.66669="","-",517.66669/2393202.72267*100)</f>
        <v>2.1630707883470067E-2</v>
      </c>
      <c r="F33" s="48">
        <f>IF(OR(2734888.97913="",515.20747="",773.82471=""),"-",(773.82471-515.20747)/2734888.97913*100)</f>
        <v>9.456224438122135E-3</v>
      </c>
      <c r="G33" s="48">
        <f>IF(OR(2808282.38613="",517.66669="",773.82471=""),"-",(517.66669-773.82471)/2808282.38613*100)</f>
        <v>-9.1215193053645425E-3</v>
      </c>
    </row>
    <row r="34" spans="1:7" s="9" customFormat="1" x14ac:dyDescent="0.25">
      <c r="A34" s="47" t="s">
        <v>48</v>
      </c>
      <c r="B34" s="48">
        <f>IF(228.91915="","-",228.91915)</f>
        <v>228.91915</v>
      </c>
      <c r="C34" s="60">
        <f>IF(OR(365.41995="",228.91915=""),"-",228.91915/365.41995*100)</f>
        <v>62.645498692668532</v>
      </c>
      <c r="D34" s="48">
        <f>IF(365.41995="","-",365.41995/2808282.38613*100)</f>
        <v>1.3012222410566517E-2</v>
      </c>
      <c r="E34" s="48">
        <f>IF(228.91915="","-",228.91915/2393202.72267*100)</f>
        <v>9.5653890007531047E-3</v>
      </c>
      <c r="F34" s="48">
        <f>IF(OR(2734888.97913="",474.4256="",365.41995=""),"-",(365.41995-474.4256)/2734888.97913*100)</f>
        <v>-3.9857431446696599E-3</v>
      </c>
      <c r="G34" s="48">
        <f>IF(OR(2808282.38613="",228.91915="",365.41995=""),"-",(228.91915-365.41995)/2808282.38613*100)</f>
        <v>-4.8606507904679474E-3</v>
      </c>
    </row>
    <row r="35" spans="1:7" s="9" customFormat="1" x14ac:dyDescent="0.25">
      <c r="A35" s="47" t="s">
        <v>56</v>
      </c>
      <c r="B35" s="48">
        <f>IF(31.06507="","-",31.06507)</f>
        <v>31.065069999999999</v>
      </c>
      <c r="C35" s="60">
        <f>IF(OR(48.47985="",31.06507=""),"-",31.06507/48.47985*100)</f>
        <v>64.078312948575544</v>
      </c>
      <c r="D35" s="48">
        <f>IF(48.47985="","-",48.47985/2808282.38613*100)</f>
        <v>1.7263167778083903E-3</v>
      </c>
      <c r="E35" s="48">
        <f>IF(31.06507="","-",31.06507/2393202.72267*100)</f>
        <v>1.2980542645105279E-3</v>
      </c>
      <c r="F35" s="48">
        <f>IF(OR(2734888.97913="",58.31718="",48.47985=""),"-",(48.47985-58.31718)/2734888.97913*100)</f>
        <v>-3.5969759924694896E-4</v>
      </c>
      <c r="G35" s="48">
        <f>IF(OR(2808282.38613="",31.06507="",48.47985=""),"-",(31.06507-48.47985)/2808282.38613*100)</f>
        <v>-6.2012211044056454E-4</v>
      </c>
    </row>
    <row r="36" spans="1:7" s="9" customFormat="1" x14ac:dyDescent="0.25">
      <c r="A36" s="37" t="s">
        <v>180</v>
      </c>
      <c r="B36" s="46">
        <f>IF(585415.39693="","-",585415.39693)</f>
        <v>585415.39693000005</v>
      </c>
      <c r="C36" s="59">
        <f>IF(696515.83291="","-",585415.39693/696515.83291*100)</f>
        <v>84.049115507420808</v>
      </c>
      <c r="D36" s="46">
        <f>IF(696515.83291="","-",696515.83291/2808282.38613*100)</f>
        <v>24.802200674336213</v>
      </c>
      <c r="E36" s="46">
        <f>IF(585415.39693="","-",585415.39693/2393202.72267*100)</f>
        <v>24.461588288553994</v>
      </c>
      <c r="F36" s="46">
        <f>IF(2734888.97913="","-",(696515.83291-637462.32109)/2734888.97913*100)</f>
        <v>2.1592654133545715</v>
      </c>
      <c r="G36" s="46">
        <f>IF(2808282.38613="","-",(585415.39693-696515.83291)/2808282.38613*100)</f>
        <v>-3.9561703811810656</v>
      </c>
    </row>
    <row r="37" spans="1:7" s="9" customFormat="1" x14ac:dyDescent="0.25">
      <c r="A37" s="47" t="s">
        <v>129</v>
      </c>
      <c r="B37" s="48">
        <f>IF(295470.17592="","-",295470.17592)</f>
        <v>295470.17592000001</v>
      </c>
      <c r="C37" s="60">
        <f>IF(OR(349252.8024="",295470.17592=""),"-",295470.17592/349252.8024*100)</f>
        <v>84.600660006042659</v>
      </c>
      <c r="D37" s="48">
        <f>IF(349252.8024="","-",349252.8024/2808282.38613*100)</f>
        <v>12.436527185618736</v>
      </c>
      <c r="E37" s="48">
        <f>IF(295470.17592="","-",295470.17592/2393202.72267*100)</f>
        <v>12.34622429270663</v>
      </c>
      <c r="F37" s="48">
        <f>IF(OR(2734888.97913="",323555.32502="",349252.8024=""),"-",(349252.8024-323555.32502)/2734888.97913*100)</f>
        <v>0.93961683915135241</v>
      </c>
      <c r="G37" s="48">
        <f>IF(OR(2808282.38613="",295470.17592="",349252.8024=""),"-",(295470.17592-349252.8024)/2808282.38613*100)</f>
        <v>-1.9151431047543626</v>
      </c>
    </row>
    <row r="38" spans="1:7" s="9" customFormat="1" x14ac:dyDescent="0.25">
      <c r="A38" s="47" t="s">
        <v>12</v>
      </c>
      <c r="B38" s="48">
        <f>IF(228651.31753="","-",228651.31753)</f>
        <v>228651.31753</v>
      </c>
      <c r="C38" s="60">
        <f>IF(OR(272340.70528="",228651.31753=""),"-",228651.31753/272340.70528*100)</f>
        <v>83.957819414074777</v>
      </c>
      <c r="D38" s="48">
        <f>IF(272340.70528="","-",272340.70528/2808282.38613*100)</f>
        <v>9.6977678108540779</v>
      </c>
      <c r="E38" s="48">
        <f>IF(228651.31753="","-",228651.31753/2393202.72267*100)</f>
        <v>9.5541976182821209</v>
      </c>
      <c r="F38" s="48">
        <f>IF(OR(2734888.97913="",255762.11953="",272340.70528=""),"-",(272340.70528-255762.11953)/2734888.97913*100)</f>
        <v>0.60618861959339354</v>
      </c>
      <c r="G38" s="48">
        <f>IF(OR(2808282.38613="",228651.31753="",272340.70528=""),"-",(228651.31753-272340.70528)/2808282.38613*100)</f>
        <v>-1.5557334250209389</v>
      </c>
    </row>
    <row r="39" spans="1:7" s="9" customFormat="1" x14ac:dyDescent="0.25">
      <c r="A39" s="47" t="s">
        <v>11</v>
      </c>
      <c r="B39" s="48">
        <f>IF(46723.24674="","-",46723.24674)</f>
        <v>46723.246740000002</v>
      </c>
      <c r="C39" s="60">
        <f>IF(OR(63404.69742="",46723.24674=""),"-",46723.24674/63404.69742*100)</f>
        <v>73.690512913420051</v>
      </c>
      <c r="D39" s="48">
        <f>IF(63404.69742="","-",63404.69742/2808282.38613*100)</f>
        <v>2.2577749920432999</v>
      </c>
      <c r="E39" s="48">
        <f>IF(46723.24674="","-",46723.24674/2393202.72267*100)</f>
        <v>1.9523313381439227</v>
      </c>
      <c r="F39" s="48">
        <f>IF(OR(2734888.97913="",49934.33624="",63404.69742=""),"-",(63404.69742-49934.33624)/2734888.97913*100)</f>
        <v>0.49253776964230112</v>
      </c>
      <c r="G39" s="48">
        <f>IF(OR(2808282.38613="",46723.24674="",63404.69742=""),"-",(46723.24674-63404.69742)/2808282.38613*100)</f>
        <v>-0.59400901997566358</v>
      </c>
    </row>
    <row r="40" spans="1:7" s="9" customFormat="1" x14ac:dyDescent="0.25">
      <c r="A40" s="47" t="s">
        <v>13</v>
      </c>
      <c r="B40" s="48">
        <f>IF(5106.68649="","-",5106.68649)</f>
        <v>5106.68649</v>
      </c>
      <c r="C40" s="60">
        <f>IF(OR(4278.66319="",5106.68649=""),"-",5106.68649/4278.66319*100)</f>
        <v>119.3523832849297</v>
      </c>
      <c r="D40" s="48">
        <f>IF(4278.66319="","-",4278.66319/2808282.38613*100)</f>
        <v>0.1523587232940731</v>
      </c>
      <c r="E40" s="48">
        <f>IF(5106.68649="","-",5106.68649/2393202.72267*100)</f>
        <v>0.21338294669423891</v>
      </c>
      <c r="F40" s="48">
        <f>IF(OR(2734888.97913="",1652.28934="",4278.66319=""),"-",(4278.66319-1652.28934)/2734888.97913*100)</f>
        <v>9.6032192532929814E-2</v>
      </c>
      <c r="G40" s="48">
        <f>IF(OR(2808282.38613="",5106.68649="",4278.66319=""),"-",(5106.68649-4278.66319)/2808282.38613*100)</f>
        <v>2.948504409989449E-2</v>
      </c>
    </row>
    <row r="41" spans="1:7" s="9" customFormat="1" x14ac:dyDescent="0.25">
      <c r="A41" s="47" t="s">
        <v>14</v>
      </c>
      <c r="B41" s="48">
        <f>IF(3899.74063="","-",3899.74063)</f>
        <v>3899.7406299999998</v>
      </c>
      <c r="C41" s="60" t="s">
        <v>299</v>
      </c>
      <c r="D41" s="48">
        <f>IF(362.04084="","-",362.04084/2808282.38613*100)</f>
        <v>1.2891895835978105E-2</v>
      </c>
      <c r="E41" s="48">
        <f>IF(3899.74063="","-",3899.74063/2393202.72267*100)</f>
        <v>0.16295070171277493</v>
      </c>
      <c r="F41" s="48">
        <f>IF(OR(2734888.97913="",334.02105="",362.04084=""),"-",(362.04084-334.02105)/2734888.97913*100)</f>
        <v>1.0245311679493996E-3</v>
      </c>
      <c r="G41" s="48">
        <f>IF(OR(2808282.38613="",3899.74063="",362.04084=""),"-",(3899.74063-362.04084)/2808282.38613*100)</f>
        <v>0.12597379122101698</v>
      </c>
    </row>
    <row r="42" spans="1:7" s="9" customFormat="1" x14ac:dyDescent="0.25">
      <c r="A42" s="47" t="s">
        <v>15</v>
      </c>
      <c r="B42" s="48">
        <f>IF(3704.9632="","-",3704.9632)</f>
        <v>3704.9632000000001</v>
      </c>
      <c r="C42" s="60">
        <f>IF(OR(4303.80562="",3704.9632=""),"-",3704.9632/4303.80562*100)</f>
        <v>86.085746595590905</v>
      </c>
      <c r="D42" s="48">
        <f>IF(4303.80562="","-",4303.80562/2808282.38613*100)</f>
        <v>0.15325401894255125</v>
      </c>
      <c r="E42" s="48">
        <f>IF(3704.9632="","-",3704.9632/2393202.72267*100)</f>
        <v>0.15481192482793607</v>
      </c>
      <c r="F42" s="48">
        <f>IF(OR(2734888.97913="",2028.3148="",4303.80562=""),"-",(4303.80562-2028.3148)/2734888.97913*100)</f>
        <v>8.3202310491004294E-2</v>
      </c>
      <c r="G42" s="48">
        <f>IF(OR(2808282.38613="",3704.9632="",4303.80562=""),"-",(3704.9632-4303.80562)/2808282.38613*100)</f>
        <v>-2.1324152548107694E-2</v>
      </c>
    </row>
    <row r="43" spans="1:7" s="9" customFormat="1" x14ac:dyDescent="0.25">
      <c r="A43" s="47" t="s">
        <v>16</v>
      </c>
      <c r="B43" s="48">
        <f>IF(1390.92304="","-",1390.92304)</f>
        <v>1390.9230399999999</v>
      </c>
      <c r="C43" s="60">
        <f>IF(OR(1964.37546="",1390.92304=""),"-",1390.92304/1964.37546*100)</f>
        <v>70.807392391269232</v>
      </c>
      <c r="D43" s="48">
        <f>IF(1964.37546="","-",1964.37546/2808282.38613*100)</f>
        <v>6.9949356578311916E-2</v>
      </c>
      <c r="E43" s="48">
        <f>IF(1390.92304="","-",1390.92304/2393202.72267*100)</f>
        <v>5.8119733310691001E-2</v>
      </c>
      <c r="F43" s="48">
        <f>IF(OR(2734888.97913="",3601.01784="",1964.37546=""),"-",(1964.37546-3601.01784)/2734888.97913*100)</f>
        <v>-5.9843101218705959E-2</v>
      </c>
      <c r="G43" s="48">
        <f>IF(OR(2808282.38613="",1390.92304="",1964.37546=""),"-",(1390.92304-1964.37546)/2808282.38613*100)</f>
        <v>-2.0420041190738501E-2</v>
      </c>
    </row>
    <row r="44" spans="1:7" s="9" customFormat="1" x14ac:dyDescent="0.25">
      <c r="A44" s="47" t="s">
        <v>17</v>
      </c>
      <c r="B44" s="48">
        <f>IF(411.46325="","-",411.46325)</f>
        <v>411.46325000000002</v>
      </c>
      <c r="C44" s="60">
        <f>IF(OR(523.43224="",411.46325=""),"-",411.46325/523.43224*100)</f>
        <v>78.608694412862306</v>
      </c>
      <c r="D44" s="48">
        <f>IF(523.43224="","-",523.43224/2808282.38613*100)</f>
        <v>1.8638874871886528E-2</v>
      </c>
      <c r="E44" s="48">
        <f>IF(411.46325="","-",411.46325/2393202.72267*100)</f>
        <v>1.7192996067668977E-2</v>
      </c>
      <c r="F44" s="48">
        <f>IF(OR(2734888.97913="",535.99321="",523.43224=""),"-",(523.43224-535.99321)/2734888.97913*100)</f>
        <v>-4.5928628532467116E-4</v>
      </c>
      <c r="G44" s="48">
        <f>IF(OR(2808282.38613="",411.46325="",523.43224=""),"-",(411.46325-523.43224)/2808282.38613*100)</f>
        <v>-3.9870986818494655E-3</v>
      </c>
    </row>
    <row r="45" spans="1:7" s="9" customFormat="1" x14ac:dyDescent="0.25">
      <c r="A45" s="47" t="s">
        <v>131</v>
      </c>
      <c r="B45" s="48">
        <f>IF(56.69462="","-",56.69462)</f>
        <v>56.69462</v>
      </c>
      <c r="C45" s="60">
        <f>IF(OR(85.24136="",56.69462=""),"-",56.69462/85.24136*100)</f>
        <v>66.510693869736471</v>
      </c>
      <c r="D45" s="48">
        <f>IF(85.24136="","-",85.24136/2808282.38613*100)</f>
        <v>3.0353557185347113E-3</v>
      </c>
      <c r="E45" s="48">
        <f>IF(56.69462="","-",56.69462/2393202.72267*100)</f>
        <v>2.3689852707817452E-3</v>
      </c>
      <c r="F45" s="48">
        <f>IF(OR(2734888.97913="",58.69841="",85.24136=""),"-",(85.24136-58.69841)/2734888.97913*100)</f>
        <v>9.7053116973119758E-4</v>
      </c>
      <c r="G45" s="48">
        <f>IF(OR(2808282.38613="",56.69462="",85.24136=""),"-",(56.69462-85.24136)/2808282.38613*100)</f>
        <v>-1.0165195687225495E-3</v>
      </c>
    </row>
    <row r="46" spans="1:7" s="9" customFormat="1" x14ac:dyDescent="0.25">
      <c r="A46" s="47" t="s">
        <v>18</v>
      </c>
      <c r="B46" s="48">
        <f>IF(0.18551="","-",0.18551)</f>
        <v>0.18551000000000001</v>
      </c>
      <c r="C46" s="60" t="s">
        <v>196</v>
      </c>
      <c r="D46" s="48">
        <f>IF(0.0691="","-",0.0691/2808282.38613*100)</f>
        <v>2.4605787630646501E-6</v>
      </c>
      <c r="E46" s="48">
        <f>IF(0.18551="","-",0.18551/2393202.72267*100)</f>
        <v>7.7515372284481585E-6</v>
      </c>
      <c r="F46" s="48">
        <f>IF(OR(2734888.97913="",0.20565="",0.0691=""),"-",(0.0691-0.20565)/2734888.97913*100)</f>
        <v>-4.9928900603284515E-6</v>
      </c>
      <c r="G46" s="48">
        <f>IF(OR(2808282.38613="",0.18551="",0.0691=""),"-",(0.18551-0.0691)/2808282.38613*100)</f>
        <v>4.1452384053307664E-6</v>
      </c>
    </row>
    <row r="47" spans="1:7" s="9" customFormat="1" x14ac:dyDescent="0.25">
      <c r="A47" s="37" t="s">
        <v>181</v>
      </c>
      <c r="B47" s="46">
        <f>IF(689555.86627="","-",689555.86627)</f>
        <v>689555.86627</v>
      </c>
      <c r="C47" s="59">
        <f>IF(736487.58706="","-",689555.86627/736487.58706*100)</f>
        <v>93.627629085053869</v>
      </c>
      <c r="D47" s="46">
        <f>IF(736487.58706="","-",736487.58706/2808282.38613*100)</f>
        <v>26.22555305326431</v>
      </c>
      <c r="E47" s="46">
        <f>IF(689555.86627="","-",689555.86627/2393202.72267*100)</f>
        <v>28.81309885443763</v>
      </c>
      <c r="F47" s="46">
        <f>IF(2734888.97913="","-",(736487.58706-731315.4254)/2734888.97913*100)</f>
        <v>0.18911779232974293</v>
      </c>
      <c r="G47" s="46">
        <f>IF(2808282.38613="","-",(689555.86627-736487.58706)/2808282.38613*100)</f>
        <v>-1.6711895150499836</v>
      </c>
    </row>
    <row r="48" spans="1:7" s="9" customFormat="1" x14ac:dyDescent="0.25">
      <c r="A48" s="47" t="s">
        <v>60</v>
      </c>
      <c r="B48" s="48">
        <f>IF(262593.47847="","-",262593.47847)</f>
        <v>262593.47846999997</v>
      </c>
      <c r="C48" s="60">
        <f>IF(OR(277937.81489="",262593.47847=""),"-",262593.47847/277937.81489*100)</f>
        <v>94.479219595911104</v>
      </c>
      <c r="D48" s="48">
        <f>IF(277937.81489="","-",277937.81489/2808282.38613*100)</f>
        <v>9.89707503286437</v>
      </c>
      <c r="E48" s="48">
        <f>IF(262593.47847="","-",262593.47847/2393202.72267*100)</f>
        <v>10.972471156853565</v>
      </c>
      <c r="F48" s="48">
        <f>IF(OR(2734888.97913="",285619.72909="",277937.81489=""),"-",(277937.81489-285619.72909)/2734888.97913*100)</f>
        <v>-0.28088577849488083</v>
      </c>
      <c r="G48" s="48">
        <f>IF(OR(2808282.38613="",262593.47847="",277937.81489=""),"-",(262593.47847-277937.81489)/2808282.38613*100)</f>
        <v>-0.54639577899235137</v>
      </c>
    </row>
    <row r="49" spans="1:7" s="9" customFormat="1" x14ac:dyDescent="0.25">
      <c r="A49" s="47" t="s">
        <v>57</v>
      </c>
      <c r="B49" s="48">
        <f>IF(163358.62336="","-",163358.62336)</f>
        <v>163358.62336</v>
      </c>
      <c r="C49" s="60">
        <f>IF(OR(181709.29785="",163358.62336=""),"-",163358.62336/181709.29785*100)</f>
        <v>89.901081173541058</v>
      </c>
      <c r="D49" s="48">
        <f>IF(181709.29785="","-",181709.29785/2808282.38613*100)</f>
        <v>6.4704781380766878</v>
      </c>
      <c r="E49" s="48">
        <f>IF(163358.62336="","-",163358.62336/2393202.72267*100)</f>
        <v>6.8259417312440354</v>
      </c>
      <c r="F49" s="48">
        <f>IF(OR(2734888.97913="",161328.19409="",181709.29785=""),"-",(181709.29785-161328.19409)/2734888.97913*100)</f>
        <v>0.74522600059924426</v>
      </c>
      <c r="G49" s="48">
        <f>IF(OR(2808282.38613="",163358.62336="",181709.29785=""),"-",(163358.62336-181709.29785)/2808282.38613*100)</f>
        <v>-0.65344833484813669</v>
      </c>
    </row>
    <row r="50" spans="1:7" s="9" customFormat="1" x14ac:dyDescent="0.25">
      <c r="A50" s="47" t="s">
        <v>19</v>
      </c>
      <c r="B50" s="48">
        <f>IF(32554.9322099999="","-",32554.9322099999)</f>
        <v>32554.932209999901</v>
      </c>
      <c r="C50" s="60">
        <f>IF(OR(35933.63281="",32554.9322099999=""),"-",32554.9322099999/35933.63281*100)</f>
        <v>90.597386526808833</v>
      </c>
      <c r="D50" s="48">
        <f>IF(35933.63281="","-",35933.63281/2808282.38613*100)</f>
        <v>1.2795590994507835</v>
      </c>
      <c r="E50" s="48">
        <f>IF(32554.9322099999="","-",32554.9322099999/2393202.72267*100)</f>
        <v>1.3603081720415089</v>
      </c>
      <c r="F50" s="48">
        <f>IF(OR(2734888.97913="",37761.7023="",35933.63281=""),"-",(35933.63281-37761.7023)/2734888.97913*100)</f>
        <v>-6.6842548416043007E-2</v>
      </c>
      <c r="G50" s="48">
        <f>IF(OR(2808282.38613="",32554.9322099999="",35933.63281=""),"-",(32554.9322099999-35933.63281)/2808282.38613*100)</f>
        <v>-0.12031199628240294</v>
      </c>
    </row>
    <row r="51" spans="1:7" s="9" customFormat="1" x14ac:dyDescent="0.25">
      <c r="A51" s="47" t="s">
        <v>77</v>
      </c>
      <c r="B51" s="48">
        <f>IF(24186.46744="","-",24186.46744)</f>
        <v>24186.46744</v>
      </c>
      <c r="C51" s="60">
        <f>IF(OR(22736.89939="",24186.46744=""),"-",24186.46744/22736.89939*100)</f>
        <v>106.37539897211113</v>
      </c>
      <c r="D51" s="48">
        <f>IF(22736.89939="","-",22736.89939/2808282.38613*100)</f>
        <v>0.80963721819061651</v>
      </c>
      <c r="E51" s="48">
        <f>IF(24186.46744="","-",24186.46744/2393202.72267*100)</f>
        <v>1.0106317868891663</v>
      </c>
      <c r="F51" s="48">
        <f>IF(OR(2734888.97913="",28182.65967="",22736.89939=""),"-",(22736.89939-28182.65967)/2734888.97913*100)</f>
        <v>-0.19912180426908452</v>
      </c>
      <c r="G51" s="48">
        <f>IF(OR(2808282.38613="",24186.46744="",22736.89939=""),"-",(24186.46744-22736.89939)/2808282.38613*100)</f>
        <v>5.1617602886353711E-2</v>
      </c>
    </row>
    <row r="52" spans="1:7" s="9" customFormat="1" ht="25.5" x14ac:dyDescent="0.25">
      <c r="A52" s="47" t="s">
        <v>126</v>
      </c>
      <c r="B52" s="48">
        <f>IF(23617.74824="","-",23617.74824)</f>
        <v>23617.748240000001</v>
      </c>
      <c r="C52" s="60">
        <f>IF(OR(27544.84667="",23617.74824=""),"-",23617.74824/27544.84667*100)</f>
        <v>85.742892392727938</v>
      </c>
      <c r="D52" s="48">
        <f>IF(27544.84667="","-",27544.84667/2808282.38613*100)</f>
        <v>0.98084319461756941</v>
      </c>
      <c r="E52" s="48">
        <f>IF(23617.74824="","-",23617.74824/2393202.72267*100)</f>
        <v>0.98686784935839578</v>
      </c>
      <c r="F52" s="48">
        <f>IF(OR(2734888.97913="",29550.85327="",27544.84667=""),"-",(27544.84667-29550.85327)/2734888.97913*100)</f>
        <v>-7.3348739759013362E-2</v>
      </c>
      <c r="G52" s="48">
        <f>IF(OR(2808282.38613="",23617.74824="",27544.84667=""),"-",(23617.74824-27544.84667)/2808282.38613*100)</f>
        <v>-0.13983986971523193</v>
      </c>
    </row>
    <row r="53" spans="1:7" s="9" customFormat="1" x14ac:dyDescent="0.25">
      <c r="A53" s="47" t="s">
        <v>37</v>
      </c>
      <c r="B53" s="48">
        <f>IF(18400.30954="","-",18400.30954)</f>
        <v>18400.309539999998</v>
      </c>
      <c r="C53" s="60">
        <f>IF(OR(16392.52252="",18400.30954=""),"-",18400.30954/16392.52252*100)</f>
        <v>112.24818826724419</v>
      </c>
      <c r="D53" s="48">
        <f>IF(16392.52252="","-",16392.52252/2808282.38613*100)</f>
        <v>0.58372059024270651</v>
      </c>
      <c r="E53" s="48">
        <f>IF(18400.30954="","-",18400.30954/2393202.72267*100)</f>
        <v>0.76885712044784538</v>
      </c>
      <c r="F53" s="48">
        <f>IF(OR(2734888.97913="",17482.61532="",16392.52252=""),"-",(16392.52252-17482.61532)/2734888.97913*100)</f>
        <v>-3.985875874006313E-2</v>
      </c>
      <c r="G53" s="48">
        <f>IF(OR(2808282.38613="",18400.30954="",16392.52252=""),"-",(18400.30954-16392.52252)/2808282.38613*100)</f>
        <v>7.1495196847595657E-2</v>
      </c>
    </row>
    <row r="54" spans="1:7" s="9" customFormat="1" x14ac:dyDescent="0.25">
      <c r="A54" s="47" t="s">
        <v>70</v>
      </c>
      <c r="B54" s="48">
        <f>IF(16960.13661="","-",16960.13661)</f>
        <v>16960.136610000001</v>
      </c>
      <c r="C54" s="60">
        <f>IF(OR(18239.67978="",16960.13661=""),"-",16960.13661/18239.67978*100)</f>
        <v>92.984837533151051</v>
      </c>
      <c r="D54" s="48">
        <f>IF(18239.67978="","-",18239.67978/2808282.38613*100)</f>
        <v>0.64949592925857758</v>
      </c>
      <c r="E54" s="48">
        <f>IF(16960.13661="","-",16960.13661/2393202.72267*100)</f>
        <v>0.70867947998480707</v>
      </c>
      <c r="F54" s="48">
        <f>IF(OR(2734888.97913="",14634.47554="",18239.67978=""),"-",(18239.67978-14634.47554)/2734888.97913*100)</f>
        <v>0.13182269070194055</v>
      </c>
      <c r="G54" s="48">
        <f>IF(OR(2808282.38613="",16960.13661="",18239.67978=""),"-",(16960.13661-18239.67978)/2808282.38613*100)</f>
        <v>-4.5563194653059545E-2</v>
      </c>
    </row>
    <row r="55" spans="1:7" s="9" customFormat="1" x14ac:dyDescent="0.25">
      <c r="A55" s="47" t="s">
        <v>73</v>
      </c>
      <c r="B55" s="48">
        <f>IF(14979.55076="","-",14979.55076)</f>
        <v>14979.55076</v>
      </c>
      <c r="C55" s="60">
        <f>IF(OR(20992.05308="",14979.55076=""),"-",14979.55076/20992.05308*100)</f>
        <v>71.358197804252114</v>
      </c>
      <c r="D55" s="48">
        <f>IF(20992.05308="","-",20992.05308/2808282.38613*100)</f>
        <v>0.74750506514868142</v>
      </c>
      <c r="E55" s="48">
        <f>IF(14979.55076="","-",14979.55076/2393202.72267*100)</f>
        <v>0.62592068018742331</v>
      </c>
      <c r="F55" s="48">
        <f>IF(OR(2734888.97913="",17103.4129="",20992.05308=""),"-",(20992.05308-17103.4129)/2734888.97913*100)</f>
        <v>0.14218639987488721</v>
      </c>
      <c r="G55" s="48">
        <f>IF(OR(2808282.38613="",14979.55076="",20992.05308=""),"-",(14979.55076-20992.05308)/2808282.38613*100)</f>
        <v>-0.21409892216308168</v>
      </c>
    </row>
    <row r="56" spans="1:7" s="9" customFormat="1" x14ac:dyDescent="0.25">
      <c r="A56" s="47" t="s">
        <v>132</v>
      </c>
      <c r="B56" s="48">
        <f>IF(13937.06773="","-",13937.06773)</f>
        <v>13937.067730000001</v>
      </c>
      <c r="C56" s="60">
        <f>IF(OR(16994.82107="",13937.06773=""),"-",13937.06773/16994.82107*100)</f>
        <v>82.00773443035726</v>
      </c>
      <c r="D56" s="48">
        <f>IF(16994.82107="","-",16994.82107/2808282.38613*100)</f>
        <v>0.60516781196708624</v>
      </c>
      <c r="E56" s="48">
        <f>IF(13937.06773="","-",13937.06773/2393202.72267*100)</f>
        <v>0.58236051622283691</v>
      </c>
      <c r="F56" s="48">
        <f>IF(OR(2734888.97913="",15819.31772="",16994.82107=""),"-",(16994.82107-15819.31772)/2734888.97913*100)</f>
        <v>4.2981757540079164E-2</v>
      </c>
      <c r="G56" s="48">
        <f>IF(OR(2808282.38613="",13937.06773="",16994.82107=""),"-",(13937.06773-16994.82107)/2808282.38613*100)</f>
        <v>-0.10888339987111442</v>
      </c>
    </row>
    <row r="57" spans="1:7" s="9" customFormat="1" x14ac:dyDescent="0.25">
      <c r="A57" s="47" t="s">
        <v>67</v>
      </c>
      <c r="B57" s="48">
        <f>IF(12810.4898="","-",12810.4898)</f>
        <v>12810.489799999999</v>
      </c>
      <c r="C57" s="60">
        <f>IF(OR(9704.01609="",12810.4898=""),"-",12810.4898/9704.01609*100)</f>
        <v>132.01224813715245</v>
      </c>
      <c r="D57" s="48">
        <f>IF(9704.01609="","-",9704.01609/2808282.38613*100)</f>
        <v>0.3455498684152194</v>
      </c>
      <c r="E57" s="48">
        <f>IF(12810.4898="","-",12810.4898/2393202.72267*100)</f>
        <v>0.53528644601021724</v>
      </c>
      <c r="F57" s="48">
        <f>IF(OR(2734888.97913="",12949.64967="",9704.01609=""),"-",(9704.01609-12949.64967)/2734888.97913*100)</f>
        <v>-0.11867514933028381</v>
      </c>
      <c r="G57" s="48">
        <f>IF(OR(2808282.38613="",12810.4898="",9704.01609=""),"-",(12810.4898-9704.01609)/2808282.38613*100)</f>
        <v>0.11061828131468388</v>
      </c>
    </row>
    <row r="58" spans="1:7" s="9" customFormat="1" x14ac:dyDescent="0.25">
      <c r="A58" s="47" t="s">
        <v>80</v>
      </c>
      <c r="B58" s="48">
        <f>IF(10212.09971="","-",10212.09971)</f>
        <v>10212.09971</v>
      </c>
      <c r="C58" s="60">
        <f>IF(OR(9156.31567="",10212.09971=""),"-",10212.09971/9156.31567*100)</f>
        <v>111.53066449488193</v>
      </c>
      <c r="D58" s="48">
        <f>IF(9156.31567="","-",9156.31567/2808282.38613*100)</f>
        <v>0.32604682902341642</v>
      </c>
      <c r="E58" s="48">
        <f>IF(10212.09971="","-",10212.09971/2393202.72267*100)</f>
        <v>0.4267126897886348</v>
      </c>
      <c r="F58" s="48">
        <f>IF(OR(2734888.97913="",8213.35153="",9156.31567=""),"-",(9156.31567-8213.35153)/2734888.97913*100)</f>
        <v>3.4479064678521902E-2</v>
      </c>
      <c r="G58" s="48">
        <f>IF(OR(2808282.38613="",10212.09971="",9156.31567=""),"-",(10212.09971-9156.31567)/2808282.38613*100)</f>
        <v>3.7595365950891468E-2</v>
      </c>
    </row>
    <row r="59" spans="1:7" s="9" customFormat="1" x14ac:dyDescent="0.25">
      <c r="A59" s="47" t="s">
        <v>71</v>
      </c>
      <c r="B59" s="48">
        <f>IF(8011.77601="","-",8011.77601)</f>
        <v>8011.7760099999996</v>
      </c>
      <c r="C59" s="60">
        <f>IF(OR(10665.48966="",8011.77601=""),"-",8011.77601/10665.48966*100)</f>
        <v>75.118689018540579</v>
      </c>
      <c r="D59" s="48">
        <f>IF(10665.48966="","-",10665.48966/2808282.38613*100)</f>
        <v>0.37978693712129691</v>
      </c>
      <c r="E59" s="48">
        <f>IF(8011.77601="","-",8011.77601/2393202.72267*100)</f>
        <v>0.33477214170396657</v>
      </c>
      <c r="F59" s="48">
        <f>IF(OR(2734888.97913="",9930.76783="",10665.48966=""),"-",(10665.48966-9930.76783)/2734888.97913*100)</f>
        <v>2.6864777166703203E-2</v>
      </c>
      <c r="G59" s="48">
        <f>IF(OR(2808282.38613="",8011.77601="",10665.48966=""),"-",(8011.77601-10665.48966)/2808282.38613*100)</f>
        <v>-9.4495968892109664E-2</v>
      </c>
    </row>
    <row r="60" spans="1:7" s="9" customFormat="1" x14ac:dyDescent="0.25">
      <c r="A60" s="47" t="s">
        <v>63</v>
      </c>
      <c r="B60" s="48">
        <f>IF(5704.74095="","-",5704.74095)</f>
        <v>5704.7409500000003</v>
      </c>
      <c r="C60" s="60">
        <f>IF(OR(6169.86558="",5704.74095=""),"-",5704.74095/6169.86558*100)</f>
        <v>92.46134905259963</v>
      </c>
      <c r="D60" s="48">
        <f>IF(6169.86558="","-",6169.86558/2808282.38613*100)</f>
        <v>0.21970246334459567</v>
      </c>
      <c r="E60" s="48">
        <f>IF(5704.74095="","-",5704.74095/2393202.72267*100)</f>
        <v>0.23837265836115423</v>
      </c>
      <c r="F60" s="48">
        <f>IF(OR(2734888.97913="",8053.41511="",6169.86558=""),"-",(6169.86558-8053.41511)/2734888.97913*100)</f>
        <v>-6.8871151420529672E-2</v>
      </c>
      <c r="G60" s="48">
        <f>IF(OR(2808282.38613="",5704.74095="",6169.86558=""),"-",(5704.74095-6169.86558)/2808282.38613*100)</f>
        <v>-1.6562601834389311E-2</v>
      </c>
    </row>
    <row r="61" spans="1:7" s="9" customFormat="1" x14ac:dyDescent="0.25">
      <c r="A61" s="47" t="s">
        <v>62</v>
      </c>
      <c r="B61" s="48">
        <f>IF(5123.04895="","-",5123.04895)</f>
        <v>5123.0489500000003</v>
      </c>
      <c r="C61" s="60">
        <f>IF(OR(5805.16866="",5123.04895=""),"-",5123.04895/5805.16866*100)</f>
        <v>88.249786527304792</v>
      </c>
      <c r="D61" s="48">
        <f>IF(5805.16866="","-",5805.16866/2808282.38613*100)</f>
        <v>0.20671598727647575</v>
      </c>
      <c r="E61" s="48">
        <f>IF(5123.04895="","-",5123.04895/2393202.72267*100)</f>
        <v>0.21406665225102289</v>
      </c>
      <c r="F61" s="48">
        <f>IF(OR(2734888.97913="",4994.36137="",5805.16866=""),"-",(5805.16866-4994.36137)/2734888.97913*100)</f>
        <v>2.964680819540718E-2</v>
      </c>
      <c r="G61" s="48">
        <f>IF(OR(2808282.38613="",5123.04895="",5805.16866=""),"-",(5123.04895-5805.16866)/2808282.38613*100)</f>
        <v>-2.4289569787175367E-2</v>
      </c>
    </row>
    <row r="62" spans="1:7" s="9" customFormat="1" x14ac:dyDescent="0.25">
      <c r="A62" s="47" t="s">
        <v>84</v>
      </c>
      <c r="B62" s="48">
        <f>IF(4739.63853="","-",4739.63853)</f>
        <v>4739.6385300000002</v>
      </c>
      <c r="C62" s="60">
        <f>IF(OR(4782.16544="",4739.63853=""),"-",4739.63853/4782.16544*100)</f>
        <v>99.110718553476062</v>
      </c>
      <c r="D62" s="48">
        <f>IF(4782.16544="","-",4782.16544/2808282.38613*100)</f>
        <v>0.17028791205681212</v>
      </c>
      <c r="E62" s="48">
        <f>IF(4739.63853="","-",4739.63853/2393202.72267*100)</f>
        <v>0.19804584396896288</v>
      </c>
      <c r="F62" s="48">
        <f>IF(OR(2734888.97913="",5761.38937="",4782.16544=""),"-",(4782.16544-5761.38937)/2734888.97913*100)</f>
        <v>-3.5804887784201857E-2</v>
      </c>
      <c r="G62" s="48">
        <f>IF(OR(2808282.38613="",4739.63853="",4782.16544=""),"-",(4739.63853-4782.16544)/2808282.38613*100)</f>
        <v>-1.5143388075942214E-3</v>
      </c>
    </row>
    <row r="63" spans="1:7" s="9" customFormat="1" x14ac:dyDescent="0.25">
      <c r="A63" s="47" t="s">
        <v>64</v>
      </c>
      <c r="B63" s="48">
        <f>IF(4705.85014="","-",4705.85014)</f>
        <v>4705.8501399999996</v>
      </c>
      <c r="C63" s="60">
        <f>IF(OR(5009.73796="",4705.85014=""),"-",4705.85014/5009.73796*100)</f>
        <v>93.934057580927828</v>
      </c>
      <c r="D63" s="48">
        <f>IF(5009.73796="","-",5009.73796/2808282.38613*100)</f>
        <v>0.17839153159037374</v>
      </c>
      <c r="E63" s="48">
        <f>IF(4705.85014="","-",4705.85014/2393202.72267*100)</f>
        <v>0.19663399575067642</v>
      </c>
      <c r="F63" s="48">
        <f>IF(OR(2734888.97913="",4673.11343="",5009.73796=""),"-",(5009.73796-4673.11343)/2734888.97913*100)</f>
        <v>1.2308526326618356E-2</v>
      </c>
      <c r="G63" s="48">
        <f>IF(OR(2808282.38613="",4705.85014="",5009.73796=""),"-",(4705.85014-5009.73796)/2808282.38613*100)</f>
        <v>-1.0821127586773012E-2</v>
      </c>
    </row>
    <row r="64" spans="1:7" s="9" customFormat="1" x14ac:dyDescent="0.25">
      <c r="A64" s="47" t="s">
        <v>75</v>
      </c>
      <c r="B64" s="48">
        <f>IF(4432.5405="","-",4432.5405)</f>
        <v>4432.5405000000001</v>
      </c>
      <c r="C64" s="60">
        <f>IF(OR(3386.86621="",4432.5405=""),"-",4432.5405/3386.86621*100)</f>
        <v>130.87439022281308</v>
      </c>
      <c r="D64" s="48">
        <f>IF(3386.86621="","-",3386.86621/2808282.38613*100)</f>
        <v>0.12060276511819479</v>
      </c>
      <c r="E64" s="48">
        <f>IF(4432.5405="","-",4432.5405/2393202.72267*100)</f>
        <v>0.18521374967578147</v>
      </c>
      <c r="F64" s="48">
        <f>IF(OR(2734888.97913="",2272.30284="",3386.86621=""),"-",(3386.86621-2272.30284)/2734888.97913*100)</f>
        <v>4.0753514256163921E-2</v>
      </c>
      <c r="G64" s="48">
        <f>IF(OR(2808282.38613="",4432.5405="",3386.86621=""),"-",(4432.5405-3386.86621)/2808282.38613*100)</f>
        <v>3.7235368322094162E-2</v>
      </c>
    </row>
    <row r="65" spans="1:7" s="9" customFormat="1" x14ac:dyDescent="0.25">
      <c r="A65" s="47" t="s">
        <v>72</v>
      </c>
      <c r="B65" s="48">
        <f>IF(4381.92138="","-",4381.92138)</f>
        <v>4381.9213799999998</v>
      </c>
      <c r="C65" s="60">
        <f>IF(OR(4913.33785="",4381.92138=""),"-",4381.92138/4913.33785*100)</f>
        <v>89.184206618317518</v>
      </c>
      <c r="D65" s="48">
        <f>IF(4913.33785="","-",4913.33785/2808282.38613*100)</f>
        <v>0.17495882444966321</v>
      </c>
      <c r="E65" s="48">
        <f>IF(4381.92138="","-",4381.92138/2393202.72267*100)</f>
        <v>0.18309862923401934</v>
      </c>
      <c r="F65" s="48">
        <f>IF(OR(2734888.97913="",5583.12103="",4913.33785=""),"-",(4913.33785-5583.12103)/2734888.97913*100)</f>
        <v>-2.4490324291447697E-2</v>
      </c>
      <c r="G65" s="48">
        <f>IF(OR(2808282.38613="",4381.92138="",4913.33785=""),"-",(4381.92138-4913.33785)/2808282.38613*100)</f>
        <v>-1.892318495549614E-2</v>
      </c>
    </row>
    <row r="66" spans="1:7" s="9" customFormat="1" x14ac:dyDescent="0.25">
      <c r="A66" s="47" t="s">
        <v>83</v>
      </c>
      <c r="B66" s="48">
        <f>IF(4380.70482="","-",4380.70482)</f>
        <v>4380.7048199999999</v>
      </c>
      <c r="C66" s="60">
        <f>IF(OR(4893.66622="",4380.70482=""),"-",4380.70482/4893.66622*100)</f>
        <v>89.517850688231036</v>
      </c>
      <c r="D66" s="48">
        <f>IF(4893.66622="","-",4893.66622/2808282.38613*100)</f>
        <v>0.17425833827002696</v>
      </c>
      <c r="E66" s="48">
        <f>IF(4380.70482="","-",4380.70482/2393202.72267*100)</f>
        <v>0.18304779526210063</v>
      </c>
      <c r="F66" s="48">
        <f>IF(OR(2734888.97913="",4509.16107="",4893.66622=""),"-",(4893.66622-4509.16107)/2734888.97913*100)</f>
        <v>1.4059259916368361E-2</v>
      </c>
      <c r="G66" s="48">
        <f>IF(OR(2808282.38613="",4380.70482="",4893.66622=""),"-",(4380.70482-4893.66622)/2808282.38613*100)</f>
        <v>-1.8266019205671662E-2</v>
      </c>
    </row>
    <row r="67" spans="1:7" s="9" customFormat="1" x14ac:dyDescent="0.25">
      <c r="A67" s="47" t="s">
        <v>79</v>
      </c>
      <c r="B67" s="48">
        <f>IF(3968.80731="","-",3968.80731)</f>
        <v>3968.8073100000001</v>
      </c>
      <c r="C67" s="60">
        <f>IF(OR(4169.73362="",3968.80731=""),"-",3968.80731/4169.73362*100)</f>
        <v>95.181315443359196</v>
      </c>
      <c r="D67" s="48">
        <f>IF(4169.73362="","-",4169.73362/2808282.38613*100)</f>
        <v>0.14847985518102294</v>
      </c>
      <c r="E67" s="48">
        <f>IF(3968.80731="","-",3968.80731/2393202.72267*100)</f>
        <v>0.16583665363593442</v>
      </c>
      <c r="F67" s="48">
        <f>IF(OR(2734888.97913="",4081.3759="",4169.73362=""),"-",(4169.73362-4081.3759)/2734888.97913*100)</f>
        <v>3.2307607611957831E-3</v>
      </c>
      <c r="G67" s="48">
        <f>IF(OR(2808282.38613="",3968.80731="",4169.73362=""),"-",(3968.80731-4169.73362)/2808282.38613*100)</f>
        <v>-7.1547758513305941E-3</v>
      </c>
    </row>
    <row r="68" spans="1:7" s="9" customFormat="1" x14ac:dyDescent="0.25">
      <c r="A68" s="47" t="s">
        <v>59</v>
      </c>
      <c r="B68" s="48">
        <f>IF(3041.24285="","-",3041.24285)</f>
        <v>3041.2428500000001</v>
      </c>
      <c r="C68" s="60" t="s">
        <v>96</v>
      </c>
      <c r="D68" s="48">
        <f>IF(1423.46346="","-",1423.46346/2808282.38613*100)</f>
        <v>5.0688045726114718E-2</v>
      </c>
      <c r="E68" s="48">
        <f>IF(3041.24285="","-",3041.24285/2393202.72267*100)</f>
        <v>0.1270783632824472</v>
      </c>
      <c r="F68" s="48">
        <f>IF(OR(2734888.97913="",1680.98079="",1423.46346=""),"-",(1423.46346-1680.98079)/2734888.97913*100)</f>
        <v>-9.4160067178273334E-3</v>
      </c>
      <c r="G68" s="48">
        <f>IF(OR(2808282.38613="",3041.24285="",1423.46346=""),"-",(3041.24285-1423.46346)/2808282.38613*100)</f>
        <v>5.7607432856117004E-2</v>
      </c>
    </row>
    <row r="69" spans="1:7" s="9" customFormat="1" x14ac:dyDescent="0.25">
      <c r="A69" s="47" t="s">
        <v>85</v>
      </c>
      <c r="B69" s="48">
        <f>IF(2915.23802="","-",2915.23802)</f>
        <v>2915.2380199999998</v>
      </c>
      <c r="C69" s="60">
        <f>IF(OR(2673.7985="",2915.23802=""),"-",2915.23802/2673.7985*100)</f>
        <v>109.02983227793716</v>
      </c>
      <c r="D69" s="48">
        <f>IF(2673.7985="","-",2673.7985/2808282.38613*100)</f>
        <v>9.5211169403966969E-2</v>
      </c>
      <c r="E69" s="48">
        <f>IF(2915.23802="","-",2915.23802/2393202.72267*100)</f>
        <v>0.12181325018499002</v>
      </c>
      <c r="F69" s="48">
        <f>IF(OR(2734888.97913="",3101.30108="",2673.7985=""),"-",(2673.7985-3101.30108)/2734888.97913*100)</f>
        <v>-1.563144183410304E-2</v>
      </c>
      <c r="G69" s="48">
        <f>IF(OR(2808282.38613="",2915.23802="",2673.7985=""),"-",(2915.23802-2673.7985)/2808282.38613*100)</f>
        <v>8.5974089070408495E-3</v>
      </c>
    </row>
    <row r="70" spans="1:7" s="9" customFormat="1" x14ac:dyDescent="0.25">
      <c r="A70" s="47" t="s">
        <v>66</v>
      </c>
      <c r="B70" s="48">
        <f>IF(2875.41159="","-",2875.41159)</f>
        <v>2875.4115900000002</v>
      </c>
      <c r="C70" s="60">
        <f>IF(OR(2533.35398="",2875.41159=""),"-",2875.41159/2533.35398*100)</f>
        <v>113.50216403631049</v>
      </c>
      <c r="D70" s="48">
        <f>IF(2533.35398="","-",2533.35398/2808282.38613*100)</f>
        <v>9.0210086867052217E-2</v>
      </c>
      <c r="E70" s="48">
        <f>IF(2875.41159="","-",2875.41159/2393202.72267*100)</f>
        <v>0.1201491024041632</v>
      </c>
      <c r="F70" s="48">
        <f>IF(OR(2734888.97913="",2562.50183="",2533.35398=""),"-",(2533.35398-2562.50183)/2734888.97913*100)</f>
        <v>-1.0657781804829446E-3</v>
      </c>
      <c r="G70" s="48">
        <f>IF(OR(2808282.38613="",2875.41159="",2533.35398=""),"-",(2875.41159-2533.35398)/2808282.38613*100)</f>
        <v>1.2180313906087573E-2</v>
      </c>
    </row>
    <row r="71" spans="1:7" s="9" customFormat="1" x14ac:dyDescent="0.25">
      <c r="A71" s="47" t="s">
        <v>146</v>
      </c>
      <c r="B71" s="48">
        <f>IF(2686.89871="","-",2686.89871)</f>
        <v>2686.8987099999999</v>
      </c>
      <c r="C71" s="60">
        <f>IF(OR(3246.10899="",2686.89871=""),"-",2686.89871/3246.10899*100)</f>
        <v>82.772904984930889</v>
      </c>
      <c r="D71" s="48">
        <f>IF(3246.10899="","-",3246.10899/2808282.38613*100)</f>
        <v>0.1155905476611757</v>
      </c>
      <c r="E71" s="48">
        <f>IF(2686.89871="","-",2686.89871/2393202.72267*100)</f>
        <v>0.1122720898045083</v>
      </c>
      <c r="F71" s="48">
        <f>IF(OR(2734888.97913="",2946.70869="",3246.10899=""),"-",(3246.10899-2946.70869)/2734888.97913*100)</f>
        <v>1.0947438900983942E-2</v>
      </c>
      <c r="G71" s="48">
        <f>IF(OR(2808282.38613="",2686.89871="",3246.10899=""),"-",(2686.89871-3246.10899)/2808282.38613*100)</f>
        <v>-1.9912893474029483E-2</v>
      </c>
    </row>
    <row r="72" spans="1:7" s="9" customFormat="1" x14ac:dyDescent="0.25">
      <c r="A72" s="47" t="s">
        <v>76</v>
      </c>
      <c r="B72" s="48">
        <f>IF(2640.98994="","-",2640.98994)</f>
        <v>2640.9899399999999</v>
      </c>
      <c r="C72" s="60">
        <f>IF(OR(2047.67188="",2640.98994=""),"-",2640.98994/2047.67188*100)</f>
        <v>128.97525066369519</v>
      </c>
      <c r="D72" s="48">
        <f>IF(2047.67188="","-",2047.67188/2808282.38613*100)</f>
        <v>7.2915455016681147E-2</v>
      </c>
      <c r="E72" s="48">
        <f>IF(2640.98994="","-",2640.98994/2393202.72267*100)</f>
        <v>0.11035379138519255</v>
      </c>
      <c r="F72" s="48">
        <f>IF(OR(2734888.97913="",2709.84357="",2047.67188=""),"-",(2047.67188-2709.84357)/2734888.97913*100)</f>
        <v>-2.4212013542525754E-2</v>
      </c>
      <c r="G72" s="48">
        <f>IF(OR(2808282.38613="",2640.98994="",2047.67188=""),"-",(2640.98994-2047.67188)/2808282.38613*100)</f>
        <v>2.1127435863657274E-2</v>
      </c>
    </row>
    <row r="73" spans="1:7" s="9" customFormat="1" x14ac:dyDescent="0.25">
      <c r="A73" s="47" t="s">
        <v>87</v>
      </c>
      <c r="B73" s="48">
        <f>IF(2621.44151="","-",2621.44151)</f>
        <v>2621.4415100000001</v>
      </c>
      <c r="C73" s="60" t="s">
        <v>20</v>
      </c>
      <c r="D73" s="48">
        <f>IF(1283.83797="","-",1283.83797/2808282.38613*100)</f>
        <v>4.5716127991288449E-2</v>
      </c>
      <c r="E73" s="48">
        <f>IF(2621.44151="","-",2621.44151/2393202.72267*100)</f>
        <v>0.1095369600396979</v>
      </c>
      <c r="F73" s="48">
        <f>IF(OR(2734888.97913="",831.04619="",1283.83797=""),"-",(1283.83797-831.04619)/2734888.97913*100)</f>
        <v>1.6556130192313633E-2</v>
      </c>
      <c r="G73" s="48">
        <f>IF(OR(2808282.38613="",2621.44151="",1283.83797=""),"-",(2621.44151-1283.83797)/2808282.38613*100)</f>
        <v>4.7630663732620808E-2</v>
      </c>
    </row>
    <row r="74" spans="1:7" s="9" customFormat="1" x14ac:dyDescent="0.25">
      <c r="A74" s="47" t="s">
        <v>82</v>
      </c>
      <c r="B74" s="48">
        <f>IF(2482.86478="","-",2482.86478)</f>
        <v>2482.8647799999999</v>
      </c>
      <c r="C74" s="60">
        <f>IF(OR(1747.01795="",2482.86478=""),"-",2482.86478/1747.01795*100)</f>
        <v>142.12016424902788</v>
      </c>
      <c r="D74" s="48">
        <f>IF(1747.01795="","-",1747.01795/2808282.38613*100)</f>
        <v>6.2209482872109131E-2</v>
      </c>
      <c r="E74" s="48">
        <f>IF(2482.86478="","-",2482.86478/2393202.72267*100)</f>
        <v>0.10374652997343942</v>
      </c>
      <c r="F74" s="48">
        <f>IF(OR(2734888.97913="",2157.39729="",1747.01795=""),"-",(1747.01795-2157.39729)/2734888.97913*100)</f>
        <v>-1.5005338173930058E-2</v>
      </c>
      <c r="G74" s="48">
        <f>IF(OR(2808282.38613="",2482.86478="",1747.01795=""),"-",(2482.86478-1747.01795)/2808282.38613*100)</f>
        <v>2.6202736364203241E-2</v>
      </c>
    </row>
    <row r="75" spans="1:7" s="9" customFormat="1" x14ac:dyDescent="0.25">
      <c r="A75" s="47" t="s">
        <v>81</v>
      </c>
      <c r="B75" s="48">
        <f>IF(2414.04786="","-",2414.04786)</f>
        <v>2414.0478600000001</v>
      </c>
      <c r="C75" s="60">
        <f>IF(OR(2727.89411="",2414.04786=""),"-",2414.04786/2727.89411*100)</f>
        <v>88.49492548667881</v>
      </c>
      <c r="D75" s="48">
        <f>IF(2727.89411="","-",2727.89411/2808282.38613*100)</f>
        <v>9.7137457524676493E-2</v>
      </c>
      <c r="E75" s="48">
        <f>IF(2414.04786="","-",2414.04786/2393202.72267*100)</f>
        <v>0.10087101427440899</v>
      </c>
      <c r="F75" s="48">
        <f>IF(OR(2734888.97913="",3570.93389="",2727.89411=""),"-",(2727.89411-3570.93389)/2734888.97913*100)</f>
        <v>-3.0825374866521288E-2</v>
      </c>
      <c r="G75" s="48">
        <f>IF(OR(2808282.38613="",2414.04786="",2727.89411=""),"-",(2414.04786-2727.89411)/2808282.38613*100)</f>
        <v>-1.1175736868559756E-2</v>
      </c>
    </row>
    <row r="76" spans="1:7" s="9" customFormat="1" x14ac:dyDescent="0.25">
      <c r="A76" s="47" t="s">
        <v>69</v>
      </c>
      <c r="B76" s="48">
        <f>IF(2307.18863="","-",2307.18863)</f>
        <v>2307.1886300000001</v>
      </c>
      <c r="C76" s="60">
        <f>IF(OR(2417.41929="",2307.18863=""),"-",2307.18863/2417.41929*100)</f>
        <v>95.440151385571198</v>
      </c>
      <c r="D76" s="48">
        <f>IF(2417.41929="","-",2417.41929/2808282.38613*100)</f>
        <v>8.6081773753933791E-2</v>
      </c>
      <c r="E76" s="48">
        <f>IF(2307.18863="","-",2307.18863/2393202.72267*100)</f>
        <v>9.640590026681746E-2</v>
      </c>
      <c r="F76" s="48">
        <f>IF(OR(2734888.97913="",3501.6902="",2417.41929=""),"-",(2417.41929-3501.6902)/2734888.97913*100)</f>
        <v>-3.9645883919753093E-2</v>
      </c>
      <c r="G76" s="48">
        <f>IF(OR(2808282.38613="",2307.18863="",2417.41929=""),"-",(2307.18863-2417.41929)/2808282.38613*100)</f>
        <v>-3.9251985677944915E-3</v>
      </c>
    </row>
    <row r="77" spans="1:7" s="9" customFormat="1" x14ac:dyDescent="0.25">
      <c r="A77" s="47" t="s">
        <v>86</v>
      </c>
      <c r="B77" s="48">
        <f>IF(2197.62702="","-",2197.62702)</f>
        <v>2197.6270199999999</v>
      </c>
      <c r="C77" s="60">
        <f>IF(OR(4311.41864="",2197.62702=""),"-",2197.62702/4311.41864*100)</f>
        <v>50.972248429115666</v>
      </c>
      <c r="D77" s="48">
        <f>IF(4311.41864="","-",4311.41864/2808282.38613*100)</f>
        <v>0.15352511062612267</v>
      </c>
      <c r="E77" s="48">
        <f>IF(2197.62702="","-",2197.62702/2393202.72267*100)</f>
        <v>9.1827867283561987E-2</v>
      </c>
      <c r="F77" s="48">
        <f>IF(OR(2734888.97913="",2637.63222="",4311.41864=""),"-",(4311.41864-2637.63222)/2734888.97913*100)</f>
        <v>6.1201256532630845E-2</v>
      </c>
      <c r="G77" s="48">
        <f>IF(OR(2808282.38613="",2197.62702="",4311.41864=""),"-",(2197.62702-4311.41864)/2808282.38613*100)</f>
        <v>-7.5269909836700774E-2</v>
      </c>
    </row>
    <row r="78" spans="1:7" s="9" customFormat="1" x14ac:dyDescent="0.25">
      <c r="A78" s="47" t="s">
        <v>38</v>
      </c>
      <c r="B78" s="48">
        <f>IF(1790.79367="","-",1790.79367)</f>
        <v>1790.79367</v>
      </c>
      <c r="C78" s="60" t="s">
        <v>107</v>
      </c>
      <c r="D78" s="48">
        <f>IF(1106.21585="","-",1106.21585/2808282.38613*100)</f>
        <v>3.9391189983726635E-2</v>
      </c>
      <c r="E78" s="48">
        <f>IF(1790.79367="","-",1790.79367/2393202.72267*100)</f>
        <v>7.4828331634274742E-2</v>
      </c>
      <c r="F78" s="48">
        <f>IF(OR(2734888.97913="",910.93375="",1106.21585=""),"-",(1106.21585-910.93375)/2734888.97913*100)</f>
        <v>7.140403193336262E-3</v>
      </c>
      <c r="G78" s="48">
        <f>IF(OR(2808282.38613="",1790.79367="",1106.21585=""),"-",(1790.79367-1106.21585)/2808282.38613*100)</f>
        <v>2.4377100514574451E-2</v>
      </c>
    </row>
    <row r="79" spans="1:7" s="9" customFormat="1" x14ac:dyDescent="0.25">
      <c r="A79" s="47" t="s">
        <v>40</v>
      </c>
      <c r="B79" s="48">
        <f>IF(1696.04439="","-",1696.04439)</f>
        <v>1696.04439</v>
      </c>
      <c r="C79" s="60">
        <f>IF(OR(1683.07679="",1696.04439=""),"-",1696.04439/1683.07679*100)</f>
        <v>100.77046989638541</v>
      </c>
      <c r="D79" s="48">
        <f>IF(1683.07679="","-",1683.07679/2808282.38613*100)</f>
        <v>5.9932605008408427E-2</v>
      </c>
      <c r="E79" s="48">
        <f>IF(1696.04439="","-",1696.04439/2393202.72267*100)</f>
        <v>7.0869232010056862E-2</v>
      </c>
      <c r="F79" s="48">
        <f>IF(OR(2734888.97913="",2340.73138="",1683.07679=""),"-",(1683.07679-2340.73138)/2734888.97913*100)</f>
        <v>-2.4046847788651651E-2</v>
      </c>
      <c r="G79" s="48">
        <f>IF(OR(2808282.38613="",1696.04439="",1683.07679=""),"-",(1696.04439-1683.07679)/2808282.38613*100)</f>
        <v>4.6176267970936372E-4</v>
      </c>
    </row>
    <row r="80" spans="1:7" s="9" customFormat="1" x14ac:dyDescent="0.25">
      <c r="A80" s="47" t="s">
        <v>39</v>
      </c>
      <c r="B80" s="48">
        <f>IF(1482.21709="","-",1482.21709)</f>
        <v>1482.2170900000001</v>
      </c>
      <c r="C80" s="60">
        <f>IF(OR(1304.72071="",1482.21709=""),"-",1482.21709/1304.72071*100)</f>
        <v>113.60416667257471</v>
      </c>
      <c r="D80" s="48">
        <f>IF(1304.72071="","-",1304.72071/2808282.38613*100)</f>
        <v>4.6459740531933899E-2</v>
      </c>
      <c r="E80" s="48">
        <f>IF(1482.21709="","-",1482.21709/2393202.72267*100)</f>
        <v>6.1934456114371705E-2</v>
      </c>
      <c r="F80" s="48">
        <f>IF(OR(2734888.97913="",1130.198="",1304.72071=""),"-",(1304.72071-1130.198)/2734888.97913*100)</f>
        <v>6.3813453245008022E-3</v>
      </c>
      <c r="G80" s="48">
        <f>IF(OR(2808282.38613="",1482.21709="",1304.72071=""),"-",(1482.21709-1304.72071)/2808282.38613*100)</f>
        <v>6.320460537610032E-3</v>
      </c>
    </row>
    <row r="81" spans="1:7" s="9" customFormat="1" x14ac:dyDescent="0.25">
      <c r="A81" s="47" t="s">
        <v>89</v>
      </c>
      <c r="B81" s="48">
        <f>IF(1190.72494="","-",1190.72494)</f>
        <v>1190.7249400000001</v>
      </c>
      <c r="C81" s="60">
        <f>IF(OR(1602.59373="",1190.72494=""),"-",1190.72494/1602.59373*100)</f>
        <v>74.299862635803521</v>
      </c>
      <c r="D81" s="48">
        <f>IF(1602.59373="","-",1602.59373/2808282.38613*100)</f>
        <v>5.7066687378560993E-2</v>
      </c>
      <c r="E81" s="48">
        <f>IF(1190.72494="","-",1190.72494/2393202.72267*100)</f>
        <v>4.9754453675013216E-2</v>
      </c>
      <c r="F81" s="48">
        <f>IF(OR(2734888.97913="",1805.10254="",1602.59373=""),"-",(1602.59373-1805.10254)/2734888.97913*100)</f>
        <v>-7.4046446325737305E-3</v>
      </c>
      <c r="G81" s="48">
        <f>IF(OR(2808282.38613="",1190.72494="",1602.59373=""),"-",(1190.72494-1602.59373)/2808282.38613*100)</f>
        <v>-1.4666217045486747E-2</v>
      </c>
    </row>
    <row r="82" spans="1:7" s="9" customFormat="1" x14ac:dyDescent="0.25">
      <c r="A82" s="47" t="s">
        <v>88</v>
      </c>
      <c r="B82" s="48">
        <f>IF(1047.85769="","-",1047.85769)</f>
        <v>1047.85769</v>
      </c>
      <c r="C82" s="60">
        <f>IF(OR(1293.70826="",1047.85769=""),"-",1047.85769/1293.70826*100)</f>
        <v>80.996444283350243</v>
      </c>
      <c r="D82" s="48">
        <f>IF(1293.70826="","-",1293.70826/2808282.38613*100)</f>
        <v>4.6067598699816519E-2</v>
      </c>
      <c r="E82" s="48">
        <f>IF(1047.85769="","-",1047.85769/2393202.72267*100)</f>
        <v>4.3784744187109537E-2</v>
      </c>
      <c r="F82" s="48">
        <f>IF(OR(2734888.97913="",1399.76194="",1293.70826=""),"-",(1293.70826-1399.76194)/2734888.97913*100)</f>
        <v>-3.8778056736232451E-3</v>
      </c>
      <c r="G82" s="48">
        <f>IF(OR(2808282.38613="",1047.85769="",1293.70826=""),"-",(1047.85769-1293.70826)/2808282.38613*100)</f>
        <v>-8.7544817862422481E-3</v>
      </c>
    </row>
    <row r="83" spans="1:7" s="9" customFormat="1" x14ac:dyDescent="0.25">
      <c r="A83" s="47" t="s">
        <v>74</v>
      </c>
      <c r="B83" s="48">
        <f>IF(1014.07489="","-",1014.07489)</f>
        <v>1014.07489</v>
      </c>
      <c r="C83" s="60">
        <f>IF(OR(856.96842="",1014.07489=""),"-",1014.07489/856.96842*100)</f>
        <v>118.33281907867736</v>
      </c>
      <c r="D83" s="48">
        <f>IF(856.96842="","-",856.96842/2808282.38613*100)</f>
        <v>3.0515749563951779E-2</v>
      </c>
      <c r="E83" s="48">
        <f>IF(1014.07489="","-",1014.07489/2393202.72267*100)</f>
        <v>4.2373129547029653E-2</v>
      </c>
      <c r="F83" s="48">
        <f>IF(OR(2734888.97913="",1049.80982="",856.96842=""),"-",(856.96842-1049.80982)/2734888.97913*100)</f>
        <v>-7.0511600826058032E-3</v>
      </c>
      <c r="G83" s="48">
        <f>IF(OR(2808282.38613="",1014.07489="",856.96842=""),"-",(1014.07489-856.96842)/2808282.38613*100)</f>
        <v>5.5943971580615552E-3</v>
      </c>
    </row>
    <row r="84" spans="1:7" s="9" customFormat="1" x14ac:dyDescent="0.25">
      <c r="A84" s="47" t="s">
        <v>92</v>
      </c>
      <c r="B84" s="48">
        <f>IF(866.66793="","-",866.66793)</f>
        <v>866.66792999999996</v>
      </c>
      <c r="C84" s="60">
        <f>IF(OR(1424.43395="",866.66793=""),"-",866.66793/1424.43395*100)</f>
        <v>60.842970641074643</v>
      </c>
      <c r="D84" s="48">
        <f>IF(1424.43395="","-",1424.43395/2808282.38613*100)</f>
        <v>5.0722603860467355E-2</v>
      </c>
      <c r="E84" s="48">
        <f>IF(866.66793="","-",866.66793/2393202.72267*100)</f>
        <v>3.621372823080752E-2</v>
      </c>
      <c r="F84" s="48">
        <f>IF(OR(2734888.97913="",1006.8959="",1424.43395=""),"-",(1424.43395-1006.8959)/2734888.97913*100)</f>
        <v>1.5267093223390144E-2</v>
      </c>
      <c r="G84" s="48">
        <f>IF(OR(2808282.38613="",866.66793="",1424.43395=""),"-",(866.66793-1424.43395)/2808282.38613*100)</f>
        <v>-1.9861464885254608E-2</v>
      </c>
    </row>
    <row r="85" spans="1:7" s="9" customFormat="1" x14ac:dyDescent="0.25">
      <c r="A85" s="47" t="s">
        <v>148</v>
      </c>
      <c r="B85" s="48">
        <f>IF(857.74555="","-",857.74555)</f>
        <v>857.74554999999998</v>
      </c>
      <c r="C85" s="60" t="s">
        <v>300</v>
      </c>
      <c r="D85" s="48">
        <f>IF(74.99849="","-",74.99849/2808282.38613*100)</f>
        <v>2.6706178257006738E-3</v>
      </c>
      <c r="E85" s="48">
        <f>IF(857.74555="","-",857.74555/2393202.72267*100)</f>
        <v>3.5840906492160755E-2</v>
      </c>
      <c r="F85" s="48">
        <f>IF(OR(2734888.97913="",100.02379="",74.99849=""),"-",(74.99849-100.02379)/2734888.97913*100)</f>
        <v>-9.1503897200100753E-4</v>
      </c>
      <c r="G85" s="48">
        <f>IF(OR(2808282.38613="",857.74555="",74.99849=""),"-",(857.74555-74.99849)/2808282.38613*100)</f>
        <v>2.7872804525141699E-2</v>
      </c>
    </row>
    <row r="86" spans="1:7" s="9" customFormat="1" x14ac:dyDescent="0.25">
      <c r="A86" s="47" t="s">
        <v>198</v>
      </c>
      <c r="B86" s="48">
        <f>IF(850.62993="","-",850.62993)</f>
        <v>850.62992999999994</v>
      </c>
      <c r="C86" s="60">
        <f>IF(OR(1099.28612="",850.62993=""),"-",850.62993/1099.28612*100)</f>
        <v>77.380211987030265</v>
      </c>
      <c r="D86" s="48">
        <f>IF(1099.28612="","-",1099.28612/2808282.38613*100)</f>
        <v>3.9144429542745857E-2</v>
      </c>
      <c r="E86" s="48">
        <f>IF(850.62993="","-",850.62993/2393202.72267*100)</f>
        <v>3.5543580238408985E-2</v>
      </c>
      <c r="F86" s="48">
        <f>IF(OR(2734888.97913="",794.93649="",1099.28612=""),"-",(1099.28612-794.93649)/2734888.97913*100)</f>
        <v>1.1128408952703341E-2</v>
      </c>
      <c r="G86" s="48">
        <f>IF(OR(2808282.38613="",850.62993="",1099.28612=""),"-",(850.62993-1099.28612)/2808282.38613*100)</f>
        <v>-8.8543869814554088E-3</v>
      </c>
    </row>
    <row r="87" spans="1:7" s="9" customFormat="1" x14ac:dyDescent="0.25">
      <c r="A87" s="47" t="s">
        <v>150</v>
      </c>
      <c r="B87" s="48">
        <f>IF(827.17652="","-",827.17652)</f>
        <v>827.17651999999998</v>
      </c>
      <c r="C87" s="60">
        <f>IF(OR(1733.5922="",827.17652=""),"-",827.17652/1733.5922*100)</f>
        <v>47.714596316250152</v>
      </c>
      <c r="D87" s="48">
        <f>IF(1733.5922="","-",1733.5922/2808282.38613*100)</f>
        <v>6.1731405949848425E-2</v>
      </c>
      <c r="E87" s="48">
        <f>IF(827.17652="","-",827.17652/2393202.72267*100)</f>
        <v>3.4563579264073059E-2</v>
      </c>
      <c r="F87" s="48">
        <f>IF(OR(2734888.97913="",544.89659="",1733.5922=""),"-",(1733.5922-544.89659)/2734888.97913*100)</f>
        <v>4.3464126663676786E-2</v>
      </c>
      <c r="G87" s="48">
        <f>IF(OR(2808282.38613="",827.17652="",1733.5922=""),"-",(827.17652-1733.5922)/2808282.38613*100)</f>
        <v>-3.2276514800532619E-2</v>
      </c>
    </row>
    <row r="88" spans="1:7" s="9" customFormat="1" x14ac:dyDescent="0.25">
      <c r="A88" s="47" t="s">
        <v>98</v>
      </c>
      <c r="B88" s="48">
        <f>IF(743.62848="","-",743.62848)</f>
        <v>743.62847999999997</v>
      </c>
      <c r="C88" s="60">
        <f>IF(OR(566.28353="",743.62848=""),"-",743.62848/566.28353*100)</f>
        <v>131.31734203888993</v>
      </c>
      <c r="D88" s="48">
        <f>IF(566.28353="","-",566.28353/2808282.38613*100)</f>
        <v>2.0164764512174874E-2</v>
      </c>
      <c r="E88" s="48">
        <f>IF(743.62848="","-",743.62848/2393202.72267*100)</f>
        <v>3.1072523566677362E-2</v>
      </c>
      <c r="F88" s="48">
        <f>IF(OR(2734888.97913="",547.5778="",566.28353=""),"-",(566.28353-547.5778)/2734888.97913*100)</f>
        <v>6.8396670368500766E-4</v>
      </c>
      <c r="G88" s="48">
        <f>IF(OR(2808282.38613="",743.62848="",566.28353=""),"-",(743.62848-566.28353)/2808282.38613*100)</f>
        <v>6.3150682736145018E-3</v>
      </c>
    </row>
    <row r="89" spans="1:7" x14ac:dyDescent="0.25">
      <c r="A89" s="47" t="s">
        <v>194</v>
      </c>
      <c r="B89" s="48">
        <f>IF(625.2805="","-",625.2805)</f>
        <v>625.28049999999996</v>
      </c>
      <c r="C89" s="60" t="str">
        <f>IF(OR(""="",625.2805=""),"-",625.2805/""*100)</f>
        <v>-</v>
      </c>
      <c r="D89" s="48" t="str">
        <f>IF(""="","-",""/2808282.38613*100)</f>
        <v>-</v>
      </c>
      <c r="E89" s="48">
        <f>IF(625.2805="","-",625.2805/2393202.72267*100)</f>
        <v>2.6127352024002366E-2</v>
      </c>
      <c r="F89" s="48" t="str">
        <f>IF(OR(2734888.97913="",""="",""=""),"-",(""-"")/2734888.97913*100)</f>
        <v>-</v>
      </c>
      <c r="G89" s="48" t="str">
        <f>IF(OR(2808282.38613="",625.2805="",""=""),"-",(625.2805-"")/2808282.38613*100)</f>
        <v>-</v>
      </c>
    </row>
    <row r="90" spans="1:7" x14ac:dyDescent="0.25">
      <c r="A90" s="47" t="s">
        <v>90</v>
      </c>
      <c r="B90" s="48">
        <f>IF(621.68512="","-",621.68512)</f>
        <v>621.68511999999998</v>
      </c>
      <c r="C90" s="60">
        <f>IF(OR(696.09093="",621.68512=""),"-",621.68512/696.09093*100)</f>
        <v>89.310906550671476</v>
      </c>
      <c r="D90" s="48">
        <f>IF(696.09093="","-",696.09093/2808282.38613*100)</f>
        <v>2.4787070325903354E-2</v>
      </c>
      <c r="E90" s="48">
        <f>IF(621.68512="","-",621.68512/2393202.72267*100)</f>
        <v>2.5977119034296052E-2</v>
      </c>
      <c r="F90" s="48">
        <f>IF(OR(2734888.97913="",813.88687="",696.09093=""),"-",(696.09093-813.88687)/2734888.97913*100)</f>
        <v>-4.3071561916737233E-3</v>
      </c>
      <c r="G90" s="48">
        <f>IF(OR(2808282.38613="",621.68512="",696.09093=""),"-",(621.68512-696.09093)/2808282.38613*100)</f>
        <v>-2.6495131104865891E-3</v>
      </c>
    </row>
    <row r="91" spans="1:7" x14ac:dyDescent="0.25">
      <c r="A91" s="47" t="s">
        <v>68</v>
      </c>
      <c r="B91" s="48">
        <f>IF(583.97011="","-",583.97011)</f>
        <v>583.97010999999998</v>
      </c>
      <c r="C91" s="60">
        <f>IF(OR(976.35545="",583.97011=""),"-",583.97011/976.35545*100)</f>
        <v>59.811220391098338</v>
      </c>
      <c r="D91" s="48">
        <f>IF(976.35545="","-",976.35545/2808282.38613*100)</f>
        <v>3.4766996895404197E-2</v>
      </c>
      <c r="E91" s="48">
        <f>IF(583.97011="","-",583.97011/2393202.72267*100)</f>
        <v>2.4401196959549169E-2</v>
      </c>
      <c r="F91" s="48">
        <f>IF(OR(2734888.97913="",1010.02811="",976.35545=""),"-",(976.35545-1010.02811)/2734888.97913*100)</f>
        <v>-1.2312258470803306E-3</v>
      </c>
      <c r="G91" s="48">
        <f>IF(OR(2808282.38613="",583.97011="",976.35545=""),"-",(583.97011-976.35545)/2808282.38613*100)</f>
        <v>-1.3972431758927675E-2</v>
      </c>
    </row>
    <row r="92" spans="1:7" x14ac:dyDescent="0.25">
      <c r="A92" s="47" t="s">
        <v>94</v>
      </c>
      <c r="B92" s="48">
        <f>IF(539.14358="","-",539.14358)</f>
        <v>539.14358000000004</v>
      </c>
      <c r="C92" s="60">
        <f>IF(OR(401.35061="",539.14358=""),"-",539.14358/401.35061*100)</f>
        <v>134.33231856804704</v>
      </c>
      <c r="D92" s="48">
        <f>IF(401.35061="","-",401.35061/2808282.38613*100)</f>
        <v>1.4291675651360969E-2</v>
      </c>
      <c r="E92" s="48">
        <f>IF(539.14358="","-",539.14358/2393202.72267*100)</f>
        <v>2.2528119949592036E-2</v>
      </c>
      <c r="F92" s="48">
        <f>IF(OR(2734888.97913="",325.17514="",401.35061=""),"-",(401.35061-325.17514)/2734888.97913*100)</f>
        <v>2.7853222043489429E-3</v>
      </c>
      <c r="G92" s="48">
        <f>IF(OR(2808282.38613="",539.14358="",401.35061=""),"-",(539.14358-401.35061)/2808282.38613*100)</f>
        <v>4.9066636133372581E-3</v>
      </c>
    </row>
    <row r="93" spans="1:7" x14ac:dyDescent="0.25">
      <c r="A93" s="47" t="s">
        <v>95</v>
      </c>
      <c r="B93" s="48">
        <f>IF(454.35975="","-",454.35975)</f>
        <v>454.35975000000002</v>
      </c>
      <c r="C93" s="60" t="s">
        <v>105</v>
      </c>
      <c r="D93" s="48">
        <f>IF(247.02959="","-",247.02959/2808282.38613*100)</f>
        <v>8.7964654558982305E-3</v>
      </c>
      <c r="E93" s="48">
        <f>IF(454.35975="","-",454.35975/2393202.72267*100)</f>
        <v>1.8985426754532901E-2</v>
      </c>
      <c r="F93" s="48">
        <f>IF(OR(2734888.97913="",322.29072="",247.02959=""),"-",(247.02959-322.29072)/2734888.97913*100)</f>
        <v>-2.7518897686275167E-3</v>
      </c>
      <c r="G93" s="48">
        <f>IF(OR(2808282.38613="",454.35975="",247.02959=""),"-",(454.35975-247.02959)/2808282.38613*100)</f>
        <v>7.3828102552647773E-3</v>
      </c>
    </row>
    <row r="94" spans="1:7" x14ac:dyDescent="0.25">
      <c r="A94" s="47" t="s">
        <v>114</v>
      </c>
      <c r="B94" s="48">
        <f>IF(422.9867="","-",422.9867)</f>
        <v>422.98669999999998</v>
      </c>
      <c r="C94" s="60" t="s">
        <v>107</v>
      </c>
      <c r="D94" s="48">
        <f>IF(271.0003="","-",271.0003/2808282.38613*100)</f>
        <v>9.6500373800889883E-3</v>
      </c>
      <c r="E94" s="48">
        <f>IF(422.9867="","-",422.9867/2393202.72267*100)</f>
        <v>1.767450354260381E-2</v>
      </c>
      <c r="F94" s="48">
        <f>IF(OR(2734888.97913="",0.56135="",271.0003=""),"-",(271.0003-0.56135)/2734888.97913*100)</f>
        <v>9.8884800101110421E-3</v>
      </c>
      <c r="G94" s="48">
        <f>IF(OR(2808282.38613="",422.9867="",271.0003=""),"-",(422.9867-271.0003)/2808282.38613*100)</f>
        <v>5.4120768178675706E-3</v>
      </c>
    </row>
    <row r="95" spans="1:7" x14ac:dyDescent="0.25">
      <c r="A95" s="47" t="s">
        <v>184</v>
      </c>
      <c r="B95" s="48">
        <f>IF(420.05081="","-",420.05081)</f>
        <v>420.05081000000001</v>
      </c>
      <c r="C95" s="60">
        <f>IF(OR(583.91204="",420.05081=""),"-",420.05081/583.91204*100)</f>
        <v>71.93734350810783</v>
      </c>
      <c r="D95" s="48">
        <f>IF(583.91204="","-",583.91204/2808282.38613*100)</f>
        <v>2.0792497324482732E-2</v>
      </c>
      <c r="E95" s="48">
        <f>IF(420.05081="","-",420.05081/2393202.72267*100)</f>
        <v>1.7551827349225401E-2</v>
      </c>
      <c r="F95" s="48">
        <f>IF(OR(2734888.97913="",450.74613="",583.91204=""),"-",(583.91204-450.74613)/2734888.97913*100)</f>
        <v>4.8691523135378492E-3</v>
      </c>
      <c r="G95" s="48">
        <f>IF(OR(2808282.38613="",420.05081="",583.91204=""),"-",(420.05081-583.91204)/2808282.38613*100)</f>
        <v>-5.8349271002554595E-3</v>
      </c>
    </row>
    <row r="96" spans="1:7" x14ac:dyDescent="0.25">
      <c r="A96" s="47" t="s">
        <v>104</v>
      </c>
      <c r="B96" s="48">
        <f>IF(408.4775="","-",408.4775)</f>
        <v>408.47750000000002</v>
      </c>
      <c r="C96" s="60" t="s">
        <v>106</v>
      </c>
      <c r="D96" s="48">
        <f>IF(242.81974="","-",242.81974/2808282.38613*100)</f>
        <v>8.6465570983629524E-3</v>
      </c>
      <c r="E96" s="48">
        <f>IF(408.4775="","-",408.4775/2393202.72267*100)</f>
        <v>1.7068236473685695E-2</v>
      </c>
      <c r="F96" s="48">
        <f>IF(OR(2734888.97913="",399.98356="",242.81974=""),"-",(242.81974-399.98356)/2734888.97913*100)</f>
        <v>-5.746625226812521E-3</v>
      </c>
      <c r="G96" s="48">
        <f>IF(OR(2808282.38613="",408.4775="",242.81974=""),"-",(408.4775-242.81974)/2808282.38613*100)</f>
        <v>5.8988996554683185E-3</v>
      </c>
    </row>
    <row r="97" spans="1:7" x14ac:dyDescent="0.25">
      <c r="A97" s="47" t="s">
        <v>93</v>
      </c>
      <c r="B97" s="48">
        <f>IF(384.60837="","-",384.60837)</f>
        <v>384.60836999999998</v>
      </c>
      <c r="C97" s="60">
        <f>IF(OR(326.65833="",384.60837=""),"-",384.60837/326.65833*100)</f>
        <v>117.74026090196446</v>
      </c>
      <c r="D97" s="48">
        <f>IF(326.65833="","-",326.65833/2808282.38613*100)</f>
        <v>1.1631961643649267E-2</v>
      </c>
      <c r="E97" s="48">
        <f>IF(384.60837="","-",384.60837/2393202.72267*100)</f>
        <v>1.607086463494024E-2</v>
      </c>
      <c r="F97" s="48">
        <f>IF(OR(2734888.97913="",753.97286="",326.65833=""),"-",(326.65833-753.97286)/2734888.97913*100)</f>
        <v>-1.5624565869431882E-2</v>
      </c>
      <c r="G97" s="48">
        <f>IF(OR(2808282.38613="",384.60837="",326.65833=""),"-",(384.60837-326.65833)/2808282.38613*100)</f>
        <v>2.0635403435998122E-3</v>
      </c>
    </row>
    <row r="98" spans="1:7" x14ac:dyDescent="0.25">
      <c r="A98" s="47" t="s">
        <v>183</v>
      </c>
      <c r="B98" s="48">
        <f>IF(384.172="","-",384.172)</f>
        <v>384.17200000000003</v>
      </c>
      <c r="C98" s="60">
        <f>IF(OR(439.25026="",384.172=""),"-",384.172/439.25026*100)</f>
        <v>87.460847490448828</v>
      </c>
      <c r="D98" s="48">
        <f>IF(439.25026="","-",439.25026/2808282.38613*100)</f>
        <v>1.5641242567679105E-2</v>
      </c>
      <c r="E98" s="48">
        <f>IF(384.172="","-",384.172/2393202.72267*100)</f>
        <v>1.6052630910071621E-2</v>
      </c>
      <c r="F98" s="48">
        <f>IF(OR(2734888.97913="",288.22172="",439.25026=""),"-",(439.25026-288.22172)/2734888.97913*100)</f>
        <v>5.5222914404387986E-3</v>
      </c>
      <c r="G98" s="48">
        <f>IF(OR(2808282.38613="",384.172="",439.25026=""),"-",(384.172-439.25026)/2808282.38613*100)</f>
        <v>-1.9612792599501185E-3</v>
      </c>
    </row>
    <row r="99" spans="1:7" x14ac:dyDescent="0.25">
      <c r="A99" s="47" t="s">
        <v>65</v>
      </c>
      <c r="B99" s="48">
        <f>IF(362.93412="","-",362.93412)</f>
        <v>362.93412000000001</v>
      </c>
      <c r="C99" s="60" t="s">
        <v>107</v>
      </c>
      <c r="D99" s="48">
        <f>IF(222.08877="","-",222.08877/2808282.38613*100)</f>
        <v>7.9083489287575925E-3</v>
      </c>
      <c r="E99" s="48">
        <f>IF(362.93412="","-",362.93412/2393202.72267*100)</f>
        <v>1.5165205879219835E-2</v>
      </c>
      <c r="F99" s="48">
        <f>IF(OR(2734888.97913="",162.03981="",222.08877=""),"-",(222.08877-162.03981)/2734888.97913*100)</f>
        <v>2.1956635336291531E-3</v>
      </c>
      <c r="G99" s="48">
        <f>IF(OR(2808282.38613="",362.93412="",222.08877=""),"-",(362.93412-222.08877)/2808282.38613*100)</f>
        <v>5.0153556741882451E-3</v>
      </c>
    </row>
    <row r="100" spans="1:7" x14ac:dyDescent="0.25">
      <c r="A100" s="47" t="s">
        <v>137</v>
      </c>
      <c r="B100" s="48">
        <f>IF(336.77539="","-",336.77539)</f>
        <v>336.77539000000002</v>
      </c>
      <c r="C100" s="60">
        <f>IF(OR(338.90206="",336.77539=""),"-",336.77539/338.90206*100)</f>
        <v>99.372482421617619</v>
      </c>
      <c r="D100" s="48">
        <f>IF(338.90206="","-",338.90206/2808282.38613*100)</f>
        <v>1.2067948069390187E-2</v>
      </c>
      <c r="E100" s="48">
        <f>IF(336.77539="","-",336.77539/2393202.72267*100)</f>
        <v>1.4072163081290216E-2</v>
      </c>
      <c r="F100" s="48">
        <f>IF(OR(2734888.97913="",665.95211="",338.90206=""),"-",(338.90206-665.95211)/2734888.97913*100)</f>
        <v>-1.1958439720797676E-2</v>
      </c>
      <c r="G100" s="48">
        <f>IF(OR(2808282.38613="",336.77539="",338.90206=""),"-",(336.77539-338.90206)/2808282.38613*100)</f>
        <v>-7.572849548548011E-5</v>
      </c>
    </row>
    <row r="101" spans="1:7" x14ac:dyDescent="0.25">
      <c r="A101" s="47" t="s">
        <v>99</v>
      </c>
      <c r="B101" s="48">
        <f>IF(221.3578="","-",221.3578)</f>
        <v>221.3578</v>
      </c>
      <c r="C101" s="60">
        <f>IF(OR(541.43486="",221.3578=""),"-",221.3578/541.43486*100)</f>
        <v>40.883551531942366</v>
      </c>
      <c r="D101" s="48">
        <f>IF(541.43486="","-",541.43486/2808282.38613*100)</f>
        <v>1.9279929350200897E-2</v>
      </c>
      <c r="E101" s="48">
        <f>IF(221.3578="","-",221.3578/2393202.72267*100)</f>
        <v>9.2494379144379378E-3</v>
      </c>
      <c r="F101" s="48">
        <f>IF(OR(2734888.97913="",490.573="",541.43486=""),"-",(541.43486-490.573)/2734888.97913*100)</f>
        <v>1.8597413053373644E-3</v>
      </c>
      <c r="G101" s="48">
        <f>IF(OR(2808282.38613="",221.3578="",541.43486=""),"-",(221.3578-541.43486)/2808282.38613*100)</f>
        <v>-1.1397609498989433E-2</v>
      </c>
    </row>
    <row r="102" spans="1:7" x14ac:dyDescent="0.25">
      <c r="A102" s="47" t="s">
        <v>103</v>
      </c>
      <c r="B102" s="48">
        <f>IF(219.88377="","-",219.88377)</f>
        <v>219.88377</v>
      </c>
      <c r="C102" s="60">
        <f>IF(OR(529.84361="",219.88377=""),"-",219.88377/529.84361*100)</f>
        <v>41.499749331694311</v>
      </c>
      <c r="D102" s="48">
        <f>IF(529.84361="","-",529.84361/2808282.38613*100)</f>
        <v>1.886717705515932E-2</v>
      </c>
      <c r="E102" s="48">
        <f>IF(219.88377="","-",219.88377/2393202.72267*100)</f>
        <v>9.1878455559621167E-3</v>
      </c>
      <c r="F102" s="48">
        <f>IF(OR(2734888.97913="",587.71691="",529.84361=""),"-",(529.84361-587.71691)/2734888.97913*100)</f>
        <v>-2.1161114927016212E-3</v>
      </c>
      <c r="G102" s="48">
        <f>IF(OR(2808282.38613="",219.88377="",529.84361=""),"-",(219.88377-529.84361)/2808282.38613*100)</f>
        <v>-1.1037345871301257E-2</v>
      </c>
    </row>
    <row r="103" spans="1:7" x14ac:dyDescent="0.25">
      <c r="A103" s="47" t="s">
        <v>152</v>
      </c>
      <c r="B103" s="48">
        <f>IF(205.14183="","-",205.14183)</f>
        <v>205.14183</v>
      </c>
      <c r="C103" s="60" t="s">
        <v>149</v>
      </c>
      <c r="D103" s="48">
        <f>IF(81.60976="","-",81.60976/2808282.38613*100)</f>
        <v>2.9060382389985958E-3</v>
      </c>
      <c r="E103" s="48">
        <f>IF(205.14183="","-",205.14183/2393202.72267*100)</f>
        <v>8.5718534437873081E-3</v>
      </c>
      <c r="F103" s="48">
        <f>IF(OR(2734888.97913="",226.56263="",81.60976=""),"-",(81.60976-226.56263)/2734888.97913*100)</f>
        <v>-5.3001372672214003E-3</v>
      </c>
      <c r="G103" s="48">
        <f>IF(OR(2808282.38613="",205.14183="",81.60976=""),"-",(205.14183-81.60976)/2808282.38613*100)</f>
        <v>4.3988478726398814E-3</v>
      </c>
    </row>
    <row r="104" spans="1:7" x14ac:dyDescent="0.25">
      <c r="A104" s="47" t="s">
        <v>91</v>
      </c>
      <c r="B104" s="48">
        <f>IF(197.24883="","-",197.24883)</f>
        <v>197.24883</v>
      </c>
      <c r="C104" s="60">
        <f>IF(OR(299.40968="",197.24883=""),"-",197.24883/299.40968*100)</f>
        <v>65.879242781996894</v>
      </c>
      <c r="D104" s="48">
        <f>IF(299.40968="","-",299.40968/2808282.38613*100)</f>
        <v>1.0661665702807275E-2</v>
      </c>
      <c r="E104" s="48">
        <f>IF(197.24883="","-",197.24883/2393202.72267*100)</f>
        <v>8.2420443588638991E-3</v>
      </c>
      <c r="F104" s="48">
        <f>IF(OR(2734888.97913="",781.17079="",299.40968=""),"-",(299.40968-781.17079)/2734888.97913*100)</f>
        <v>-1.7615380868339813E-2</v>
      </c>
      <c r="G104" s="48">
        <f>IF(OR(2808282.38613="",197.24883="",299.40968=""),"-",(197.24883-299.40968)/2808282.38613*100)</f>
        <v>-3.6378410698499741E-3</v>
      </c>
    </row>
    <row r="105" spans="1:7" x14ac:dyDescent="0.25">
      <c r="A105" s="47" t="s">
        <v>110</v>
      </c>
      <c r="B105" s="48">
        <f>IF(152.31187="","-",152.31187)</f>
        <v>152.31187</v>
      </c>
      <c r="C105" s="60">
        <f>IF(OR(136.49542="",152.31187=""),"-",152.31187/136.49542*100)</f>
        <v>111.58753165490826</v>
      </c>
      <c r="D105" s="48">
        <f>IF(136.49542="","-",136.49542/2808282.38613*100)</f>
        <v>4.860459214292184E-3</v>
      </c>
      <c r="E105" s="48">
        <f>IF(152.31187="","-",152.31187/2393202.72267*100)</f>
        <v>6.3643530302385648E-3</v>
      </c>
      <c r="F105" s="48">
        <f>IF(OR(2734888.97913="",17.89008="",136.49542=""),"-",(136.49542-17.89008)/2734888.97913*100)</f>
        <v>4.3367515429357482E-3</v>
      </c>
      <c r="G105" s="48">
        <f>IF(OR(2808282.38613="",152.31187="",136.49542=""),"-",(152.31187-136.49542)/2808282.38613*100)</f>
        <v>5.63207250030013E-4</v>
      </c>
    </row>
    <row r="106" spans="1:7" x14ac:dyDescent="0.25">
      <c r="A106" s="47" t="s">
        <v>138</v>
      </c>
      <c r="B106" s="48">
        <f>IF(143.5722="","-",143.5722)</f>
        <v>143.57220000000001</v>
      </c>
      <c r="C106" s="60">
        <f>IF(OR(129.2512="",143.5722=""),"-",143.5722/129.2512*100)</f>
        <v>111.07997449926962</v>
      </c>
      <c r="D106" s="48">
        <f>IF(129.2512="","-",129.2512/2808282.38613*100)</f>
        <v>4.6025001131783181E-3</v>
      </c>
      <c r="E106" s="48">
        <f>IF(143.5722="","-",143.5722/2393202.72267*100)</f>
        <v>5.999165830791897E-3</v>
      </c>
      <c r="F106" s="48">
        <f>IF(OR(2734888.97913="",89.03067="",129.2512=""),"-",(129.2512-89.03067)/2734888.97913*100)</f>
        <v>1.4706458034283584E-3</v>
      </c>
      <c r="G106" s="48">
        <f>IF(OR(2808282.38613="",143.5722="",129.2512=""),"-",(143.5722-129.2512)/2808282.38613*100)</f>
        <v>5.0995583886901373E-4</v>
      </c>
    </row>
    <row r="107" spans="1:7" x14ac:dyDescent="0.25">
      <c r="A107" s="47" t="s">
        <v>171</v>
      </c>
      <c r="B107" s="48">
        <f>IF(117.71513="","-",117.71513)</f>
        <v>117.71513</v>
      </c>
      <c r="C107" s="60">
        <f>IF(OR(124.31549="",117.71513=""),"-",117.71513/124.31549*100)</f>
        <v>94.690637506235149</v>
      </c>
      <c r="D107" s="48">
        <f>IF(124.31549="","-",124.31549/2808282.38613*100)</f>
        <v>4.4267446398549336E-3</v>
      </c>
      <c r="E107" s="48">
        <f>IF(117.71513="","-",117.71513/2393202.72267*100)</f>
        <v>4.918727899016844E-3</v>
      </c>
      <c r="F107" s="48">
        <f>IF(OR(2734888.97913="",17.03998="",124.31549=""),"-",(124.31549-17.03998)/2734888.97913*100)</f>
        <v>3.9224813445306872E-3</v>
      </c>
      <c r="G107" s="48">
        <f>IF(OR(2808282.38613="",117.71513="",124.31549=""),"-",(117.71513-124.31549)/2808282.38613*100)</f>
        <v>-2.350319196032038E-4</v>
      </c>
    </row>
    <row r="108" spans="1:7" x14ac:dyDescent="0.25">
      <c r="A108" s="47" t="s">
        <v>158</v>
      </c>
      <c r="B108" s="48">
        <f>IF(114.48174="","-",114.48174)</f>
        <v>114.48174</v>
      </c>
      <c r="C108" s="60" t="s">
        <v>205</v>
      </c>
      <c r="D108" s="48">
        <f>IF(22.59244="","-",22.59244/2808282.38613*100)</f>
        <v>8.0449317033013485E-4</v>
      </c>
      <c r="E108" s="48">
        <f>IF(114.48174="","-",114.48174/2393202.72267*100)</f>
        <v>4.7836206651259922E-3</v>
      </c>
      <c r="F108" s="48">
        <f>IF(OR(2734888.97913="",2.75875="",22.59244=""),"-",(22.59244-2.75875)/2734888.97913*100)</f>
        <v>7.2521005976298634E-4</v>
      </c>
      <c r="G108" s="48">
        <f>IF(OR(2808282.38613="",114.48174="",22.59244=""),"-",(114.48174-22.59244)/2808282.38613*100)</f>
        <v>3.2720819121979249E-3</v>
      </c>
    </row>
    <row r="109" spans="1:7" x14ac:dyDescent="0.25">
      <c r="A109" s="47" t="s">
        <v>61</v>
      </c>
      <c r="B109" s="48">
        <f>IF(108.38257="","-",108.38257)</f>
        <v>108.38257</v>
      </c>
      <c r="C109" s="60">
        <f>IF(OR(304.95103="",108.38257=""),"-",108.38257/304.95103*100)</f>
        <v>35.540975218217824</v>
      </c>
      <c r="D109" s="48">
        <f>IF(304.95103="","-",304.95103/2808282.38613*100)</f>
        <v>1.0858987383396397E-2</v>
      </c>
      <c r="E109" s="48">
        <f>IF(108.38257="","-",108.38257/2393202.72267*100)</f>
        <v>4.5287667849166552E-3</v>
      </c>
      <c r="F109" s="48">
        <f>IF(OR(2734888.97913="",271.24115="",304.95103=""),"-",(304.95103-271.24115)/2734888.97913*100)</f>
        <v>1.2325867798378969E-3</v>
      </c>
      <c r="G109" s="48">
        <f>IF(OR(2808282.38613="",108.38257="",304.95103=""),"-",(108.38257-304.95103)/2808282.38613*100)</f>
        <v>-6.9995973685140836E-3</v>
      </c>
    </row>
    <row r="110" spans="1:7" x14ac:dyDescent="0.25">
      <c r="A110" s="47" t="s">
        <v>151</v>
      </c>
      <c r="B110" s="48">
        <f>IF(91.46202="","-",91.46202)</f>
        <v>91.462019999999995</v>
      </c>
      <c r="C110" s="60" t="s">
        <v>301</v>
      </c>
      <c r="D110" s="48">
        <f>IF(26.65374="","-",26.65374/2808282.38613*100)</f>
        <v>9.4911181765914318E-4</v>
      </c>
      <c r="E110" s="48">
        <f>IF(91.46202="","-",91.46202/2393202.72267*100)</f>
        <v>3.8217414318315458E-3</v>
      </c>
      <c r="F110" s="48">
        <f>IF(OR(2734888.97913="",11.30748="",26.65374=""),"-",(26.65374-11.30748)/2734888.97913*100)</f>
        <v>5.6112917625204014E-4</v>
      </c>
      <c r="G110" s="48">
        <f>IF(OR(2808282.38613="",91.46202="",26.65374=""),"-",(91.46202-26.65374)/2808282.38613*100)</f>
        <v>2.3077551004160278E-3</v>
      </c>
    </row>
    <row r="111" spans="1:7" x14ac:dyDescent="0.25">
      <c r="A111" s="47" t="s">
        <v>195</v>
      </c>
      <c r="B111" s="48">
        <f>IF(82.95822="","-",82.95822)</f>
        <v>82.958219999999997</v>
      </c>
      <c r="C111" s="60" t="s">
        <v>302</v>
      </c>
      <c r="D111" s="48">
        <f>IF(20.1513="","-",20.1513/2808282.38613*100)</f>
        <v>7.1756672689066115E-4</v>
      </c>
      <c r="E111" s="48">
        <f>IF(82.95822="","-",82.95822/2393202.72267*100)</f>
        <v>3.4664100627232633E-3</v>
      </c>
      <c r="F111" s="48">
        <f>IF(OR(2734888.97913="",7.4774="",20.1513=""),"-",(20.1513-7.4774)/2734888.97913*100)</f>
        <v>4.6341552058291289E-4</v>
      </c>
      <c r="G111" s="48">
        <f>IF(OR(2808282.38613="",82.95822="",20.1513=""),"-",(82.95822-20.1513)/2808282.38613*100)</f>
        <v>2.2364887630318443E-3</v>
      </c>
    </row>
    <row r="112" spans="1:7" x14ac:dyDescent="0.25">
      <c r="A112" s="47" t="s">
        <v>159</v>
      </c>
      <c r="B112" s="48">
        <f>IF(79.51236="","-",79.51236)</f>
        <v>79.512360000000001</v>
      </c>
      <c r="C112" s="60">
        <f>IF(OR(126.26368="",79.51236=""),"-",79.51236/126.26368*100)</f>
        <v>62.973263570331554</v>
      </c>
      <c r="D112" s="48">
        <f>IF(126.26368="","-",126.26368/2808282.38613*100)</f>
        <v>4.496117649122877E-3</v>
      </c>
      <c r="E112" s="48">
        <f>IF(79.51236="","-",79.51236/2393202.72267*100)</f>
        <v>3.32242476773097E-3</v>
      </c>
      <c r="F112" s="48">
        <f>IF(OR(2734888.97913="",86.78529="",126.26368=""),"-",(126.26368-86.78529)/2734888.97913*100)</f>
        <v>1.4435097841726111E-3</v>
      </c>
      <c r="G112" s="48">
        <f>IF(OR(2808282.38613="",79.51236="",126.26368=""),"-",(79.51236-126.26368)/2808282.38613*100)</f>
        <v>-1.6647656315085329E-3</v>
      </c>
    </row>
    <row r="113" spans="1:7" x14ac:dyDescent="0.25">
      <c r="A113" s="47" t="s">
        <v>153</v>
      </c>
      <c r="B113" s="48">
        <f>IF(77.63454="","-",77.63454)</f>
        <v>77.634540000000001</v>
      </c>
      <c r="C113" s="60" t="s">
        <v>130</v>
      </c>
      <c r="D113" s="48">
        <f>IF(50.55826="","-",50.55826/2808282.38613*100)</f>
        <v>1.8003267851447321E-3</v>
      </c>
      <c r="E113" s="48">
        <f>IF(77.63454="","-",77.63454/2393202.72267*100)</f>
        <v>3.2439600400164291E-3</v>
      </c>
      <c r="F113" s="48">
        <f>IF(OR(2734888.97913="",25.01846="",50.55826=""),"-",(50.55826-25.01846)/2734888.97913*100)</f>
        <v>9.3385143583139178E-4</v>
      </c>
      <c r="G113" s="48">
        <f>IF(OR(2808282.38613="",77.63454="",50.55826=""),"-",(77.63454-50.55826)/2808282.38613*100)</f>
        <v>9.6415802533707869E-4</v>
      </c>
    </row>
    <row r="114" spans="1:7" x14ac:dyDescent="0.25">
      <c r="A114" s="47" t="s">
        <v>298</v>
      </c>
      <c r="B114" s="48">
        <f>IF(76.63094="","-",76.63094)</f>
        <v>76.630939999999995</v>
      </c>
      <c r="C114" s="60" t="s">
        <v>136</v>
      </c>
      <c r="D114" s="48">
        <f>IF(25.24948="","-",25.24948/2808282.38613*100)</f>
        <v>8.9910758706838816E-4</v>
      </c>
      <c r="E114" s="48">
        <f>IF(76.63094="","-",76.63094/2393202.72267*100)</f>
        <v>3.2020246038541164E-3</v>
      </c>
      <c r="F114" s="48">
        <f>IF(OR(2734888.97913="",29.46416="",25.24948=""),"-",(25.24948-29.46416)/2734888.97913*100)</f>
        <v>-1.5410790098473176E-4</v>
      </c>
      <c r="G114" s="48">
        <f>IF(OR(2808282.38613="",76.63094="",25.24948=""),"-",(76.63094-25.24948)/2808282.38613*100)</f>
        <v>1.8296400765738898E-3</v>
      </c>
    </row>
    <row r="115" spans="1:7" x14ac:dyDescent="0.25">
      <c r="A115" s="47" t="s">
        <v>160</v>
      </c>
      <c r="B115" s="48">
        <f>IF(68.43114="","-",68.43114)</f>
        <v>68.431139999999999</v>
      </c>
      <c r="C115" s="60">
        <f>IF(OR(72.40079="",68.43114=""),"-",68.43114/72.40079*100)</f>
        <v>94.517117838078832</v>
      </c>
      <c r="D115" s="48">
        <f>IF(72.40079="","-",72.40079/2808282.38613*100)</f>
        <v>2.5781164443285601E-3</v>
      </c>
      <c r="E115" s="48">
        <f>IF(68.43114="","-",68.43114/2393202.72267*100)</f>
        <v>2.8593958778240953E-3</v>
      </c>
      <c r="F115" s="48">
        <f>IF(OR(2734888.97913="",1.42737="",72.40079=""),"-",(72.40079-1.42737)/2734888.97913*100)</f>
        <v>2.5951115581509814E-3</v>
      </c>
      <c r="G115" s="48">
        <f>IF(OR(2808282.38613="",68.43114="",72.40079=""),"-",(68.43114-72.40079)/2808282.38613*100)</f>
        <v>-1.4135508663964678E-4</v>
      </c>
    </row>
    <row r="116" spans="1:7" x14ac:dyDescent="0.25">
      <c r="A116" s="51" t="s">
        <v>170</v>
      </c>
      <c r="B116" s="54">
        <f>IF(56.18831="","-",56.18831)</f>
        <v>56.188310000000001</v>
      </c>
      <c r="C116" s="62">
        <f>IF(OR(81.78938="",56.18831=""),"-",56.18831/81.78938*100)</f>
        <v>68.698784609933469</v>
      </c>
      <c r="D116" s="54">
        <f>IF(81.78938="","-",81.78938/2808282.38613*100)</f>
        <v>2.9124343194243795E-3</v>
      </c>
      <c r="E116" s="54">
        <f>IF(56.18831="","-",56.18831/2393202.72267*100)</f>
        <v>2.3478291023049215E-3</v>
      </c>
      <c r="F116" s="54">
        <f>IF(OR(2734888.97913="",43.75939="",81.78938=""),"-",(81.78938-43.75939)/2734888.97913*100)</f>
        <v>1.3905496819142462E-3</v>
      </c>
      <c r="G116" s="54">
        <f>IF(OR(2808282.38613="",56.18831="",81.78938=""),"-",(56.18831-81.78938)/2808282.38613*100)</f>
        <v>-9.1162733941724326E-4</v>
      </c>
    </row>
    <row r="117" spans="1:7" x14ac:dyDescent="0.25">
      <c r="A117" s="52" t="s">
        <v>21</v>
      </c>
    </row>
  </sheetData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48"/>
  <sheetViews>
    <sheetView workbookViewId="0">
      <selection activeCell="D147" sqref="D147"/>
    </sheetView>
  </sheetViews>
  <sheetFormatPr defaultRowHeight="15.75" x14ac:dyDescent="0.25"/>
  <cols>
    <col min="1" max="1" width="43" customWidth="1"/>
    <col min="2" max="3" width="15.5" customWidth="1"/>
    <col min="4" max="4" width="16" customWidth="1"/>
  </cols>
  <sheetData>
    <row r="1" spans="1:5" x14ac:dyDescent="0.25">
      <c r="A1" s="95" t="s">
        <v>164</v>
      </c>
      <c r="B1" s="95"/>
      <c r="C1" s="95"/>
      <c r="D1" s="95"/>
    </row>
    <row r="2" spans="1:5" x14ac:dyDescent="0.25">
      <c r="A2" s="4"/>
    </row>
    <row r="3" spans="1:5" ht="26.25" customHeight="1" x14ac:dyDescent="0.25">
      <c r="A3" s="96"/>
      <c r="B3" s="100" t="s">
        <v>285</v>
      </c>
      <c r="C3" s="101"/>
      <c r="D3" s="98" t="s">
        <v>286</v>
      </c>
      <c r="E3" s="1"/>
    </row>
    <row r="4" spans="1:5" ht="25.5" customHeight="1" x14ac:dyDescent="0.25">
      <c r="A4" s="97"/>
      <c r="B4" s="21">
        <v>2019</v>
      </c>
      <c r="C4" s="20">
        <v>2020</v>
      </c>
      <c r="D4" s="99"/>
      <c r="E4" s="1"/>
    </row>
    <row r="5" spans="1:5" ht="17.25" customHeight="1" x14ac:dyDescent="0.25">
      <c r="A5" s="40" t="s">
        <v>185</v>
      </c>
      <c r="B5" s="45">
        <f>IF(-1447068.90834="","-",-1447068.90834)</f>
        <v>-1447068.9083400001</v>
      </c>
      <c r="C5" s="45">
        <f>IF(-1222971.52503="","-",-1222971.52503)</f>
        <v>-1222971.5250299999</v>
      </c>
      <c r="D5" s="65">
        <f>IF(-1447068.90834="","-",-1222971.52503/-1447068.90834*100)</f>
        <v>84.513703389075459</v>
      </c>
    </row>
    <row r="6" spans="1:5" x14ac:dyDescent="0.25">
      <c r="A6" s="41" t="s">
        <v>156</v>
      </c>
      <c r="B6" s="35"/>
      <c r="C6" s="35"/>
      <c r="D6" s="70"/>
    </row>
    <row r="7" spans="1:5" x14ac:dyDescent="0.25">
      <c r="A7" s="37" t="s">
        <v>175</v>
      </c>
      <c r="B7" s="46">
        <f>IF(-521314.44079="","-",-521314.44079)</f>
        <v>-521314.44079000002</v>
      </c>
      <c r="C7" s="46">
        <f>IF(-375600.00149="","-",-375600.00149)</f>
        <v>-375600.00149</v>
      </c>
      <c r="D7" s="67">
        <f>IF(-521314.44079="","-",-375600.00149/-521314.44079*100)</f>
        <v>72.048647054705725</v>
      </c>
    </row>
    <row r="8" spans="1:5" x14ac:dyDescent="0.25">
      <c r="A8" s="47" t="s">
        <v>4</v>
      </c>
      <c r="B8" s="48">
        <f>IF(-113335.19089="","-",-113335.19089)</f>
        <v>-113335.19089</v>
      </c>
      <c r="C8" s="48">
        <f>IF(-94378.96203="","-",-94378.96203)</f>
        <v>-94378.962029999995</v>
      </c>
      <c r="D8" s="68">
        <f>IF(OR(-113335.19089="",-94378.96203="",-113335.19089=0),"-",-94378.96203/-113335.19089*100)</f>
        <v>83.274189851236585</v>
      </c>
    </row>
    <row r="9" spans="1:5" x14ac:dyDescent="0.25">
      <c r="A9" s="47" t="s">
        <v>3</v>
      </c>
      <c r="B9" s="48">
        <f>IF(-64905.22132="","-",-64905.22132)</f>
        <v>-64905.221319999997</v>
      </c>
      <c r="C9" s="48">
        <f>IF(-54668.58346="","-",-54668.58346)</f>
        <v>-54668.583460000002</v>
      </c>
      <c r="D9" s="68">
        <f>IF(OR(-64905.22132="",-54668.58346="",-64905.22132=0),"-",-54668.58346/-64905.22132*100)</f>
        <v>84.228329167031646</v>
      </c>
    </row>
    <row r="10" spans="1:5" x14ac:dyDescent="0.25">
      <c r="A10" s="47" t="s">
        <v>127</v>
      </c>
      <c r="B10" s="48">
        <f>IF(-58501.4346="","-",-58501.4346)</f>
        <v>-58501.434600000001</v>
      </c>
      <c r="C10" s="48">
        <f>IF(-47618.96537="","-",-47618.96537)</f>
        <v>-47618.965369999998</v>
      </c>
      <c r="D10" s="68">
        <f>IF(OR(-58501.4346="",-47618.96537="",-58501.4346=0),"-",-47618.96537/-58501.4346*100)</f>
        <v>81.397944675360151</v>
      </c>
    </row>
    <row r="11" spans="1:5" x14ac:dyDescent="0.25">
      <c r="A11" s="47" t="s">
        <v>5</v>
      </c>
      <c r="B11" s="48">
        <f>IF(-41819.62879="","-",-41819.62879)</f>
        <v>-41819.628790000002</v>
      </c>
      <c r="C11" s="48">
        <f>IF(-46301.99275="","-",-46301.99275)</f>
        <v>-46301.992749999998</v>
      </c>
      <c r="D11" s="68">
        <f>IF(OR(-41819.62879="",-46301.99275="",-41819.62879=0),"-",-46301.99275/-41819.62879*100)</f>
        <v>110.71832555594523</v>
      </c>
    </row>
    <row r="12" spans="1:5" x14ac:dyDescent="0.25">
      <c r="A12" s="47" t="s">
        <v>43</v>
      </c>
      <c r="B12" s="48">
        <f>IF(-52919.26012="","-",-52919.26012)</f>
        <v>-52919.260119999999</v>
      </c>
      <c r="C12" s="48">
        <f>IF(-39921.0414="","-",-39921.0414)</f>
        <v>-39921.041400000002</v>
      </c>
      <c r="D12" s="68">
        <f>IF(OR(-52919.26012="",-39921.0414="",-52919.26012=0),"-",-39921.0414/-52919.26012*100)</f>
        <v>75.437640869269202</v>
      </c>
    </row>
    <row r="13" spans="1:5" x14ac:dyDescent="0.25">
      <c r="A13" s="47" t="s">
        <v>8</v>
      </c>
      <c r="B13" s="48">
        <f>IF(-32541.20616="","-",-32541.20616)</f>
        <v>-32541.206160000002</v>
      </c>
      <c r="C13" s="48">
        <f>IF(-18141.722="","-",-18141.722)</f>
        <v>-18141.722000000002</v>
      </c>
      <c r="D13" s="68">
        <f>IF(OR(-32541.20616="",-18141.722="",-32541.20616=0),"-",-18141.722/-32541.20616*100)</f>
        <v>55.749998665691749</v>
      </c>
    </row>
    <row r="14" spans="1:5" x14ac:dyDescent="0.25">
      <c r="A14" s="47" t="s">
        <v>41</v>
      </c>
      <c r="B14" s="48">
        <f>IF(-21321.24579="","-",-21321.24579)</f>
        <v>-21321.245790000001</v>
      </c>
      <c r="C14" s="48">
        <f>IF(-14999.99482="","-",-14999.99482)</f>
        <v>-14999.99482</v>
      </c>
      <c r="D14" s="68">
        <f>IF(OR(-21321.24579="",-14999.99482="",-21321.24579=0),"-",-14999.99482/-21321.24579*100)</f>
        <v>70.3523376060663</v>
      </c>
    </row>
    <row r="15" spans="1:5" x14ac:dyDescent="0.25">
      <c r="A15" s="47" t="s">
        <v>42</v>
      </c>
      <c r="B15" s="48">
        <f>IF(-13065.68573="","-",-13065.68573)</f>
        <v>-13065.685729999999</v>
      </c>
      <c r="C15" s="48">
        <f>IF(-13247.49867="","-",-13247.49867)</f>
        <v>-13247.498670000001</v>
      </c>
      <c r="D15" s="68">
        <f>IF(OR(-13065.68573="",-13247.49867="",-13065.68573=0),"-",-13247.49867/-13065.68573*100)</f>
        <v>101.39153002572641</v>
      </c>
    </row>
    <row r="16" spans="1:5" x14ac:dyDescent="0.25">
      <c r="A16" s="47" t="s">
        <v>53</v>
      </c>
      <c r="B16" s="48">
        <f>IF(-10736.04435="","-",-10736.04435)</f>
        <v>-10736.04435</v>
      </c>
      <c r="C16" s="48">
        <f>IF(-11364.43882="","-",-11364.43882)</f>
        <v>-11364.438819999999</v>
      </c>
      <c r="D16" s="68">
        <f>IF(OR(-10736.04435="",-11364.43882="",-10736.04435=0),"-",-11364.43882/-10736.04435*100)</f>
        <v>105.85312848488743</v>
      </c>
    </row>
    <row r="17" spans="1:4" x14ac:dyDescent="0.25">
      <c r="A17" s="47" t="s">
        <v>10</v>
      </c>
      <c r="B17" s="48">
        <f>IF(-11126.2513="","-",-11126.2513)</f>
        <v>-11126.2513</v>
      </c>
      <c r="C17" s="48">
        <f>IF(-9108.78848="","-",-9108.78848)</f>
        <v>-9108.7884799999993</v>
      </c>
      <c r="D17" s="68">
        <f>IF(OR(-11126.2513="",-9108.78848="",-11126.2513=0),"-",-9108.78848/-11126.2513*100)</f>
        <v>81.867542215229307</v>
      </c>
    </row>
    <row r="18" spans="1:4" x14ac:dyDescent="0.25">
      <c r="A18" s="47" t="s">
        <v>51</v>
      </c>
      <c r="B18" s="48">
        <f>IF(-11664.47061="","-",-11664.47061)</f>
        <v>-11664.47061</v>
      </c>
      <c r="C18" s="48">
        <f>IF(-8988.79844="","-",-8988.79844)</f>
        <v>-8988.7984400000005</v>
      </c>
      <c r="D18" s="68">
        <f>IF(OR(-11664.47061="",-8988.79844="",-11664.47061=0),"-",-8988.79844/-11664.47061*100)</f>
        <v>77.061349293416413</v>
      </c>
    </row>
    <row r="19" spans="1:4" x14ac:dyDescent="0.25">
      <c r="A19" s="47" t="s">
        <v>6</v>
      </c>
      <c r="B19" s="48">
        <f>IF(-3451.3598="","-",-3451.3598)</f>
        <v>-3451.3598000000002</v>
      </c>
      <c r="C19" s="48">
        <f>IF(-7152.01985="","-",-7152.01985)</f>
        <v>-7152.0198499999997</v>
      </c>
      <c r="D19" s="68" t="s">
        <v>96</v>
      </c>
    </row>
    <row r="20" spans="1:4" x14ac:dyDescent="0.25">
      <c r="A20" s="47" t="s">
        <v>45</v>
      </c>
      <c r="B20" s="48">
        <f>IF(-11776.8519="","-",-11776.8519)</f>
        <v>-11776.8519</v>
      </c>
      <c r="C20" s="48">
        <f>IF(-7114.71479="","-",-7114.71479)</f>
        <v>-7114.71479</v>
      </c>
      <c r="D20" s="68">
        <f>IF(OR(-11776.8519="",-7114.71479="",-11776.8519=0),"-",-7114.71479/-11776.8519*100)</f>
        <v>60.41270494367005</v>
      </c>
    </row>
    <row r="21" spans="1:4" x14ac:dyDescent="0.25">
      <c r="A21" s="47" t="s">
        <v>49</v>
      </c>
      <c r="B21" s="48">
        <f>IF(-5717.02883="","-",-5717.02883)</f>
        <v>-5717.0288300000002</v>
      </c>
      <c r="C21" s="48">
        <f>IF(-5632.94275="","-",-5632.94275)</f>
        <v>-5632.9427500000002</v>
      </c>
      <c r="D21" s="68">
        <f>IF(OR(-5717.02883="",-5632.94275="",-5717.02883=0),"-",-5632.94275/-5717.02883*100)</f>
        <v>98.529199650721367</v>
      </c>
    </row>
    <row r="22" spans="1:4" x14ac:dyDescent="0.25">
      <c r="A22" s="47" t="s">
        <v>50</v>
      </c>
      <c r="B22" s="48">
        <f>IF(-6081.84023="","-",-6081.84023)</f>
        <v>-6081.8402299999998</v>
      </c>
      <c r="C22" s="48">
        <f>IF(-4017.83543="","-",-4017.83543)</f>
        <v>-4017.8354300000001</v>
      </c>
      <c r="D22" s="68">
        <f>IF(OR(-6081.84023="",-4017.83543="",-6081.84023=0),"-",-4017.83543/-6081.84023*100)</f>
        <v>66.062824376430555</v>
      </c>
    </row>
    <row r="23" spans="1:4" x14ac:dyDescent="0.25">
      <c r="A23" s="47" t="s">
        <v>54</v>
      </c>
      <c r="B23" s="48">
        <f>IF(-2936.63187="","-",-2936.63187)</f>
        <v>-2936.6318700000002</v>
      </c>
      <c r="C23" s="48">
        <f>IF(-3660.99721="","-",-3660.99721)</f>
        <v>-3660.99721</v>
      </c>
      <c r="D23" s="68">
        <f>IF(OR(-2936.63187="",-3660.99721="",-2936.63187=0),"-",-3660.99721/-2936.63187*100)</f>
        <v>124.6665354074496</v>
      </c>
    </row>
    <row r="24" spans="1:4" x14ac:dyDescent="0.25">
      <c r="A24" s="47" t="s">
        <v>44</v>
      </c>
      <c r="B24" s="48">
        <f>IF(-3590.89823="","-",-3590.89823)</f>
        <v>-3590.8982299999998</v>
      </c>
      <c r="C24" s="48">
        <f>IF(-3089.46117="","-",-3089.46117)</f>
        <v>-3089.46117</v>
      </c>
      <c r="D24" s="68">
        <f>IF(OR(-3590.89823="",-3089.46117="",-3590.89823=0),"-",-3089.46117/-3590.89823*100)</f>
        <v>86.035887739430592</v>
      </c>
    </row>
    <row r="25" spans="1:4" x14ac:dyDescent="0.25">
      <c r="A25" s="47" t="s">
        <v>46</v>
      </c>
      <c r="B25" s="48">
        <f>IF(-1164.02479="","-",-1164.02479)</f>
        <v>-1164.0247899999999</v>
      </c>
      <c r="C25" s="48">
        <f>IF(-2443.35922="","-",-2443.35922)</f>
        <v>-2443.3592199999998</v>
      </c>
      <c r="D25" s="68" t="s">
        <v>96</v>
      </c>
    </row>
    <row r="26" spans="1:4" x14ac:dyDescent="0.25">
      <c r="A26" s="47" t="s">
        <v>128</v>
      </c>
      <c r="B26" s="48">
        <f>IF(-2403.3806="","-",-2403.3806)</f>
        <v>-2403.3806</v>
      </c>
      <c r="C26" s="48">
        <f>IF(-2174.59634="","-",-2174.59634)</f>
        <v>-2174.5963400000001</v>
      </c>
      <c r="D26" s="68">
        <f>IF(OR(-2403.3806="",-2174.59634="",-2403.3806=0),"-",-2174.59634/-2403.3806*100)</f>
        <v>90.480731183400593</v>
      </c>
    </row>
    <row r="27" spans="1:4" x14ac:dyDescent="0.25">
      <c r="A27" s="47" t="s">
        <v>55</v>
      </c>
      <c r="B27" s="48">
        <f>IF(-717.9419="","-",-717.9419)</f>
        <v>-717.94190000000003</v>
      </c>
      <c r="C27" s="48">
        <f>IF(-492.00875="","-",-492.00875)</f>
        <v>-492.00875000000002</v>
      </c>
      <c r="D27" s="68">
        <f>IF(OR(-717.9419="",-492.00875="",-717.9419=0),"-",-492.00875/-717.9419*100)</f>
        <v>68.530440973009092</v>
      </c>
    </row>
    <row r="28" spans="1:4" x14ac:dyDescent="0.25">
      <c r="A28" s="47" t="s">
        <v>56</v>
      </c>
      <c r="B28" s="48">
        <f>IF(412.60934="","-",412.60934)</f>
        <v>412.60933999999997</v>
      </c>
      <c r="C28" s="48">
        <f>IF(-28.69543="","-",-28.69543)</f>
        <v>-28.695430000000002</v>
      </c>
      <c r="D28" s="68" t="s">
        <v>22</v>
      </c>
    </row>
    <row r="29" spans="1:4" x14ac:dyDescent="0.25">
      <c r="A29" s="47" t="s">
        <v>2</v>
      </c>
      <c r="B29" s="48">
        <f>IF(-18270.73419="","-",-18270.73419)</f>
        <v>-18270.734189999999</v>
      </c>
      <c r="C29" s="48">
        <f>IF(348.6089="","-",348.6089)</f>
        <v>348.60890000000001</v>
      </c>
      <c r="D29" s="68" t="s">
        <v>22</v>
      </c>
    </row>
    <row r="30" spans="1:4" x14ac:dyDescent="0.25">
      <c r="A30" s="47" t="s">
        <v>7</v>
      </c>
      <c r="B30" s="48">
        <f>IF(-29086.92599="","-",-29086.92599)</f>
        <v>-29086.92599</v>
      </c>
      <c r="C30" s="48">
        <f>IF(569.42317="","-",569.42317)</f>
        <v>569.42317000000003</v>
      </c>
      <c r="D30" s="68" t="s">
        <v>22</v>
      </c>
    </row>
    <row r="31" spans="1:4" x14ac:dyDescent="0.25">
      <c r="A31" s="47" t="s">
        <v>52</v>
      </c>
      <c r="B31" s="48">
        <f>IF(-8506.81033="","-",-8506.81033)</f>
        <v>-8506.8103300000002</v>
      </c>
      <c r="C31" s="48">
        <f>IF(715.70292="","-",715.70292)</f>
        <v>715.70291999999995</v>
      </c>
      <c r="D31" s="68" t="s">
        <v>22</v>
      </c>
    </row>
    <row r="32" spans="1:4" x14ac:dyDescent="0.25">
      <c r="A32" s="47" t="s">
        <v>47</v>
      </c>
      <c r="B32" s="48">
        <f>IF(-687.84346="","-",-687.84346)</f>
        <v>-687.84346000000005</v>
      </c>
      <c r="C32" s="48">
        <f>IF(1238.61599="","-",1238.61599)</f>
        <v>1238.61599</v>
      </c>
      <c r="D32" s="68" t="s">
        <v>22</v>
      </c>
    </row>
    <row r="33" spans="1:4" x14ac:dyDescent="0.25">
      <c r="A33" s="47" t="s">
        <v>48</v>
      </c>
      <c r="B33" s="48">
        <f>IF(4430.43854="","-",4430.43854)</f>
        <v>4430.4385400000001</v>
      </c>
      <c r="C33" s="48">
        <f>IF(7740.34174="","-",7740.34174)</f>
        <v>7740.3417399999998</v>
      </c>
      <c r="D33" s="68" t="s">
        <v>106</v>
      </c>
    </row>
    <row r="34" spans="1:4" x14ac:dyDescent="0.25">
      <c r="A34" s="47" t="s">
        <v>9</v>
      </c>
      <c r="B34" s="48">
        <f>IF(170.42311="","-",170.42311)</f>
        <v>170.42311000000001</v>
      </c>
      <c r="C34" s="48">
        <f>IF(8334.72297="","-",8334.72297)</f>
        <v>8334.7229700000007</v>
      </c>
      <c r="D34" s="68" t="s">
        <v>306</v>
      </c>
    </row>
    <row r="35" spans="1:4" x14ac:dyDescent="0.25">
      <c r="A35" s="37" t="s">
        <v>180</v>
      </c>
      <c r="B35" s="46">
        <f>IF(-494111.56365="","-",-494111.56365)</f>
        <v>-494111.56365000003</v>
      </c>
      <c r="C35" s="46">
        <f>IF(-391589.75053="","-",-391589.75053)</f>
        <v>-391589.75053000002</v>
      </c>
      <c r="D35" s="67">
        <f>IF(-494111.56365="","-",-391589.75053/-494111.56365*100)</f>
        <v>79.251282369780668</v>
      </c>
    </row>
    <row r="36" spans="1:4" x14ac:dyDescent="0.25">
      <c r="A36" s="47" t="s">
        <v>12</v>
      </c>
      <c r="B36" s="48">
        <f>IF(-235535.40232="","-",-235535.40232)</f>
        <v>-235535.40231999999</v>
      </c>
      <c r="C36" s="48">
        <f>IF(-201225.03185="","-",-201225.03185)</f>
        <v>-201225.03185</v>
      </c>
      <c r="D36" s="68">
        <f>IF(OR(-235535.40232="",-201225.03185="",-235535.40232=0),"-",-201225.03185/-235535.40232*100)</f>
        <v>85.433030392863969</v>
      </c>
    </row>
    <row r="37" spans="1:4" x14ac:dyDescent="0.25">
      <c r="A37" s="47" t="s">
        <v>129</v>
      </c>
      <c r="B37" s="48">
        <f>IF(-234823.6992="","-",-234823.6992)</f>
        <v>-234823.6992</v>
      </c>
      <c r="C37" s="48">
        <f>IF(-171668.51736="","-",-171668.51736)</f>
        <v>-171668.51736</v>
      </c>
      <c r="D37" s="68">
        <f>IF(OR(-234823.6992="",-171668.51736="",-234823.6992=0),"-",-171668.51736/-234823.6992*100)</f>
        <v>73.105277680592806</v>
      </c>
    </row>
    <row r="38" spans="1:4" x14ac:dyDescent="0.25">
      <c r="A38" s="47" t="s">
        <v>11</v>
      </c>
      <c r="B38" s="48">
        <f>IF(-21599.38154="","-",-21599.38154)</f>
        <v>-21599.381539999998</v>
      </c>
      <c r="C38" s="48">
        <f>IF(-14111.65105="","-",-14111.65105)</f>
        <v>-14111.65105</v>
      </c>
      <c r="D38" s="68">
        <f>IF(OR(-21599.38154="",-14111.65105="",-21599.38154=0),"-",-14111.65105/-21599.38154*100)</f>
        <v>65.333588481996884</v>
      </c>
    </row>
    <row r="39" spans="1:4" x14ac:dyDescent="0.25">
      <c r="A39" s="47" t="s">
        <v>14</v>
      </c>
      <c r="B39" s="48">
        <f>IF(1962.73866="","-",1962.73866)</f>
        <v>1962.73866</v>
      </c>
      <c r="C39" s="48">
        <f>IF(-2561.16364="","-",-2561.16364)</f>
        <v>-2561.1636400000002</v>
      </c>
      <c r="D39" s="68" t="s">
        <v>22</v>
      </c>
    </row>
    <row r="40" spans="1:4" x14ac:dyDescent="0.25">
      <c r="A40" s="47" t="s">
        <v>15</v>
      </c>
      <c r="B40" s="48">
        <f>IF(-2987.72841="","-",-2987.72841)</f>
        <v>-2987.7284100000002</v>
      </c>
      <c r="C40" s="48">
        <f>IF(-2278.29747="","-",-2278.29747)</f>
        <v>-2278.29747</v>
      </c>
      <c r="D40" s="68">
        <f>IF(OR(-2987.72841="",-2278.29747="",-2987.72841=0),"-",-2278.29747/-2987.72841*100)</f>
        <v>76.255173073110754</v>
      </c>
    </row>
    <row r="41" spans="1:4" x14ac:dyDescent="0.25">
      <c r="A41" s="47" t="s">
        <v>16</v>
      </c>
      <c r="B41" s="48">
        <f>IF(-1723.06574="","-",-1723.06574)</f>
        <v>-1723.06574</v>
      </c>
      <c r="C41" s="48">
        <f>IF(-1390.92304="","-",-1390.92304)</f>
        <v>-1390.9230399999999</v>
      </c>
      <c r="D41" s="68">
        <f>IF(OR(-1723.06574="",-1390.92304="",-1723.06574=0),"-",-1390.92304/-1723.06574*100)</f>
        <v>80.72373605431909</v>
      </c>
    </row>
    <row r="42" spans="1:4" x14ac:dyDescent="0.25">
      <c r="A42" s="47" t="s">
        <v>17</v>
      </c>
      <c r="B42" s="48">
        <f>IF(134.33754="","-",134.33754)</f>
        <v>134.33753999999999</v>
      </c>
      <c r="C42" s="48">
        <f>IF(65.51864="","-",65.51864)</f>
        <v>65.518640000000005</v>
      </c>
      <c r="D42" s="68">
        <f>IF(OR(134.33754="",65.51864="",134.33754=0),"-",65.51864/134.33754*100)</f>
        <v>48.771653850442704</v>
      </c>
    </row>
    <row r="43" spans="1:4" x14ac:dyDescent="0.25">
      <c r="A43" s="47" t="s">
        <v>18</v>
      </c>
      <c r="B43" s="48">
        <f>IF(117.45469="","-",117.45469)</f>
        <v>117.45469</v>
      </c>
      <c r="C43" s="48">
        <f>IF(144.99523="","-",144.99523)</f>
        <v>144.99522999999999</v>
      </c>
      <c r="D43" s="68">
        <f>IF(OR(117.45469="",144.99523="",117.45469=0),"-",144.99523/117.45469*100)</f>
        <v>123.44779931733673</v>
      </c>
    </row>
    <row r="44" spans="1:4" x14ac:dyDescent="0.25">
      <c r="A44" s="47" t="s">
        <v>131</v>
      </c>
      <c r="B44" s="48">
        <f>IF(410.26783="","-",410.26783)</f>
        <v>410.26783</v>
      </c>
      <c r="C44" s="48">
        <f>IF(233.55795="","-",233.55795)</f>
        <v>233.55795000000001</v>
      </c>
      <c r="D44" s="68">
        <f>IF(OR(410.26783="",233.55795="",410.26783=0),"-",233.55795/410.26783*100)</f>
        <v>56.928165681428155</v>
      </c>
    </row>
    <row r="45" spans="1:4" x14ac:dyDescent="0.25">
      <c r="A45" s="47" t="s">
        <v>13</v>
      </c>
      <c r="B45" s="48">
        <f>IF(-67.08516="","-",-67.08516)</f>
        <v>-67.085160000000002</v>
      </c>
      <c r="C45" s="48">
        <f>IF(1201.76206="","-",1201.76206)</f>
        <v>1201.76206</v>
      </c>
      <c r="D45" s="68" t="s">
        <v>22</v>
      </c>
    </row>
    <row r="46" spans="1:4" x14ac:dyDescent="0.25">
      <c r="A46" s="37" t="s">
        <v>181</v>
      </c>
      <c r="B46" s="46">
        <f>IF(-431642.9039="","-",-431642.9039)</f>
        <v>-431642.90389999998</v>
      </c>
      <c r="C46" s="46">
        <f>IF(-455781.77301="","-",-455781.77301)</f>
        <v>-455781.77301</v>
      </c>
      <c r="D46" s="67">
        <f>IF(-431642.9039="","-",-455781.77301/-431642.9039*100)</f>
        <v>105.5923238612055</v>
      </c>
    </row>
    <row r="47" spans="1:4" x14ac:dyDescent="0.25">
      <c r="A47" s="47" t="s">
        <v>60</v>
      </c>
      <c r="B47" s="48">
        <f>IF(-270051.9478="","-",-270051.9478)</f>
        <v>-270051.94780000002</v>
      </c>
      <c r="C47" s="48">
        <f>IF(-257896.53051="","-",-257896.53051)</f>
        <v>-257896.53051000001</v>
      </c>
      <c r="D47" s="68">
        <f>IF(OR(-270051.9478="",-257896.53051="",-270051.9478=0),"-",-257896.53051/-270051.9478*100)</f>
        <v>95.498859612372684</v>
      </c>
    </row>
    <row r="48" spans="1:4" x14ac:dyDescent="0.25">
      <c r="A48" s="47" t="s">
        <v>57</v>
      </c>
      <c r="B48" s="48">
        <f>IF(-60115.77341="","-",-60115.77341)</f>
        <v>-60115.773410000002</v>
      </c>
      <c r="C48" s="48">
        <f>IF(-78053.95418="","-",-78053.95418)</f>
        <v>-78053.954180000001</v>
      </c>
      <c r="D48" s="68">
        <f>IF(OR(-60115.77341="",-78053.95418="",-60115.77341=0),"-",-78053.95418/-60115.77341*100)</f>
        <v>129.83939114890612</v>
      </c>
    </row>
    <row r="49" spans="1:5" x14ac:dyDescent="0.25">
      <c r="A49" s="47" t="s">
        <v>77</v>
      </c>
      <c r="B49" s="48">
        <f>IF(-22061.23857="","-",-22061.23857)</f>
        <v>-22061.238570000001</v>
      </c>
      <c r="C49" s="48">
        <f>IF(-23144.63996="","-",-23144.63996)</f>
        <v>-23144.63996</v>
      </c>
      <c r="D49" s="68">
        <f>IF(OR(-22061.23857="",-23144.63996="",-22061.23857=0),"-",-23144.63996/-22061.23857*100)</f>
        <v>104.91088198227123</v>
      </c>
    </row>
    <row r="50" spans="1:5" x14ac:dyDescent="0.25">
      <c r="A50" s="47" t="s">
        <v>19</v>
      </c>
      <c r="B50" s="48">
        <f>IF(-24825.28863="","-",-24825.28863)</f>
        <v>-24825.288629999999</v>
      </c>
      <c r="C50" s="48">
        <f>IF(-20181.82351="","-",-20181.82351)</f>
        <v>-20181.823509999998</v>
      </c>
      <c r="D50" s="68">
        <f>IF(OR(-24825.28863="",-20181.82351="",-24825.28863=0),"-",-20181.82351/-24825.28863*100)</f>
        <v>81.295423432102098</v>
      </c>
    </row>
    <row r="51" spans="1:5" x14ac:dyDescent="0.25">
      <c r="A51" s="47" t="s">
        <v>37</v>
      </c>
      <c r="B51" s="48">
        <f>IF(-16215.26961="","-",-16215.26961)</f>
        <v>-16215.269609999999</v>
      </c>
      <c r="C51" s="48">
        <f>IF(-18144.72882="","-",-18144.72882)</f>
        <v>-18144.72882</v>
      </c>
      <c r="D51" s="68">
        <f>IF(OR(-16215.26961="",-18144.72882="",-16215.26961=0),"-",-18144.72882/-16215.26961*100)</f>
        <v>111.8990263893614</v>
      </c>
    </row>
    <row r="52" spans="1:5" x14ac:dyDescent="0.25">
      <c r="A52" s="47" t="s">
        <v>70</v>
      </c>
      <c r="B52" s="48">
        <f>IF(-18051.69561="","-",-18051.69561)</f>
        <v>-18051.695609999999</v>
      </c>
      <c r="C52" s="48">
        <f>IF(-16939.68237="","-",-16939.68237)</f>
        <v>-16939.682369999999</v>
      </c>
      <c r="D52" s="68">
        <f>IF(OR(-18051.69561="",-16939.68237="",-18051.69561=0),"-",-16939.68237/-18051.69561*100)</f>
        <v>93.839840511248241</v>
      </c>
    </row>
    <row r="53" spans="1:5" x14ac:dyDescent="0.25">
      <c r="A53" s="47" t="s">
        <v>73</v>
      </c>
      <c r="B53" s="48">
        <f>IF(-20217.04985="","-",-20217.04985)</f>
        <v>-20217.049849999999</v>
      </c>
      <c r="C53" s="48">
        <f>IF(-14404.68555="","-",-14404.68555)</f>
        <v>-14404.68555</v>
      </c>
      <c r="D53" s="68">
        <f>IF(OR(-20217.04985="",-14404.68555="",-20217.04985=0),"-",-14404.68555/-20217.04985*100)</f>
        <v>71.250185644667638</v>
      </c>
    </row>
    <row r="54" spans="1:5" x14ac:dyDescent="0.25">
      <c r="A54" s="47" t="s">
        <v>80</v>
      </c>
      <c r="B54" s="48">
        <f>IF(-9156.31567="","-",-9156.31567)</f>
        <v>-9156.31567</v>
      </c>
      <c r="C54" s="48">
        <f>IF(-10212.09971="","-",-10212.09971)</f>
        <v>-10212.09971</v>
      </c>
      <c r="D54" s="68">
        <f>IF(OR(-9156.31567="",-10212.09971="",-9156.31567=0),"-",-10212.09971/-9156.31567*100)</f>
        <v>111.53066449488193</v>
      </c>
    </row>
    <row r="55" spans="1:5" x14ac:dyDescent="0.25">
      <c r="A55" s="47" t="s">
        <v>67</v>
      </c>
      <c r="B55" s="48">
        <f>IF(-4543.16854="","-",-4543.16854)</f>
        <v>-4543.1685399999997</v>
      </c>
      <c r="C55" s="48">
        <f>IF(-8719.90978="","-",-8719.90978)</f>
        <v>-8719.90978</v>
      </c>
      <c r="D55" s="68" t="s">
        <v>108</v>
      </c>
    </row>
    <row r="56" spans="1:5" x14ac:dyDescent="0.25">
      <c r="A56" s="47" t="s">
        <v>71</v>
      </c>
      <c r="B56" s="48">
        <f>IF(-10562.09049="","-",-10562.09049)</f>
        <v>-10562.090490000001</v>
      </c>
      <c r="C56" s="48">
        <f>IF(-7222.75269="","-",-7222.75269)</f>
        <v>-7222.7526900000003</v>
      </c>
      <c r="D56" s="68">
        <f>IF(OR(-10562.09049="",-7222.75269="",-10562.09049=0),"-",-7222.75269/-10562.09049*100)</f>
        <v>68.383741806021959</v>
      </c>
    </row>
    <row r="57" spans="1:5" x14ac:dyDescent="0.25">
      <c r="A57" s="47" t="s">
        <v>126</v>
      </c>
      <c r="B57" s="48">
        <f>IF(-1399.14487="","-",-1399.14487)</f>
        <v>-1399.1448700000001</v>
      </c>
      <c r="C57" s="48">
        <f>IF(-5000.23297="","-",-5000.23297)</f>
        <v>-5000.23297</v>
      </c>
      <c r="D57" s="68" t="s">
        <v>313</v>
      </c>
    </row>
    <row r="58" spans="1:5" x14ac:dyDescent="0.25">
      <c r="A58" s="47" t="s">
        <v>84</v>
      </c>
      <c r="B58" s="48">
        <f>IF(-4125.34933="","-",-4125.34933)</f>
        <v>-4125.34933</v>
      </c>
      <c r="C58" s="48">
        <f>IF(-4606.72252="","-",-4606.72252)</f>
        <v>-4606.7225200000003</v>
      </c>
      <c r="D58" s="68">
        <f>IF(OR(-4125.34933="",-4606.72252="",-4125.34933=0),"-",-4606.72252/-4125.34933*100)</f>
        <v>111.66866491764469</v>
      </c>
    </row>
    <row r="59" spans="1:5" x14ac:dyDescent="0.25">
      <c r="A59" s="47" t="s">
        <v>64</v>
      </c>
      <c r="B59" s="48">
        <f>IF(-3201.43681="","-",-3201.43681)</f>
        <v>-3201.4368100000002</v>
      </c>
      <c r="C59" s="48">
        <f>IF(-4526.78472="","-",-4526.78472)</f>
        <v>-4526.7847199999997</v>
      </c>
      <c r="D59" s="68">
        <f>IF(OR(-3201.43681="",-4526.78472="",-3201.43681=0),"-",-4526.78472/-3201.43681*100)</f>
        <v>141.39853411631134</v>
      </c>
    </row>
    <row r="60" spans="1:5" x14ac:dyDescent="0.25">
      <c r="A60" s="47" t="s">
        <v>75</v>
      </c>
      <c r="B60" s="48">
        <f>IF(-2909.38657="","-",-2909.38657)</f>
        <v>-2909.3865700000001</v>
      </c>
      <c r="C60" s="48">
        <f>IF(-4390.51114="","-",-4390.51114)</f>
        <v>-4390.5111399999996</v>
      </c>
      <c r="D60" s="68" t="s">
        <v>130</v>
      </c>
    </row>
    <row r="61" spans="1:5" x14ac:dyDescent="0.25">
      <c r="A61" s="47" t="s">
        <v>72</v>
      </c>
      <c r="B61" s="48">
        <f>IF(-4368.38236="","-",-4368.38236)</f>
        <v>-4368.3823599999996</v>
      </c>
      <c r="C61" s="48">
        <f>IF(-4115.49781="","-",-4115.49781)</f>
        <v>-4115.4978099999998</v>
      </c>
      <c r="D61" s="68">
        <f>IF(OR(-4368.38236="",-4115.49781="",-4368.38236=0),"-",-4115.49781/-4368.38236*100)</f>
        <v>94.21102529129341</v>
      </c>
      <c r="E61" s="1"/>
    </row>
    <row r="62" spans="1:5" x14ac:dyDescent="0.25">
      <c r="A62" s="47" t="s">
        <v>83</v>
      </c>
      <c r="B62" s="48">
        <f>IF(-4891.74362="","-",-4891.74362)</f>
        <v>-4891.7436200000002</v>
      </c>
      <c r="C62" s="48">
        <f>IF(-4078.31093="","-",-4078.31093)</f>
        <v>-4078.3109300000001</v>
      </c>
      <c r="D62" s="68">
        <f>IF(OR(-4891.74362="",-4078.31093="",-4891.74362=0),"-",-4078.31093/-4891.74362*100)</f>
        <v>83.371313928345245</v>
      </c>
    </row>
    <row r="63" spans="1:5" x14ac:dyDescent="0.25">
      <c r="A63" s="47" t="s">
        <v>79</v>
      </c>
      <c r="B63" s="48">
        <f>IF(-4102.0775="","-",-4102.0775)</f>
        <v>-4102.0775000000003</v>
      </c>
      <c r="C63" s="48">
        <f>IF(-3829.04644="","-",-3829.04644)</f>
        <v>-3829.0464400000001</v>
      </c>
      <c r="D63" s="68">
        <f>IF(OR(-4102.0775="",-3829.04644="",-4102.0775=0),"-",-3829.04644/-4102.0775*100)</f>
        <v>93.344078457805821</v>
      </c>
    </row>
    <row r="64" spans="1:5" x14ac:dyDescent="0.25">
      <c r="A64" s="47" t="s">
        <v>63</v>
      </c>
      <c r="B64" s="48">
        <f>IF(-1671.74384="","-",-1671.74384)</f>
        <v>-1671.7438400000001</v>
      </c>
      <c r="C64" s="48">
        <f>IF(-3214.51853="","-",-3214.51853)</f>
        <v>-3214.5185299999998</v>
      </c>
      <c r="D64" s="68" t="s">
        <v>108</v>
      </c>
    </row>
    <row r="65" spans="1:5" x14ac:dyDescent="0.25">
      <c r="A65" s="47" t="s">
        <v>85</v>
      </c>
      <c r="B65" s="48">
        <f>IF(-2672.12198="","-",-2672.12198)</f>
        <v>-2672.1219799999999</v>
      </c>
      <c r="C65" s="48">
        <f>IF(-2895.84181="","-",-2895.84181)</f>
        <v>-2895.8418099999999</v>
      </c>
      <c r="D65" s="68">
        <f>IF(OR(-2672.12198="",-2895.84181="",-2672.12198=0),"-",-2895.84181/-2672.12198*100)</f>
        <v>108.37236592021146</v>
      </c>
    </row>
    <row r="66" spans="1:5" x14ac:dyDescent="0.25">
      <c r="A66" s="47" t="s">
        <v>62</v>
      </c>
      <c r="B66" s="48">
        <f>IF(-3753.37989="","-",-3753.37989)</f>
        <v>-3753.3798900000002</v>
      </c>
      <c r="C66" s="48">
        <f>IF(-2710.66416="","-",-2710.66416)</f>
        <v>-2710.6641599999998</v>
      </c>
      <c r="D66" s="68">
        <f>IF(OR(-3753.37989="",-2710.66416="",-3753.37989=0),"-",-2710.66416/-3753.37989*100)</f>
        <v>72.219286068589227</v>
      </c>
    </row>
    <row r="67" spans="1:5" x14ac:dyDescent="0.25">
      <c r="A67" s="47" t="s">
        <v>82</v>
      </c>
      <c r="B67" s="48">
        <f>IF(-1747.01795="","-",-1747.01795)</f>
        <v>-1747.0179499999999</v>
      </c>
      <c r="C67" s="48">
        <f>IF(-2477.95478="","-",-2477.95478)</f>
        <v>-2477.95478</v>
      </c>
      <c r="D67" s="68">
        <f>IF(OR(-1747.01795="",-2477.95478="",-1747.01795=0),"-",-2477.95478/-1747.01795*100)</f>
        <v>141.83911390263623</v>
      </c>
    </row>
    <row r="68" spans="1:5" x14ac:dyDescent="0.25">
      <c r="A68" s="47" t="s">
        <v>81</v>
      </c>
      <c r="B68" s="48">
        <f>IF(-2727.89411="","-",-2727.89411)</f>
        <v>-2727.8941100000002</v>
      </c>
      <c r="C68" s="48">
        <f>IF(-2412.76575="","-",-2412.76575)</f>
        <v>-2412.76575</v>
      </c>
      <c r="D68" s="68">
        <f>IF(OR(-2727.89411="",-2412.76575="",-2727.89411=0),"-",-2412.76575/-2727.89411*100)</f>
        <v>88.447925495172527</v>
      </c>
      <c r="E68" s="1"/>
    </row>
    <row r="69" spans="1:5" x14ac:dyDescent="0.25">
      <c r="A69" s="47" t="s">
        <v>87</v>
      </c>
      <c r="B69" s="48">
        <f>IF(-1212.02583="","-",-1212.02583)</f>
        <v>-1212.02583</v>
      </c>
      <c r="C69" s="48">
        <f>IF(-2372.20013="","-",-2372.20013)</f>
        <v>-2372.2001300000002</v>
      </c>
      <c r="D69" s="68" t="s">
        <v>20</v>
      </c>
    </row>
    <row r="70" spans="1:5" x14ac:dyDescent="0.25">
      <c r="A70" s="47" t="s">
        <v>76</v>
      </c>
      <c r="B70" s="48">
        <f>IF(-773.899="","-",-773.899)</f>
        <v>-773.899</v>
      </c>
      <c r="C70" s="48">
        <f>IF(-2259.77653="","-",-2259.77653)</f>
        <v>-2259.7765300000001</v>
      </c>
      <c r="D70" s="68" t="s">
        <v>197</v>
      </c>
    </row>
    <row r="71" spans="1:5" x14ac:dyDescent="0.25">
      <c r="A71" s="47" t="s">
        <v>146</v>
      </c>
      <c r="B71" s="48">
        <f>IF(-2695.27628="","-",-2695.27628)</f>
        <v>-2695.27628</v>
      </c>
      <c r="C71" s="48">
        <f>IF(-1972.3667="","-",-1972.3667)</f>
        <v>-1972.3667</v>
      </c>
      <c r="D71" s="68">
        <f>IF(OR(-2695.27628="",-1972.3667="",-2695.27628=0),"-",-1972.3667/-2695.27628*100)</f>
        <v>73.178646457720461</v>
      </c>
    </row>
    <row r="72" spans="1:5" x14ac:dyDescent="0.25">
      <c r="A72" s="47" t="s">
        <v>86</v>
      </c>
      <c r="B72" s="48">
        <f>IF(-2667.09592="","-",-2667.09592)</f>
        <v>-2667.0959200000002</v>
      </c>
      <c r="C72" s="48">
        <f>IF(-1633.02818="","-",-1633.02818)</f>
        <v>-1633.02818</v>
      </c>
      <c r="D72" s="68">
        <f>IF(OR(-2667.09592="",-1633.02818="",-2667.09592=0),"-",-1633.02818/-2667.09592*100)</f>
        <v>61.22870076603769</v>
      </c>
    </row>
    <row r="73" spans="1:5" x14ac:dyDescent="0.25">
      <c r="A73" s="47" t="s">
        <v>89</v>
      </c>
      <c r="B73" s="48">
        <f>IF(-1602.59373="","-",-1602.59373)</f>
        <v>-1602.5937300000001</v>
      </c>
      <c r="C73" s="48">
        <f>IF(-1180.47398="","-",-1180.47398)</f>
        <v>-1180.47398</v>
      </c>
      <c r="D73" s="68">
        <f>IF(OR(-1602.59373="",-1180.47398="",-1602.59373=0),"-",-1180.47398/-1602.59373*100)</f>
        <v>73.660214557310169</v>
      </c>
    </row>
    <row r="74" spans="1:5" x14ac:dyDescent="0.25">
      <c r="A74" s="47" t="s">
        <v>39</v>
      </c>
      <c r="B74" s="48">
        <f>IF(-735.90665="","-",-735.90665)</f>
        <v>-735.90665000000001</v>
      </c>
      <c r="C74" s="48">
        <f>IF(-1072.75583="","-",-1072.75583)</f>
        <v>-1072.7558300000001</v>
      </c>
      <c r="D74" s="68">
        <f>IF(OR(-735.90665="",-1072.75583="",-735.90665=0),"-",-1072.75583/-735.90665*100)</f>
        <v>145.77335725937525</v>
      </c>
    </row>
    <row r="75" spans="1:5" x14ac:dyDescent="0.25">
      <c r="A75" s="47" t="s">
        <v>74</v>
      </c>
      <c r="B75" s="48">
        <f>IF(-856.96842="","-",-856.96842)</f>
        <v>-856.96842000000004</v>
      </c>
      <c r="C75" s="48">
        <f>IF(-944.02252="","-",-944.02252)</f>
        <v>-944.02251999999999</v>
      </c>
      <c r="D75" s="68">
        <f>IF(OR(-856.96842="",-944.02252="",-856.96842=0),"-",-944.02252/-856.96842*100)</f>
        <v>110.15837899837662</v>
      </c>
    </row>
    <row r="76" spans="1:5" x14ac:dyDescent="0.25">
      <c r="A76" s="47" t="s">
        <v>92</v>
      </c>
      <c r="B76" s="48">
        <f>IF(-248.89719="","-",-248.89719)</f>
        <v>-248.89718999999999</v>
      </c>
      <c r="C76" s="48">
        <f>IF(-834.09428="","-",-834.09428)</f>
        <v>-834.09428000000003</v>
      </c>
      <c r="D76" s="68" t="s">
        <v>301</v>
      </c>
      <c r="E76" s="12"/>
    </row>
    <row r="77" spans="1:5" x14ac:dyDescent="0.25">
      <c r="A77" s="47" t="s">
        <v>150</v>
      </c>
      <c r="B77" s="48">
        <f>IF(-1733.5922="","-",-1733.5922)</f>
        <v>-1733.5922</v>
      </c>
      <c r="C77" s="48">
        <f>IF(-827.17652="","-",-827.17652)</f>
        <v>-827.17651999999998</v>
      </c>
      <c r="D77" s="68">
        <f>IF(OR(-1733.5922="",-827.17652="",-1733.5922=0),"-",-827.17652/-1733.5922*100)</f>
        <v>47.714596316250152</v>
      </c>
    </row>
    <row r="78" spans="1:5" x14ac:dyDescent="0.25">
      <c r="A78" s="47" t="s">
        <v>148</v>
      </c>
      <c r="B78" s="48">
        <f>IF(23.71124="","-",23.71124)</f>
        <v>23.71124</v>
      </c>
      <c r="C78" s="48">
        <f>IF(-793.95044="","-",-793.95044)</f>
        <v>-793.95043999999996</v>
      </c>
      <c r="D78" s="68" t="s">
        <v>22</v>
      </c>
    </row>
    <row r="79" spans="1:5" x14ac:dyDescent="0.25">
      <c r="A79" s="47" t="s">
        <v>98</v>
      </c>
      <c r="B79" s="48">
        <f>IF(-566.28353="","-",-566.28353)</f>
        <v>-566.28353000000004</v>
      </c>
      <c r="C79" s="48">
        <f>IF(-743.62848="","-",-743.62848)</f>
        <v>-743.62847999999997</v>
      </c>
      <c r="D79" s="68">
        <f>IF(OR(-566.28353="",-743.62848="",-566.28353=0),"-",-743.62848/-566.28353*100)</f>
        <v>131.31734203888993</v>
      </c>
    </row>
    <row r="80" spans="1:5" x14ac:dyDescent="0.25">
      <c r="A80" s="47" t="s">
        <v>194</v>
      </c>
      <c r="B80" s="48">
        <f>IF(3="","-",3)</f>
        <v>3</v>
      </c>
      <c r="C80" s="48">
        <f>IF(-625.2805="","-",-625.2805)</f>
        <v>-625.28049999999996</v>
      </c>
      <c r="D80" s="68" t="s">
        <v>22</v>
      </c>
    </row>
    <row r="81" spans="1:5" x14ac:dyDescent="0.25">
      <c r="A81" s="47" t="s">
        <v>90</v>
      </c>
      <c r="B81" s="48">
        <f>IF(-694.99329="","-",-694.99329)</f>
        <v>-694.99329</v>
      </c>
      <c r="C81" s="48">
        <f>IF(-612.57017="","-",-612.57017)</f>
        <v>-612.57016999999996</v>
      </c>
      <c r="D81" s="68">
        <f>IF(OR(-694.99329="",-612.57017="",-694.99329=0),"-",-612.57017/-694.99329*100)</f>
        <v>88.140443773205348</v>
      </c>
    </row>
    <row r="82" spans="1:5" x14ac:dyDescent="0.25">
      <c r="A82" s="47" t="s">
        <v>95</v>
      </c>
      <c r="B82" s="48">
        <f>IF(-165.14985="","-",-165.14985)</f>
        <v>-165.14984999999999</v>
      </c>
      <c r="C82" s="48">
        <f>IF(-453.76206="","-",-453.76206)</f>
        <v>-453.76206000000002</v>
      </c>
      <c r="D82" s="68" t="s">
        <v>196</v>
      </c>
    </row>
    <row r="83" spans="1:5" x14ac:dyDescent="0.25">
      <c r="A83" s="47" t="s">
        <v>114</v>
      </c>
      <c r="B83" s="48">
        <f>IF(-14.54836="","-",-14.54836)</f>
        <v>-14.548360000000001</v>
      </c>
      <c r="C83" s="48">
        <f>IF(-422.9867="","-",-422.9867)</f>
        <v>-422.98669999999998</v>
      </c>
      <c r="D83" s="68" t="s">
        <v>314</v>
      </c>
    </row>
    <row r="84" spans="1:5" x14ac:dyDescent="0.25">
      <c r="A84" s="47" t="s">
        <v>184</v>
      </c>
      <c r="B84" s="48">
        <f>IF(-583.91204="","-",-583.91204)</f>
        <v>-583.91204000000005</v>
      </c>
      <c r="C84" s="48">
        <f>IF(-412.37481="","-",-412.37481)</f>
        <v>-412.37481000000002</v>
      </c>
      <c r="D84" s="68">
        <f>IF(OR(-583.91204="",-412.37481="",-583.91204=0),"-",-412.37481/-583.91204*100)</f>
        <v>70.622761948871613</v>
      </c>
    </row>
    <row r="85" spans="1:5" x14ac:dyDescent="0.25">
      <c r="A85" s="47" t="s">
        <v>40</v>
      </c>
      <c r="B85" s="48">
        <f>IF(-532.24214="","-",-532.24214)</f>
        <v>-532.24213999999995</v>
      </c>
      <c r="C85" s="48">
        <f>IF(-386.11904="","-",-386.11904)</f>
        <v>-386.11903999999998</v>
      </c>
      <c r="D85" s="68">
        <f>IF(OR(-532.24214="",-386.11904="",-532.24214=0),"-",-386.11904/-532.24214*100)</f>
        <v>72.545747692957946</v>
      </c>
    </row>
    <row r="86" spans="1:5" x14ac:dyDescent="0.25">
      <c r="A86" s="47" t="s">
        <v>93</v>
      </c>
      <c r="B86" s="48">
        <f>IF(-326.65833="","-",-326.65833)</f>
        <v>-326.65832999999998</v>
      </c>
      <c r="C86" s="48">
        <f>IF(-378.54383="","-",-378.54383)</f>
        <v>-378.54383000000001</v>
      </c>
      <c r="D86" s="68">
        <f>IF(OR(-326.65833="",-378.54383="",-326.65833=0),"-",-378.54383/-326.65833*100)</f>
        <v>115.8837216855912</v>
      </c>
    </row>
    <row r="87" spans="1:5" x14ac:dyDescent="0.25">
      <c r="A87" s="47" t="s">
        <v>137</v>
      </c>
      <c r="B87" s="48">
        <f>IF(-338.90206="","-",-338.90206)</f>
        <v>-338.90206000000001</v>
      </c>
      <c r="C87" s="48">
        <f>IF(-336.77539="","-",-336.77539)</f>
        <v>-336.77539000000002</v>
      </c>
      <c r="D87" s="68">
        <f>IF(OR(-338.90206="",-336.77539="",-338.90206=0),"-",-336.77539/-338.90206*100)</f>
        <v>99.372482421617619</v>
      </c>
    </row>
    <row r="88" spans="1:5" x14ac:dyDescent="0.25">
      <c r="A88" s="47" t="s">
        <v>152</v>
      </c>
      <c r="B88" s="48">
        <f>IF(-81.60976="","-",-81.60976)</f>
        <v>-81.609759999999994</v>
      </c>
      <c r="C88" s="48">
        <f>IF(-205.14183="","-",-205.14183)</f>
        <v>-205.14183</v>
      </c>
      <c r="D88" s="68" t="s">
        <v>149</v>
      </c>
    </row>
    <row r="89" spans="1:5" x14ac:dyDescent="0.25">
      <c r="A89" s="47" t="s">
        <v>183</v>
      </c>
      <c r="B89" s="48">
        <f>IF(-439.25026="","-",-439.25026)</f>
        <v>-439.25026000000003</v>
      </c>
      <c r="C89" s="48">
        <f>IF(-199.75524="","-",-199.75524)</f>
        <v>-199.75523999999999</v>
      </c>
      <c r="D89" s="68">
        <f>IF(OR(-439.25026="",-199.75524="",-439.25026=0),"-",-199.75524/-439.25026*100)</f>
        <v>45.476407913793828</v>
      </c>
    </row>
    <row r="90" spans="1:5" x14ac:dyDescent="0.25">
      <c r="A90" s="47" t="s">
        <v>103</v>
      </c>
      <c r="B90" s="48">
        <f>IF(-302.05294="","-",-302.05294)</f>
        <v>-302.05293999999998</v>
      </c>
      <c r="C90" s="48">
        <f>IF(-151.04651="","-",-151.04651)</f>
        <v>-151.04651000000001</v>
      </c>
      <c r="D90" s="68">
        <f>IF(OR(-302.05294="",-151.04651="",-302.05294=0),"-",-151.04651/-302.05294*100)</f>
        <v>50.006634598557461</v>
      </c>
    </row>
    <row r="91" spans="1:5" x14ac:dyDescent="0.25">
      <c r="A91" s="47" t="s">
        <v>99</v>
      </c>
      <c r="B91" s="48">
        <f>IF(-510.72987="","-",-510.72987)</f>
        <v>-510.72987000000001</v>
      </c>
      <c r="C91" s="48">
        <f>IF(-146.52656="","-",-146.52656)</f>
        <v>-146.52655999999999</v>
      </c>
      <c r="D91" s="68">
        <f>IF(OR(-510.72987="",-146.52656="",-510.72987=0),"-",-146.52656/-510.72987*100)</f>
        <v>28.689639789425275</v>
      </c>
    </row>
    <row r="92" spans="1:5" x14ac:dyDescent="0.25">
      <c r="A92" s="47" t="s">
        <v>138</v>
      </c>
      <c r="B92" s="48">
        <f>IF(-129.2512="","-",-129.2512)</f>
        <v>-129.25120000000001</v>
      </c>
      <c r="C92" s="48">
        <f>IF(-143.5722="","-",-143.5722)</f>
        <v>-143.57220000000001</v>
      </c>
      <c r="D92" s="68">
        <f>IF(OR(-129.2512="",-143.5722="",-129.2512=0),"-",-143.5722/-129.2512*100)</f>
        <v>111.07997449926962</v>
      </c>
    </row>
    <row r="93" spans="1:5" x14ac:dyDescent="0.25">
      <c r="A93" s="47" t="s">
        <v>104</v>
      </c>
      <c r="B93" s="48">
        <f>IF(-141.83515="","-",-141.83515)</f>
        <v>-141.83515</v>
      </c>
      <c r="C93" s="48">
        <f>IF(-141.04432="","-",-141.04432)</f>
        <v>-141.04432</v>
      </c>
      <c r="D93" s="68">
        <f>IF(OR(-141.83515="",-141.04432="",-141.83515=0),"-",-141.04432/-141.83515*100)</f>
        <v>99.442430173338565</v>
      </c>
    </row>
    <row r="94" spans="1:5" x14ac:dyDescent="0.25">
      <c r="A94" s="47" t="s">
        <v>171</v>
      </c>
      <c r="B94" s="48">
        <f>IF(-124.31549="","-",-124.31549)</f>
        <v>-124.31549</v>
      </c>
      <c r="C94" s="48">
        <f>IF(-117.52807="","-",-117.52807)</f>
        <v>-117.52807</v>
      </c>
      <c r="D94" s="68">
        <f>IF(OR(-124.31549="",-117.52807="",-124.31549=0),"-",-117.52807/-124.31549*100)</f>
        <v>94.540165509543499</v>
      </c>
    </row>
    <row r="95" spans="1:5" x14ac:dyDescent="0.25">
      <c r="A95" s="47" t="s">
        <v>158</v>
      </c>
      <c r="B95" s="48">
        <f>IF(-22.59244="","-",-22.59244)</f>
        <v>-22.59244</v>
      </c>
      <c r="C95" s="48">
        <f>IF(-110.81363="","-",-110.81363)</f>
        <v>-110.81363</v>
      </c>
      <c r="D95" s="68" t="s">
        <v>315</v>
      </c>
    </row>
    <row r="96" spans="1:5" x14ac:dyDescent="0.25">
      <c r="A96" s="47" t="s">
        <v>91</v>
      </c>
      <c r="B96" s="48">
        <f>IF(-239.29048="","-",-239.29048)</f>
        <v>-239.29048</v>
      </c>
      <c r="C96" s="48">
        <f>IF(-108.14954="","-",-108.14954)</f>
        <v>-108.14954</v>
      </c>
      <c r="D96" s="68">
        <f>IF(OR(-239.29048="",-108.14954="",-239.29048=0),"-",-108.14954/-239.29048*100)</f>
        <v>45.195922545685896</v>
      </c>
      <c r="E96" s="12"/>
    </row>
    <row r="97" spans="1:5" x14ac:dyDescent="0.25">
      <c r="A97" s="47" t="s">
        <v>151</v>
      </c>
      <c r="B97" s="48">
        <f>IF(-26.65374="","-",-26.65374)</f>
        <v>-26.653739999999999</v>
      </c>
      <c r="C97" s="48">
        <f>IF(-90.86414="","-",-90.86414)</f>
        <v>-90.864140000000006</v>
      </c>
      <c r="D97" s="68" t="s">
        <v>301</v>
      </c>
    </row>
    <row r="98" spans="1:5" x14ac:dyDescent="0.25">
      <c r="A98" s="47" t="s">
        <v>195</v>
      </c>
      <c r="B98" s="48">
        <f>IF(-19.8241="","-",-19.8241)</f>
        <v>-19.824100000000001</v>
      </c>
      <c r="C98" s="48">
        <f>IF(-82.22077="","-",-82.22077)</f>
        <v>-82.220770000000002</v>
      </c>
      <c r="D98" s="68" t="s">
        <v>302</v>
      </c>
      <c r="E98" s="11"/>
    </row>
    <row r="99" spans="1:5" x14ac:dyDescent="0.25">
      <c r="A99" s="47" t="s">
        <v>159</v>
      </c>
      <c r="B99" s="48">
        <f>IF(-126.26368="","-",-126.26368)</f>
        <v>-126.26367999999999</v>
      </c>
      <c r="C99" s="48">
        <f>IF(-79.51236="","-",-79.51236)</f>
        <v>-79.512360000000001</v>
      </c>
      <c r="D99" s="68">
        <f>IF(OR(-126.26368="",-79.51236="",-126.26368=0),"-",-79.51236/-126.26368*100)</f>
        <v>62.973263570331554</v>
      </c>
    </row>
    <row r="100" spans="1:5" x14ac:dyDescent="0.25">
      <c r="A100" s="47" t="s">
        <v>198</v>
      </c>
      <c r="B100" s="48">
        <f>IF(-359.2748="","-",-359.2748)</f>
        <v>-359.27480000000003</v>
      </c>
      <c r="C100" s="48">
        <f>IF(-76.80613="","-",-76.80613)</f>
        <v>-76.806129999999996</v>
      </c>
      <c r="D100" s="68">
        <f>IF(OR(-359.2748="",-76.80613="",-359.2748=0),"-",-76.80613/-359.2748*100)</f>
        <v>21.378101108121133</v>
      </c>
      <c r="E100" s="11"/>
    </row>
    <row r="101" spans="1:5" x14ac:dyDescent="0.25">
      <c r="A101" s="47" t="s">
        <v>298</v>
      </c>
      <c r="B101" s="48">
        <f>IF(-25.08349="","-",-25.08349)</f>
        <v>-25.083490000000001</v>
      </c>
      <c r="C101" s="48">
        <f>IF(-76.63094="","-",-76.63094)</f>
        <v>-76.630939999999995</v>
      </c>
      <c r="D101" s="68" t="s">
        <v>316</v>
      </c>
      <c r="E101" s="1"/>
    </row>
    <row r="102" spans="1:5" x14ac:dyDescent="0.25">
      <c r="A102" s="47" t="s">
        <v>160</v>
      </c>
      <c r="B102" s="48">
        <f>IF(-26.0156="","-",-26.0156)</f>
        <v>-26.015599999999999</v>
      </c>
      <c r="C102" s="48">
        <f>IF(-67.35403="","-",-67.35403)</f>
        <v>-67.354029999999995</v>
      </c>
      <c r="D102" s="68" t="s">
        <v>154</v>
      </c>
    </row>
    <row r="103" spans="1:5" x14ac:dyDescent="0.25">
      <c r="A103" s="47" t="s">
        <v>170</v>
      </c>
      <c r="B103" s="48">
        <f>IF(-81.34831="","-",-81.34831)</f>
        <v>-81.348309999999998</v>
      </c>
      <c r="C103" s="48">
        <f>IF(-56.18831="","-",-56.18831)</f>
        <v>-56.188310000000001</v>
      </c>
      <c r="D103" s="68">
        <f>IF(OR(-81.34831="",-56.18831="",-81.34831=0),"-",-56.18831/-81.34831*100)</f>
        <v>69.071268966743133</v>
      </c>
    </row>
    <row r="104" spans="1:5" x14ac:dyDescent="0.25">
      <c r="A104" s="47" t="s">
        <v>110</v>
      </c>
      <c r="B104" s="48">
        <f>IF(63.09688="","-",63.09688)</f>
        <v>63.096879999999999</v>
      </c>
      <c r="C104" s="48">
        <f>IF(-53.46239="","-",-53.46239)</f>
        <v>-53.462389999999999</v>
      </c>
      <c r="D104" s="68" t="s">
        <v>22</v>
      </c>
    </row>
    <row r="105" spans="1:5" x14ac:dyDescent="0.25">
      <c r="A105" s="47" t="s">
        <v>88</v>
      </c>
      <c r="B105" s="48">
        <f>IF(-1200.37852="","-",-1200.37852)</f>
        <v>-1200.37852</v>
      </c>
      <c r="C105" s="48">
        <f>IF(-48.73582="","-",-48.73582)</f>
        <v>-48.735819999999997</v>
      </c>
      <c r="D105" s="68">
        <f>IF(OR(-1200.37852="",-48.73582="",-1200.37852=0),"-",-48.73582/-1200.37852*100)</f>
        <v>4.060037662120112</v>
      </c>
      <c r="E105" s="12"/>
    </row>
    <row r="106" spans="1:5" x14ac:dyDescent="0.25">
      <c r="A106" s="47" t="s">
        <v>153</v>
      </c>
      <c r="B106" s="48">
        <f>IF(-50.55826="","-",-50.55826)</f>
        <v>-50.558259999999997</v>
      </c>
      <c r="C106" s="48">
        <f>IF(-46.80854="","-",-46.80854)</f>
        <v>-46.808540000000001</v>
      </c>
      <c r="D106" s="68">
        <f>IF(OR(-50.55826="",-46.80854="",-50.55826=0),"-",-46.80854/-50.55826*100)</f>
        <v>92.5833681776232</v>
      </c>
      <c r="E106" s="10"/>
    </row>
    <row r="107" spans="1:5" x14ac:dyDescent="0.25">
      <c r="A107" s="47" t="s">
        <v>199</v>
      </c>
      <c r="B107" s="48">
        <f>IF(-45.96879="","-",-45.96879)</f>
        <v>-45.968789999999998</v>
      </c>
      <c r="C107" s="48">
        <f>IF(-43.49346="","-",-43.49346)</f>
        <v>-43.493459999999999</v>
      </c>
      <c r="D107" s="68">
        <f>IF(OR(-45.96879="",-43.49346="",-45.96879=0),"-",-43.49346/-45.96879*100)</f>
        <v>94.615194352516127</v>
      </c>
    </row>
    <row r="108" spans="1:5" x14ac:dyDescent="0.25">
      <c r="A108" s="47" t="s">
        <v>186</v>
      </c>
      <c r="B108" s="48">
        <f>IF(-44.82431="","-",-44.82431)</f>
        <v>-44.824309999999997</v>
      </c>
      <c r="C108" s="48">
        <f>IF(-41.42354="","-",-41.42354)</f>
        <v>-41.423540000000003</v>
      </c>
      <c r="D108" s="68">
        <f>IF(OR(-44.82431="",-41.42354="",-44.82431=0),"-",-41.42354/-44.82431*100)</f>
        <v>92.413112438317526</v>
      </c>
      <c r="E108" s="12"/>
    </row>
    <row r="109" spans="1:5" x14ac:dyDescent="0.25">
      <c r="A109" s="47" t="s">
        <v>187</v>
      </c>
      <c r="B109" s="48">
        <f>IF(-30.04692="","-",-30.04692)</f>
        <v>-30.04692</v>
      </c>
      <c r="C109" s="48">
        <f>IF(-30.94467="","-",-30.94467)</f>
        <v>-30.944669999999999</v>
      </c>
      <c r="D109" s="68">
        <f>IF(OR(-30.04692="",-30.94467="",-30.04692=0),"-",-30.94467/-30.04692*100)</f>
        <v>102.98782703851177</v>
      </c>
    </row>
    <row r="110" spans="1:5" x14ac:dyDescent="0.25">
      <c r="A110" s="47" t="s">
        <v>188</v>
      </c>
      <c r="B110" s="48">
        <f>IF(-63.26887="","-",-63.26887)</f>
        <v>-63.26887</v>
      </c>
      <c r="C110" s="48">
        <f>IF(-23.02316="","-",-23.02316)</f>
        <v>-23.023160000000001</v>
      </c>
      <c r="D110" s="68">
        <f>IF(OR(-63.26887="",-23.02316="",-63.26887=0),"-",-23.02316/-63.26887*100)</f>
        <v>36.38939655473537</v>
      </c>
    </row>
    <row r="111" spans="1:5" x14ac:dyDescent="0.25">
      <c r="A111" s="47" t="s">
        <v>200</v>
      </c>
      <c r="B111" s="48">
        <f>IF(-38.11631="","-",-38.11631)</f>
        <v>-38.116309999999999</v>
      </c>
      <c r="C111" s="48">
        <f>IF(-17.88279="","-",-17.88279)</f>
        <v>-17.88279</v>
      </c>
      <c r="D111" s="68">
        <f>IF(OR(-38.11631="",-17.88279="",-38.11631=0),"-",-17.88279/-38.11631*100)</f>
        <v>46.9163725449814</v>
      </c>
      <c r="E111" s="12"/>
    </row>
    <row r="112" spans="1:5" x14ac:dyDescent="0.25">
      <c r="A112" s="47" t="s">
        <v>307</v>
      </c>
      <c r="B112" s="48">
        <f>IF(-36.58245="","-",-36.58245)</f>
        <v>-36.582450000000001</v>
      </c>
      <c r="C112" s="48">
        <f>IF(-14.90397="","-",-14.90397)</f>
        <v>-14.903969999999999</v>
      </c>
      <c r="D112" s="68">
        <f>IF(OR(-36.58245="",-14.90397="",-36.58245=0),"-",-14.90397/-36.58245*100)</f>
        <v>40.740765038973606</v>
      </c>
    </row>
    <row r="113" spans="1:4" x14ac:dyDescent="0.25">
      <c r="A113" s="47" t="s">
        <v>308</v>
      </c>
      <c r="B113" s="48">
        <f>IF(-3.99136="","-",-3.99136)</f>
        <v>-3.9913599999999998</v>
      </c>
      <c r="C113" s="48">
        <f>IF(-12.5543="","-",-12.5543)</f>
        <v>-12.5543</v>
      </c>
      <c r="D113" s="68" t="s">
        <v>316</v>
      </c>
    </row>
    <row r="114" spans="1:4" x14ac:dyDescent="0.25">
      <c r="A114" s="47" t="s">
        <v>309</v>
      </c>
      <c r="B114" s="48">
        <f>IF(-28.73305="","-",-28.73305)</f>
        <v>-28.733049999999999</v>
      </c>
      <c r="C114" s="48">
        <f>IF(-11.91355="","-",-11.91355)</f>
        <v>-11.913550000000001</v>
      </c>
      <c r="D114" s="68">
        <f>IF(OR(-28.73305="",-11.91355="",-28.73305=0),"-",-11.91355/-28.73305*100)</f>
        <v>41.462879854383722</v>
      </c>
    </row>
    <row r="115" spans="1:4" x14ac:dyDescent="0.25">
      <c r="A115" s="47" t="s">
        <v>201</v>
      </c>
      <c r="B115" s="48">
        <f>IF(-12.18796="","-",-12.18796)</f>
        <v>-12.18796</v>
      </c>
      <c r="C115" s="48">
        <f>IF(-10.10171="","-",-10.10171)</f>
        <v>-10.101710000000001</v>
      </c>
      <c r="D115" s="68">
        <f>IF(OR(-12.18796="",-10.10171="",-12.18796=0),"-",-10.10171/-12.18796*100)</f>
        <v>82.882697350499996</v>
      </c>
    </row>
    <row r="116" spans="1:4" x14ac:dyDescent="0.25">
      <c r="A116" s="47" t="s">
        <v>310</v>
      </c>
      <c r="B116" s="48">
        <f>IF(241.74735="","-",241.74735)</f>
        <v>241.74735000000001</v>
      </c>
      <c r="C116" s="48">
        <f>IF(9.40936="","-",9.40936)</f>
        <v>9.4093599999999995</v>
      </c>
      <c r="D116" s="68">
        <f>IF(OR(241.74735="",9.40936="",241.74735=0),"-",9.40936/241.74735*100)</f>
        <v>3.8922288082992424</v>
      </c>
    </row>
    <row r="117" spans="1:4" x14ac:dyDescent="0.25">
      <c r="A117" s="47" t="s">
        <v>311</v>
      </c>
      <c r="B117" s="48">
        <f>IF(14.1884="","-",14.1884)</f>
        <v>14.1884</v>
      </c>
      <c r="C117" s="48">
        <f>IF(11.9821="","-",11.9821)</f>
        <v>11.982100000000001</v>
      </c>
      <c r="D117" s="68">
        <f>IF(OR(14.1884="",11.9821="",14.1884=0),"-",11.9821/14.1884*100)</f>
        <v>84.449973217558011</v>
      </c>
    </row>
    <row r="118" spans="1:4" x14ac:dyDescent="0.25">
      <c r="A118" s="47" t="s">
        <v>202</v>
      </c>
      <c r="B118" s="48">
        <f>IF(133.82131="","-",133.82131)</f>
        <v>133.82131000000001</v>
      </c>
      <c r="C118" s="48">
        <f>IF(15.83932="","-",15.83932)</f>
        <v>15.839320000000001</v>
      </c>
      <c r="D118" s="68">
        <f>IF(OR(133.82131="",15.83932="",133.82131=0),"-",15.83932/133.82131*100)</f>
        <v>11.836171682970372</v>
      </c>
    </row>
    <row r="119" spans="1:4" x14ac:dyDescent="0.25">
      <c r="A119" s="47" t="s">
        <v>203</v>
      </c>
      <c r="B119" s="48">
        <f>IF(21.9375="","-",21.9375)</f>
        <v>21.9375</v>
      </c>
      <c r="C119" s="48">
        <f>IF(23.05="","-",23.05)</f>
        <v>23.05</v>
      </c>
      <c r="D119" s="68">
        <f>IF(OR(21.9375="",23.05="",21.9375=0),"-",23.05/21.9375*100)</f>
        <v>105.07122507122509</v>
      </c>
    </row>
    <row r="120" spans="1:4" x14ac:dyDescent="0.25">
      <c r="A120" s="47" t="s">
        <v>204</v>
      </c>
      <c r="B120" s="48">
        <f>IF(19.081="","-",19.081)</f>
        <v>19.081</v>
      </c>
      <c r="C120" s="48">
        <f>IF(24.012="","-",24.012)</f>
        <v>24.012</v>
      </c>
      <c r="D120" s="68">
        <f>IF(OR(19.081="",24.012="",19.081=0),"-",24.012/19.081*100)</f>
        <v>125.84246108694512</v>
      </c>
    </row>
    <row r="121" spans="1:4" x14ac:dyDescent="0.25">
      <c r="A121" s="47" t="s">
        <v>312</v>
      </c>
      <c r="B121" s="48">
        <f>IF(0.9102="","-",0.9102)</f>
        <v>0.91020000000000001</v>
      </c>
      <c r="C121" s="48">
        <f>IF(27.87853="","-",27.87853)</f>
        <v>27.878530000000001</v>
      </c>
      <c r="D121" s="68" t="s">
        <v>317</v>
      </c>
    </row>
    <row r="122" spans="1:4" x14ac:dyDescent="0.25">
      <c r="A122" s="47" t="s">
        <v>147</v>
      </c>
      <c r="B122" s="48">
        <f>IF(-40.57151="","-",-40.57151)</f>
        <v>-40.571510000000004</v>
      </c>
      <c r="C122" s="48">
        <f>IF(31.80986="","-",31.80986)</f>
        <v>31.80986</v>
      </c>
      <c r="D122" s="68" t="s">
        <v>22</v>
      </c>
    </row>
    <row r="123" spans="1:4" x14ac:dyDescent="0.25">
      <c r="A123" s="47" t="s">
        <v>94</v>
      </c>
      <c r="B123" s="48">
        <f>IF(-351.95448="","-",-351.95448)</f>
        <v>-351.95447999999999</v>
      </c>
      <c r="C123" s="48">
        <f>IF(39.9836="","-",39.9836)</f>
        <v>39.983600000000003</v>
      </c>
      <c r="D123" s="68" t="s">
        <v>22</v>
      </c>
    </row>
    <row r="124" spans="1:4" x14ac:dyDescent="0.25">
      <c r="A124" s="47" t="s">
        <v>157</v>
      </c>
      <c r="B124" s="48">
        <f>IF(43.23246="","-",43.23246)</f>
        <v>43.232460000000003</v>
      </c>
      <c r="C124" s="48">
        <f>IF(50.18097="","-",50.18097)</f>
        <v>50.180970000000002</v>
      </c>
      <c r="D124" s="68">
        <f>IF(OR(43.23246="",50.18097="",43.23246=0),"-",50.18097/43.23246*100)</f>
        <v>116.07243723813079</v>
      </c>
    </row>
    <row r="125" spans="1:4" x14ac:dyDescent="0.25">
      <c r="A125" s="47" t="s">
        <v>191</v>
      </c>
      <c r="B125" s="48">
        <f>IF(252.88678="","-",252.88678)</f>
        <v>252.88677999999999</v>
      </c>
      <c r="C125" s="48">
        <f>IF(61.4613="","-",61.4613)</f>
        <v>61.461300000000001</v>
      </c>
      <c r="D125" s="68">
        <f>IF(OR(252.88678="",61.4613="",252.88678=0),"-",61.4613/252.88678*100)</f>
        <v>24.30388017910624</v>
      </c>
    </row>
    <row r="126" spans="1:4" x14ac:dyDescent="0.25">
      <c r="A126" s="47" t="s">
        <v>65</v>
      </c>
      <c r="B126" s="48">
        <f>IF(478.9888="","-",478.9888)</f>
        <v>478.98880000000003</v>
      </c>
      <c r="C126" s="48">
        <f>IF(69.28485="","-",69.28485)</f>
        <v>69.284850000000006</v>
      </c>
      <c r="D126" s="68">
        <f>IF(OR(478.9888="",69.28485="",478.9888=0),"-",69.28485/478.9888*100)</f>
        <v>14.464816296330937</v>
      </c>
    </row>
    <row r="127" spans="1:4" x14ac:dyDescent="0.25">
      <c r="A127" s="47" t="s">
        <v>172</v>
      </c>
      <c r="B127" s="48">
        <f>IF(6.63158="","-",6.63158)</f>
        <v>6.6315799999999996</v>
      </c>
      <c r="C127" s="48">
        <f>IF(76.74872="","-",76.74872)</f>
        <v>76.748720000000006</v>
      </c>
      <c r="D127" s="68" t="s">
        <v>318</v>
      </c>
    </row>
    <row r="128" spans="1:4" x14ac:dyDescent="0.25">
      <c r="A128" s="47" t="s">
        <v>134</v>
      </c>
      <c r="B128" s="48">
        <f>IF(2995.41757="","-",2995.41757)</f>
        <v>2995.4175700000001</v>
      </c>
      <c r="C128" s="48">
        <f>IF(80.65195="","-",80.65195)</f>
        <v>80.651949999999999</v>
      </c>
      <c r="D128" s="68">
        <f>IF(OR(2995.41757="",80.65195="",2995.41757=0),"-",80.65195/2995.41757*100)</f>
        <v>2.692511081184584</v>
      </c>
    </row>
    <row r="129" spans="1:4" x14ac:dyDescent="0.25">
      <c r="A129" s="47" t="s">
        <v>190</v>
      </c>
      <c r="B129" s="48">
        <f>IF(298.96757="","-",298.96757)</f>
        <v>298.96757000000002</v>
      </c>
      <c r="C129" s="48">
        <f>IF(98.40828="","-",98.40828)</f>
        <v>98.408280000000005</v>
      </c>
      <c r="D129" s="68">
        <f>IF(OR(298.96757="",98.40828="",298.96757=0),"-",98.40828/298.96757*100)</f>
        <v>32.916038351584419</v>
      </c>
    </row>
    <row r="130" spans="1:4" x14ac:dyDescent="0.25">
      <c r="A130" s="47" t="s">
        <v>140</v>
      </c>
      <c r="B130" s="48">
        <f>IF(263.49739="","-",263.49739)</f>
        <v>263.49739</v>
      </c>
      <c r="C130" s="48">
        <f>IF(116.26245="","-",116.26245)</f>
        <v>116.26245</v>
      </c>
      <c r="D130" s="68">
        <f>IF(OR(263.49739="",116.26245="",263.49739=0),"-",116.26245/263.49739*100)</f>
        <v>44.122808958373369</v>
      </c>
    </row>
    <row r="131" spans="1:4" x14ac:dyDescent="0.25">
      <c r="A131" s="47" t="s">
        <v>173</v>
      </c>
      <c r="B131" s="48">
        <f>IF(149.53541="","-",149.53541)</f>
        <v>149.53541000000001</v>
      </c>
      <c r="C131" s="48">
        <f>IF(168.9657="","-",168.9657)</f>
        <v>168.9657</v>
      </c>
      <c r="D131" s="68">
        <f>IF(OR(149.53541="",168.9657="",149.53541=0),"-",168.9657/149.53541*100)</f>
        <v>112.99377184307046</v>
      </c>
    </row>
    <row r="132" spans="1:4" x14ac:dyDescent="0.25">
      <c r="A132" s="47" t="s">
        <v>182</v>
      </c>
      <c r="B132" s="48">
        <f>IF(71.9935="","-",71.9935)</f>
        <v>71.993499999999997</v>
      </c>
      <c r="C132" s="48">
        <f>IF(179.7168="","-",179.7168)</f>
        <v>179.71680000000001</v>
      </c>
      <c r="D132" s="68" t="s">
        <v>149</v>
      </c>
    </row>
    <row r="133" spans="1:4" x14ac:dyDescent="0.25">
      <c r="A133" s="47" t="s">
        <v>97</v>
      </c>
      <c r="B133" s="48">
        <f>IF(323.47451="","-",323.47451)</f>
        <v>323.47451000000001</v>
      </c>
      <c r="C133" s="48">
        <f>IF(183.24437="","-",183.24437)</f>
        <v>183.24437</v>
      </c>
      <c r="D133" s="68">
        <f>IF(OR(323.47451="",183.24437="",323.47451=0),"-",183.24437/323.47451*100)</f>
        <v>56.648782001400974</v>
      </c>
    </row>
    <row r="134" spans="1:4" x14ac:dyDescent="0.25">
      <c r="A134" s="47" t="s">
        <v>189</v>
      </c>
      <c r="B134" s="48">
        <f>IF(7.66136="","-",7.66136)</f>
        <v>7.6613600000000002</v>
      </c>
      <c r="C134" s="48">
        <f>IF(254.46151="","-",254.46151)</f>
        <v>254.46151</v>
      </c>
      <c r="D134" s="68" t="s">
        <v>319</v>
      </c>
    </row>
    <row r="135" spans="1:4" x14ac:dyDescent="0.25">
      <c r="A135" s="47" t="s">
        <v>145</v>
      </c>
      <c r="B135" s="48">
        <f>IF(39.84902="","-",39.84902)</f>
        <v>39.849020000000003</v>
      </c>
      <c r="C135" s="48">
        <f>IF(265.18561="","-",265.18561)</f>
        <v>265.18561</v>
      </c>
      <c r="D135" s="68" t="s">
        <v>320</v>
      </c>
    </row>
    <row r="136" spans="1:4" x14ac:dyDescent="0.25">
      <c r="A136" s="47" t="s">
        <v>69</v>
      </c>
      <c r="B136" s="48">
        <f>IF(2505.16298="","-",2505.16298)</f>
        <v>2505.1629800000001</v>
      </c>
      <c r="C136" s="48">
        <f>IF(351.97482="","-",351.97482)</f>
        <v>351.97482000000002</v>
      </c>
      <c r="D136" s="68">
        <f>IF(OR(2505.16298="",351.97482="",2505.16298=0),"-",351.97482/2505.16298*100)</f>
        <v>14.049976900105717</v>
      </c>
    </row>
    <row r="137" spans="1:4" x14ac:dyDescent="0.25">
      <c r="A137" s="47" t="s">
        <v>112</v>
      </c>
      <c r="B137" s="48">
        <f>IF(828.75624="","-",828.75624)</f>
        <v>828.75624000000005</v>
      </c>
      <c r="C137" s="48">
        <f>IF(525.05425="","-",525.05425)</f>
        <v>525.05425000000002</v>
      </c>
      <c r="D137" s="68">
        <f>IF(OR(828.75624="",525.05425="",828.75624=0),"-",525.05425/828.75624*100)</f>
        <v>63.354485270602609</v>
      </c>
    </row>
    <row r="138" spans="1:4" x14ac:dyDescent="0.25">
      <c r="A138" s="47" t="s">
        <v>78</v>
      </c>
      <c r="B138" s="48">
        <f>IF(673.02298="","-",673.02298)</f>
        <v>673.02297999999996</v>
      </c>
      <c r="C138" s="48">
        <f>IF(590.1844="","-",590.1844)</f>
        <v>590.18439999999998</v>
      </c>
      <c r="D138" s="68">
        <f>IF(OR(673.02298="",590.1844="",673.02298=0),"-",590.1844/673.02298*100)</f>
        <v>87.691567381547657</v>
      </c>
    </row>
    <row r="139" spans="1:4" x14ac:dyDescent="0.25">
      <c r="A139" s="47" t="s">
        <v>139</v>
      </c>
      <c r="B139" s="48">
        <f>IF(180.89096="","-",180.89096)</f>
        <v>180.89096000000001</v>
      </c>
      <c r="C139" s="48">
        <f>IF(602.04816="","-",602.04816)</f>
        <v>602.04816000000005</v>
      </c>
      <c r="D139" s="68" t="s">
        <v>321</v>
      </c>
    </row>
    <row r="140" spans="1:4" x14ac:dyDescent="0.25">
      <c r="A140" s="47" t="s">
        <v>38</v>
      </c>
      <c r="B140" s="48">
        <f>IF(537.93676="","-",537.93676)</f>
        <v>537.93676000000005</v>
      </c>
      <c r="C140" s="48">
        <f>IF(843.40357="","-",843.40357)</f>
        <v>843.40356999999995</v>
      </c>
      <c r="D140" s="68" t="s">
        <v>107</v>
      </c>
    </row>
    <row r="141" spans="1:4" x14ac:dyDescent="0.25">
      <c r="A141" s="47" t="s">
        <v>66</v>
      </c>
      <c r="B141" s="48">
        <f>IF(2896.32781="","-",2896.32781)</f>
        <v>2896.3278100000002</v>
      </c>
      <c r="C141" s="48">
        <f>IF(1530.36806="","-",1530.36806)</f>
        <v>1530.36806</v>
      </c>
      <c r="D141" s="68">
        <f>IF(OR(2896.32781="",1530.36806="",2896.32781=0),"-",1530.36806/2896.32781*100)</f>
        <v>52.838219994165648</v>
      </c>
    </row>
    <row r="142" spans="1:4" x14ac:dyDescent="0.25">
      <c r="A142" s="47" t="s">
        <v>68</v>
      </c>
      <c r="B142" s="48">
        <f>IF(-954.08673="","-",-954.08673)</f>
        <v>-954.08672999999999</v>
      </c>
      <c r="C142" s="48">
        <f>IF(1730.72682="","-",1730.72682)</f>
        <v>1730.7268200000001</v>
      </c>
      <c r="D142" s="68" t="s">
        <v>22</v>
      </c>
    </row>
    <row r="143" spans="1:4" x14ac:dyDescent="0.25">
      <c r="A143" s="47" t="s">
        <v>133</v>
      </c>
      <c r="B143" s="48">
        <f>IF(7033.0836="","-",7033.0836)</f>
        <v>7033.0835999999999</v>
      </c>
      <c r="C143" s="48">
        <f>IF(2877.02442="","-",2877.02442)</f>
        <v>2877.0244200000002</v>
      </c>
      <c r="D143" s="68">
        <f>IF(OR(7033.0836="",2877.02442="",7033.0836=0),"-",2877.02442/7033.0836*100)</f>
        <v>40.907012963702009</v>
      </c>
    </row>
    <row r="144" spans="1:4" x14ac:dyDescent="0.25">
      <c r="A144" s="47" t="s">
        <v>58</v>
      </c>
      <c r="B144" s="48">
        <f>IF(6056.02068="","-",6056.02068)</f>
        <v>6056.0206799999996</v>
      </c>
      <c r="C144" s="48">
        <f>IF(3634.05403="","-",3634.05403)</f>
        <v>3634.0540299999998</v>
      </c>
      <c r="D144" s="68">
        <f>IF(OR(6056.02068="",3634.05403="",6056.02068=0),"-",3634.05403/6056.02068*100)</f>
        <v>60.007292280250269</v>
      </c>
    </row>
    <row r="145" spans="1:4" x14ac:dyDescent="0.25">
      <c r="A145" s="47" t="s">
        <v>59</v>
      </c>
      <c r="B145" s="48">
        <f>IF(7650.68126="","-",7650.68126)</f>
        <v>7650.6812600000003</v>
      </c>
      <c r="C145" s="48">
        <f>IF(6182.21133="","-",6182.21133)</f>
        <v>6182.2113300000001</v>
      </c>
      <c r="D145" s="68">
        <f>IF(OR(7650.68126="",6182.21133="",7650.68126=0),"-",6182.21133/7650.68126*100)</f>
        <v>80.806023933089591</v>
      </c>
    </row>
    <row r="146" spans="1:4" x14ac:dyDescent="0.25">
      <c r="A146" s="47" t="s">
        <v>61</v>
      </c>
      <c r="B146" s="48">
        <f>IF(7491.02651="","-",7491.02651)</f>
        <v>7491.0265099999997</v>
      </c>
      <c r="C146" s="48">
        <f>IF(8161.06943="","-",8161.06943)</f>
        <v>8161.0694299999996</v>
      </c>
      <c r="D146" s="68">
        <f>IF(OR(7491.02651="",8161.06943="",7491.02651=0),"-",8161.06943/7491.02651*100)</f>
        <v>108.94460751280934</v>
      </c>
    </row>
    <row r="147" spans="1:4" x14ac:dyDescent="0.25">
      <c r="A147" s="51" t="s">
        <v>132</v>
      </c>
      <c r="B147" s="54">
        <f>IF(16587.07336="","-",16587.07336)</f>
        <v>16587.073359999999</v>
      </c>
      <c r="C147" s="54">
        <f>IF(26387.58598="","-",26387.58598)</f>
        <v>26387.58598</v>
      </c>
      <c r="D147" s="71" t="s">
        <v>107</v>
      </c>
    </row>
    <row r="148" spans="1:4" x14ac:dyDescent="0.25">
      <c r="A148" s="26" t="s">
        <v>21</v>
      </c>
    </row>
  </sheetData>
  <sortState ref="A48:G113">
    <sortCondition ref="C48:C113"/>
  </sortState>
  <mergeCells count="4">
    <mergeCell ref="A1:D1"/>
    <mergeCell ref="A3:A4"/>
    <mergeCell ref="D3:D4"/>
    <mergeCell ref="B3:C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workbookViewId="0">
      <selection activeCell="C37" sqref="C37"/>
    </sheetView>
  </sheetViews>
  <sheetFormatPr defaultRowHeight="15.75" x14ac:dyDescent="0.25"/>
  <cols>
    <col min="1" max="1" width="29.5" customWidth="1"/>
    <col min="2" max="2" width="14.875" customWidth="1"/>
    <col min="3" max="3" width="13.875" customWidth="1"/>
    <col min="4" max="5" width="11.625" customWidth="1"/>
  </cols>
  <sheetData>
    <row r="1" spans="1:6" x14ac:dyDescent="0.25">
      <c r="A1" s="82" t="s">
        <v>165</v>
      </c>
      <c r="B1" s="82"/>
      <c r="C1" s="82"/>
      <c r="D1" s="82"/>
      <c r="E1" s="82"/>
    </row>
    <row r="2" spans="1:6" x14ac:dyDescent="0.25">
      <c r="A2" s="9"/>
      <c r="B2" s="9"/>
      <c r="C2" s="9"/>
      <c r="D2" s="9"/>
      <c r="E2" s="9"/>
    </row>
    <row r="3" spans="1:6" x14ac:dyDescent="0.25">
      <c r="A3" s="83"/>
      <c r="B3" s="86" t="s">
        <v>282</v>
      </c>
      <c r="C3" s="87"/>
      <c r="D3" s="86" t="s">
        <v>111</v>
      </c>
      <c r="E3" s="102"/>
      <c r="F3" s="1"/>
    </row>
    <row r="4" spans="1:6" ht="18" customHeight="1" x14ac:dyDescent="0.25">
      <c r="A4" s="84"/>
      <c r="B4" s="90" t="s">
        <v>125</v>
      </c>
      <c r="C4" s="92" t="s">
        <v>287</v>
      </c>
      <c r="D4" s="94" t="s">
        <v>284</v>
      </c>
      <c r="E4" s="86"/>
      <c r="F4" s="1"/>
    </row>
    <row r="5" spans="1:6" ht="22.5" customHeight="1" x14ac:dyDescent="0.25">
      <c r="A5" s="85"/>
      <c r="B5" s="91"/>
      <c r="C5" s="93"/>
      <c r="D5" s="23">
        <v>2019</v>
      </c>
      <c r="E5" s="22">
        <v>2020</v>
      </c>
      <c r="F5" s="1"/>
    </row>
    <row r="6" spans="1:6" ht="15.75" customHeight="1" x14ac:dyDescent="0.25">
      <c r="A6" s="40" t="s">
        <v>161</v>
      </c>
      <c r="B6" s="72">
        <f>IF(1170231.19764="","-",1170231.19764)</f>
        <v>1170231.1976399999</v>
      </c>
      <c r="C6" s="58">
        <v>85.96970399822446</v>
      </c>
      <c r="D6" s="73">
        <v>100</v>
      </c>
      <c r="E6" s="73">
        <v>100</v>
      </c>
    </row>
    <row r="7" spans="1:6" ht="15.75" customHeight="1" x14ac:dyDescent="0.25">
      <c r="A7" s="41" t="s">
        <v>141</v>
      </c>
      <c r="B7" s="31"/>
      <c r="C7" s="74"/>
      <c r="D7" s="31"/>
      <c r="E7" s="31"/>
    </row>
    <row r="8" spans="1:6" x14ac:dyDescent="0.25">
      <c r="A8" s="42" t="s">
        <v>115</v>
      </c>
      <c r="B8" s="48">
        <f>IF(111465.47907="","-",111465.47907)</f>
        <v>111465.47907</v>
      </c>
      <c r="C8" s="75">
        <v>109.84660836306929</v>
      </c>
      <c r="D8" s="48">
        <f>IF(101473.75575="","-",101473.75575/1361213.47779*100)</f>
        <v>7.4546540572569011</v>
      </c>
      <c r="E8" s="48">
        <f>IF(111465.47907="","-",111465.47907/1170231.19764*100)</f>
        <v>9.5250818209933161</v>
      </c>
    </row>
    <row r="9" spans="1:6" x14ac:dyDescent="0.25">
      <c r="A9" s="42" t="s">
        <v>116</v>
      </c>
      <c r="B9" s="48">
        <f>IF(49969.27451="","-",49969.27451)</f>
        <v>49969.274510000003</v>
      </c>
      <c r="C9" s="75">
        <v>85.640755253165551</v>
      </c>
      <c r="D9" s="48">
        <f>IF(58347.54068="","-",58347.54068/1361213.47779*100)</f>
        <v>4.2864357157798816</v>
      </c>
      <c r="E9" s="48">
        <f>IF(49969.27451="","-",49969.27451/1170231.19764*100)</f>
        <v>4.2700343838698558</v>
      </c>
    </row>
    <row r="10" spans="1:6" x14ac:dyDescent="0.25">
      <c r="A10" s="42" t="s">
        <v>117</v>
      </c>
      <c r="B10" s="48">
        <f>IF(995051.22354="","-",995051.22354)</f>
        <v>995051.22354000004</v>
      </c>
      <c r="C10" s="75">
        <v>84.424873496377543</v>
      </c>
      <c r="D10" s="48">
        <f>IF(1178623.29232="","-",1178623.29232/1361213.47779*100)</f>
        <v>86.58621968932863</v>
      </c>
      <c r="E10" s="48">
        <f>IF(995051.22354="","-",995051.22354/1170231.19764*100)</f>
        <v>85.030310723788205</v>
      </c>
    </row>
    <row r="11" spans="1:6" x14ac:dyDescent="0.25">
      <c r="A11" s="42" t="s">
        <v>118</v>
      </c>
      <c r="B11" s="48">
        <f>IF(13143.41828="","-",13143.41828)</f>
        <v>13143.41828</v>
      </c>
      <c r="C11" s="75">
        <v>60.482933839272945</v>
      </c>
      <c r="D11" s="48">
        <f>IF(21730.78825="","-",21730.78825/1361213.47779*100)</f>
        <v>1.5964276437580571</v>
      </c>
      <c r="E11" s="48">
        <f>IF(13143.41828="","-",13143.41828/1170231.19764*100)</f>
        <v>1.1231471444707912</v>
      </c>
    </row>
    <row r="12" spans="1:6" x14ac:dyDescent="0.25">
      <c r="A12" s="42" t="s">
        <v>119</v>
      </c>
      <c r="B12" s="48">
        <f>IF(576.24569="","-",576.24569)</f>
        <v>576.24568999999997</v>
      </c>
      <c r="C12" s="75">
        <v>81.155215280870266</v>
      </c>
      <c r="D12" s="48">
        <f>IF(710.0538="","-",710.0538/1361213.47779*100)</f>
        <v>5.2163294853119505E-2</v>
      </c>
      <c r="E12" s="48">
        <f>IF(576.24569="","-",576.24569/1170231.19764*100)</f>
        <v>4.9242037912005092E-2</v>
      </c>
    </row>
    <row r="13" spans="1:6" x14ac:dyDescent="0.25">
      <c r="A13" s="42" t="s">
        <v>120</v>
      </c>
      <c r="B13" s="48">
        <f>IF(3.89246="","-",3.89246)</f>
        <v>3.8924599999999998</v>
      </c>
      <c r="C13" s="75">
        <v>108.10376957621774</v>
      </c>
      <c r="D13" s="48">
        <f>IF(3.60067="","-",3.60067/1361213.47779*100)</f>
        <v>2.6451912640814231E-4</v>
      </c>
      <c r="E13" s="48">
        <f>IF(3.89246="","-",3.89246/1170231.19764*100)</f>
        <v>3.3262316094887119E-4</v>
      </c>
    </row>
    <row r="14" spans="1:6" x14ac:dyDescent="0.25">
      <c r="A14" s="42" t="s">
        <v>121</v>
      </c>
      <c r="B14" s="48">
        <f>IF(21.66409="","-",21.66409)</f>
        <v>21.664090000000002</v>
      </c>
      <c r="C14" s="75">
        <v>6.6772494137088687</v>
      </c>
      <c r="D14" s="48">
        <f>IF(324.44632="","-",324.44632/1361213.47779*100)</f>
        <v>2.3835079897001558E-2</v>
      </c>
      <c r="E14" s="48">
        <f>IF(21.66409="","-",21.66409/1170231.19764*100)</f>
        <v>1.8512658048845285E-3</v>
      </c>
    </row>
    <row r="15" spans="1:6" x14ac:dyDescent="0.25">
      <c r="A15" s="37" t="s">
        <v>176</v>
      </c>
      <c r="B15" s="46">
        <f>IF(742631.45798="","-",742631.45798)</f>
        <v>742631.45797999995</v>
      </c>
      <c r="C15" s="59">
        <v>86.962799497817258</v>
      </c>
      <c r="D15" s="46">
        <f>IF(853964.52537="","-",853964.52537/1361213.47779*100)</f>
        <v>62.735532618767145</v>
      </c>
      <c r="E15" s="46">
        <f>IF(742631.45798="","-",742631.45798/1170231.19764*100)</f>
        <v>63.460234138148216</v>
      </c>
    </row>
    <row r="16" spans="1:6" x14ac:dyDescent="0.25">
      <c r="A16" s="41" t="s">
        <v>141</v>
      </c>
      <c r="B16" s="32"/>
      <c r="C16" s="59"/>
      <c r="D16" s="32"/>
      <c r="E16" s="32"/>
    </row>
    <row r="17" spans="1:11" x14ac:dyDescent="0.25">
      <c r="A17" s="42" t="s">
        <v>115</v>
      </c>
      <c r="B17" s="48">
        <f>IF(56566.66499="","-",56566.66499)</f>
        <v>56566.664989999997</v>
      </c>
      <c r="C17" s="75">
        <v>150.12591396946647</v>
      </c>
      <c r="D17" s="48">
        <f>IF(37679.48084="","-",37679.48084/1361213.47779*100)</f>
        <v>2.768080205991978</v>
      </c>
      <c r="E17" s="48">
        <f>IF(56566.66499="","-",56566.66499/1170231.19764*100)</f>
        <v>4.8338025087758512</v>
      </c>
      <c r="K17" s="25"/>
    </row>
    <row r="18" spans="1:11" x14ac:dyDescent="0.25">
      <c r="A18" s="42" t="s">
        <v>116</v>
      </c>
      <c r="B18" s="48">
        <f>IF(10643.11463="","-",10643.11463)</f>
        <v>10643.11463</v>
      </c>
      <c r="C18" s="75">
        <v>85.309593013796857</v>
      </c>
      <c r="D18" s="48">
        <f>IF(12475.87083="","-",12475.87083/1361213.47779*100)</f>
        <v>0.91652566137202951</v>
      </c>
      <c r="E18" s="48">
        <f>IF(10643.11463="","-",10643.11463/1170231.19764*100)</f>
        <v>0.90948819784192403</v>
      </c>
    </row>
    <row r="19" spans="1:11" x14ac:dyDescent="0.25">
      <c r="A19" s="42" t="s">
        <v>117</v>
      </c>
      <c r="B19" s="48">
        <f>IF(672462.47302="","-",672462.47302)</f>
        <v>672462.47302000003</v>
      </c>
      <c r="C19" s="75">
        <v>83.948555306467497</v>
      </c>
      <c r="D19" s="48">
        <f>IF(801041.15022="","-",801041.15022/1361213.47779*100)</f>
        <v>58.847577054594801</v>
      </c>
      <c r="E19" s="48">
        <f>IF(672462.47302="","-",672462.47302/1170231.19764*100)</f>
        <v>57.464069867232404</v>
      </c>
    </row>
    <row r="20" spans="1:11" x14ac:dyDescent="0.25">
      <c r="A20" s="42" t="s">
        <v>118</v>
      </c>
      <c r="B20" s="48">
        <f>IF(2695.86542="","-",2695.86542)</f>
        <v>2695.8654200000001</v>
      </c>
      <c r="C20" s="75">
        <v>115.80698554944485</v>
      </c>
      <c r="D20" s="48">
        <f>IF(2327.89534="","-",2327.89534/1361213.47779*100)</f>
        <v>0.17101618357316428</v>
      </c>
      <c r="E20" s="48">
        <f>IF(2695.86542="","-",2695.86542/1170231.19764*100)</f>
        <v>0.23037032557641091</v>
      </c>
    </row>
    <row r="21" spans="1:11" x14ac:dyDescent="0.25">
      <c r="A21" s="42" t="s">
        <v>119</v>
      </c>
      <c r="B21" s="48">
        <f>IF(257.11016="","-",257.11016)</f>
        <v>257.11016000000001</v>
      </c>
      <c r="C21" s="76">
        <v>105.57909900608044</v>
      </c>
      <c r="D21" s="48">
        <f>IF(243.52373="","-",243.52373/1361213.47779*100)</f>
        <v>1.7890193858157599E-2</v>
      </c>
      <c r="E21" s="48">
        <f>IF(257.11016="","-",257.11016/1170231.19764*100)</f>
        <v>2.1970885797482832E-2</v>
      </c>
    </row>
    <row r="22" spans="1:11" x14ac:dyDescent="0.25">
      <c r="A22" s="36" t="s">
        <v>121</v>
      </c>
      <c r="B22" s="48">
        <f>IF(6.22976="","-",6.22976)</f>
        <v>6.2297599999999997</v>
      </c>
      <c r="C22" s="76">
        <v>3.168677650720042</v>
      </c>
      <c r="D22" s="48">
        <f>IF(196.60441="","-",196.60441/1361213.47779*100)</f>
        <v>1.4443319377001568E-2</v>
      </c>
      <c r="E22" s="48">
        <f>IF(6.22976="","-",6.22976/1170231.19764*100)</f>
        <v>5.323529241540927E-4</v>
      </c>
    </row>
    <row r="23" spans="1:11" x14ac:dyDescent="0.25">
      <c r="A23" s="37" t="s">
        <v>177</v>
      </c>
      <c r="B23" s="46">
        <f>IF(193825.6464="","-",193825.6464)</f>
        <v>193825.6464</v>
      </c>
      <c r="C23" s="59">
        <v>95.761639370867087</v>
      </c>
      <c r="D23" s="46">
        <f>IF(202404.26926="","-",202404.26926/1361213.47779*100)</f>
        <v>14.86939944119667</v>
      </c>
      <c r="E23" s="46">
        <f>IF(193825.6464="","-",193825.6464/1170231.19764*100)</f>
        <v>16.563021631185983</v>
      </c>
    </row>
    <row r="24" spans="1:11" x14ac:dyDescent="0.25">
      <c r="A24" s="41" t="s">
        <v>141</v>
      </c>
      <c r="B24" s="32"/>
      <c r="C24" s="59"/>
      <c r="D24" s="32"/>
      <c r="E24" s="32"/>
    </row>
    <row r="25" spans="1:11" x14ac:dyDescent="0.25">
      <c r="A25" s="42" t="s">
        <v>115</v>
      </c>
      <c r="B25" s="48">
        <f>IF(1252.01706="","-",1252.01706)</f>
        <v>1252.0170599999999</v>
      </c>
      <c r="C25" s="75">
        <v>34.491768023606859</v>
      </c>
      <c r="D25" s="48">
        <f>IF(3629.90108="","-",3629.90108/1361213.47779*100)</f>
        <v>0.2666665544550243</v>
      </c>
      <c r="E25" s="48">
        <f>IF(1252.01706="","-",1252.01706/1170231.19764*100)</f>
        <v>0.106988863613014</v>
      </c>
    </row>
    <row r="26" spans="1:11" x14ac:dyDescent="0.25">
      <c r="A26" s="42" t="s">
        <v>116</v>
      </c>
      <c r="B26" s="48">
        <f>IF(3348.75421="","-",3348.75421)</f>
        <v>3348.7542100000001</v>
      </c>
      <c r="C26" s="75">
        <v>36.467376870701663</v>
      </c>
      <c r="D26" s="48">
        <f>IF(9182.87658="","-",9182.87658/1361213.47779*100)</f>
        <v>0.67460958400947313</v>
      </c>
      <c r="E26" s="48">
        <f>IF(3348.75421="","-",3348.75421/1170231.19764*100)</f>
        <v>0.28616176160346929</v>
      </c>
      <c r="F26" s="1"/>
      <c r="G26" s="1"/>
    </row>
    <row r="27" spans="1:11" x14ac:dyDescent="0.25">
      <c r="A27" s="42" t="s">
        <v>117</v>
      </c>
      <c r="B27" s="48">
        <f>IF(185136.31809="","-",185136.31809)</f>
        <v>185136.31808999999</v>
      </c>
      <c r="C27" s="77">
        <v>100.18818848216635</v>
      </c>
      <c r="D27" s="48">
        <f>IF(184788.56729="","-",184788.56729/1361213.47779*100)</f>
        <v>13.575281930797054</v>
      </c>
      <c r="E27" s="48">
        <f>IF(185136.31809="","-",185136.31809/1170231.19764*100)</f>
        <v>15.820490725538985</v>
      </c>
      <c r="F27" s="12"/>
      <c r="G27" s="12"/>
    </row>
    <row r="28" spans="1:11" x14ac:dyDescent="0.25">
      <c r="A28" s="42" t="s">
        <v>118</v>
      </c>
      <c r="B28" s="48">
        <f>IF(4023.57057="","-",4023.57057)</f>
        <v>4023.5705699999999</v>
      </c>
      <c r="C28" s="77">
        <v>91.265907821248817</v>
      </c>
      <c r="D28" s="48">
        <f>IF(4408.62384="","-",4408.62384/1361213.47779*100)</f>
        <v>0.32387453635543101</v>
      </c>
      <c r="E28" s="48">
        <f>IF(4023.57057="","-",4023.57057/1170231.19764*100)</f>
        <v>0.34382697864441802</v>
      </c>
    </row>
    <row r="29" spans="1:11" x14ac:dyDescent="0.25">
      <c r="A29" s="42" t="s">
        <v>119</v>
      </c>
      <c r="B29" s="48">
        <f>IF(45.65968="","-",45.65968)</f>
        <v>45.659680000000002</v>
      </c>
      <c r="C29" s="77">
        <v>12.158330154819287</v>
      </c>
      <c r="D29" s="48">
        <f>IF(375.54236="","-",375.54236/1361213.47779*100)</f>
        <v>2.7588792362658082E-2</v>
      </c>
      <c r="E29" s="48">
        <f>IF(45.65968="","-",45.65968/1170231.19764*100)</f>
        <v>3.901765744417144E-3</v>
      </c>
    </row>
    <row r="30" spans="1:11" x14ac:dyDescent="0.25">
      <c r="A30" s="42" t="s">
        <v>120</v>
      </c>
      <c r="B30" s="48">
        <f>IF(3.89246="","-",3.89246)</f>
        <v>3.8924599999999998</v>
      </c>
      <c r="C30" s="77">
        <v>108.10376957621774</v>
      </c>
      <c r="D30" s="48">
        <f>IF(3.60067="","-",3.60067/1361213.47779*100)</f>
        <v>2.6451912640814231E-4</v>
      </c>
      <c r="E30" s="48">
        <f>IF(3.89246="","-",3.89246/1170231.19764*100)</f>
        <v>3.3262316094887119E-4</v>
      </c>
    </row>
    <row r="31" spans="1:11" x14ac:dyDescent="0.25">
      <c r="A31" s="42" t="s">
        <v>121</v>
      </c>
      <c r="B31" s="48">
        <f>IF(15.43433="","-",15.43433)</f>
        <v>15.434329999999999</v>
      </c>
      <c r="C31" s="77">
        <v>101.82675966390103</v>
      </c>
      <c r="D31" s="48">
        <f>IF(15.15744="","-",15.15744/1361213.47779*100)</f>
        <v>1.1135240906230874E-3</v>
      </c>
      <c r="E31" s="48">
        <f>IF(15.43433="","-",15.43433/1170231.19764*100)</f>
        <v>1.3189128807304354E-3</v>
      </c>
    </row>
    <row r="32" spans="1:11" x14ac:dyDescent="0.25">
      <c r="A32" s="37" t="s">
        <v>178</v>
      </c>
      <c r="B32" s="46">
        <f>IF(233774.09326="","-",233774.09326)</f>
        <v>233774.09325999999</v>
      </c>
      <c r="C32" s="59">
        <v>76.686295078763735</v>
      </c>
      <c r="D32" s="46">
        <f>IF(304844.68316="","-",304844.68316/1361213.47779*100)</f>
        <v>22.395067940036199</v>
      </c>
      <c r="E32" s="46">
        <f>IF(233774.09326="","-",233774.09326/1170231.19764*100)</f>
        <v>19.976744230665801</v>
      </c>
    </row>
    <row r="33" spans="1:5" x14ac:dyDescent="0.25">
      <c r="A33" s="41" t="s">
        <v>141</v>
      </c>
      <c r="B33" s="32"/>
      <c r="C33" s="59"/>
      <c r="D33" s="32"/>
      <c r="E33" s="32"/>
    </row>
    <row r="34" spans="1:5" x14ac:dyDescent="0.25">
      <c r="A34" s="42" t="s">
        <v>115</v>
      </c>
      <c r="B34" s="48">
        <f>IF(53646.79702="","-",53646.79702)</f>
        <v>53646.797019999998</v>
      </c>
      <c r="C34" s="75">
        <v>89.167049542614691</v>
      </c>
      <c r="D34" s="48">
        <f>IF(60164.37383="","-",60164.37383/1361213.47779*100)</f>
        <v>4.4199072968098987</v>
      </c>
      <c r="E34" s="48">
        <f>IF(53646.79702="","-",53646.79702/1170231.19764*100)</f>
        <v>4.5842904486044516</v>
      </c>
    </row>
    <row r="35" spans="1:5" x14ac:dyDescent="0.25">
      <c r="A35" s="42" t="s">
        <v>116</v>
      </c>
      <c r="B35" s="48">
        <f>IF(35977.40567="","-",35977.40567)</f>
        <v>35977.40567</v>
      </c>
      <c r="C35" s="75">
        <v>98.061022081689202</v>
      </c>
      <c r="D35" s="48">
        <f>IF(36688.79327="","-",36688.79327/1361213.47779*100)</f>
        <v>2.6953004703983789</v>
      </c>
      <c r="E35" s="48">
        <f>IF(35977.40567="","-",35977.40567/1170231.19764*100)</f>
        <v>3.074384424424462</v>
      </c>
    </row>
    <row r="36" spans="1:5" x14ac:dyDescent="0.25">
      <c r="A36" s="42" t="s">
        <v>117</v>
      </c>
      <c r="B36" s="48">
        <f>IF(137452.43243="","-",137452.43243)</f>
        <v>137452.43242999999</v>
      </c>
      <c r="C36" s="75">
        <v>71.295131368076312</v>
      </c>
      <c r="D36" s="48">
        <f>IF(192793.57481="","-",192793.57481/1361213.47779*100)</f>
        <v>14.163360703936775</v>
      </c>
      <c r="E36" s="48">
        <f>IF(137452.43243="","-",137452.43243/1170231.19764*100)</f>
        <v>11.74575013101682</v>
      </c>
    </row>
    <row r="37" spans="1:5" x14ac:dyDescent="0.25">
      <c r="A37" s="42" t="s">
        <v>118</v>
      </c>
      <c r="B37" s="48">
        <f>IF(6423.98229="","-",6423.98229)</f>
        <v>6423.9822899999999</v>
      </c>
      <c r="C37" s="76">
        <v>42.842917250650622</v>
      </c>
      <c r="D37" s="48">
        <f>IF(14994.26907="","-",14994.26907/1361213.47779*100)</f>
        <v>1.1015369238294619</v>
      </c>
      <c r="E37" s="48">
        <f>IF(6423.98229="","-",6423.98229/1170231.19764*100)</f>
        <v>0.5489498402499623</v>
      </c>
    </row>
    <row r="38" spans="1:5" x14ac:dyDescent="0.25">
      <c r="A38" s="36" t="s">
        <v>119</v>
      </c>
      <c r="B38" s="48">
        <f>IF(273.47585="","-",273.47585)</f>
        <v>273.47584999999998</v>
      </c>
      <c r="C38" s="76" t="s">
        <v>136</v>
      </c>
      <c r="D38" s="48">
        <f>IF(90.98771="","-",90.98771/1361213.47779*100)</f>
        <v>6.6843086323038203E-3</v>
      </c>
      <c r="E38" s="48">
        <f>IF(273.47585="","-",273.47585/1170231.19764*100)</f>
        <v>2.3369386370105116E-2</v>
      </c>
    </row>
    <row r="39" spans="1:5" x14ac:dyDescent="0.25">
      <c r="A39" s="43" t="s">
        <v>121</v>
      </c>
      <c r="B39" s="54" t="s">
        <v>155</v>
      </c>
      <c r="C39" s="78" t="s">
        <v>22</v>
      </c>
      <c r="D39" s="54">
        <f>IF(112.68447="","-",112.68447/1361213.47779*100)</f>
        <v>8.2782364293768999E-3</v>
      </c>
      <c r="E39" s="54" t="s">
        <v>155</v>
      </c>
    </row>
    <row r="40" spans="1:5" x14ac:dyDescent="0.25">
      <c r="A40" s="26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0"/>
  <sheetViews>
    <sheetView workbookViewId="0">
      <selection activeCell="G35" sqref="G35"/>
    </sheetView>
  </sheetViews>
  <sheetFormatPr defaultRowHeight="15.75" x14ac:dyDescent="0.25"/>
  <cols>
    <col min="1" max="1" width="30.125" customWidth="1"/>
    <col min="2" max="2" width="14.5" customWidth="1"/>
    <col min="3" max="3" width="13.75" customWidth="1"/>
    <col min="4" max="5" width="11.625" customWidth="1"/>
  </cols>
  <sheetData>
    <row r="1" spans="1:6" x14ac:dyDescent="0.25">
      <c r="A1" s="82" t="s">
        <v>166</v>
      </c>
      <c r="B1" s="82"/>
      <c r="C1" s="82"/>
      <c r="D1" s="82"/>
      <c r="E1" s="82"/>
    </row>
    <row r="2" spans="1:6" x14ac:dyDescent="0.25">
      <c r="A2" s="9"/>
      <c r="B2" s="9"/>
      <c r="C2" s="9"/>
      <c r="D2" s="9"/>
      <c r="E2" s="9"/>
    </row>
    <row r="3" spans="1:6" ht="15.75" customHeight="1" x14ac:dyDescent="0.25">
      <c r="A3" s="83"/>
      <c r="B3" s="86" t="s">
        <v>282</v>
      </c>
      <c r="C3" s="87"/>
      <c r="D3" s="86" t="s">
        <v>111</v>
      </c>
      <c r="E3" s="102"/>
      <c r="F3" s="1"/>
    </row>
    <row r="4" spans="1:6" ht="20.25" customHeight="1" x14ac:dyDescent="0.25">
      <c r="A4" s="84"/>
      <c r="B4" s="90" t="s">
        <v>125</v>
      </c>
      <c r="C4" s="92" t="s">
        <v>287</v>
      </c>
      <c r="D4" s="94" t="s">
        <v>284</v>
      </c>
      <c r="E4" s="86"/>
      <c r="F4" s="1"/>
    </row>
    <row r="5" spans="1:6" ht="20.25" customHeight="1" x14ac:dyDescent="0.25">
      <c r="A5" s="85"/>
      <c r="B5" s="91"/>
      <c r="C5" s="93"/>
      <c r="D5" s="30">
        <v>2019</v>
      </c>
      <c r="E5" s="29">
        <v>2020</v>
      </c>
      <c r="F5" s="1"/>
    </row>
    <row r="6" spans="1:6" ht="15.75" customHeight="1" x14ac:dyDescent="0.25">
      <c r="A6" s="40" t="s">
        <v>142</v>
      </c>
      <c r="B6" s="72">
        <f>IF(2393202.72267="","-",2393202.72267)</f>
        <v>2393202.72267</v>
      </c>
      <c r="C6" s="79">
        <v>85.219447107240271</v>
      </c>
      <c r="D6" s="73">
        <v>100</v>
      </c>
      <c r="E6" s="73">
        <v>100</v>
      </c>
    </row>
    <row r="7" spans="1:6" ht="15.75" customHeight="1" x14ac:dyDescent="0.25">
      <c r="A7" s="41" t="s">
        <v>141</v>
      </c>
      <c r="B7" s="31"/>
      <c r="C7" s="74"/>
      <c r="D7" s="31"/>
      <c r="E7" s="31"/>
    </row>
    <row r="8" spans="1:6" x14ac:dyDescent="0.25">
      <c r="A8" s="42" t="s">
        <v>115</v>
      </c>
      <c r="B8" s="48">
        <f>IF(40693.25365="","-",40693.25365)</f>
        <v>40693.253649999999</v>
      </c>
      <c r="C8" s="75">
        <v>68.688714202666262</v>
      </c>
      <c r="D8" s="48">
        <f>IF(59242.9981="","-",59242.9981/2808282.38613*100)</f>
        <v>2.1095812298862433</v>
      </c>
      <c r="E8" s="48">
        <f>IF(40693.25365="","-",40693.25365/2393202.72267*100)</f>
        <v>1.7003680158194108</v>
      </c>
    </row>
    <row r="9" spans="1:6" x14ac:dyDescent="0.25">
      <c r="A9" s="42" t="s">
        <v>116</v>
      </c>
      <c r="B9" s="48">
        <f>IF(94914.32025="","-",94914.32025)</f>
        <v>94914.320250000004</v>
      </c>
      <c r="C9" s="75">
        <v>73.116272609985046</v>
      </c>
      <c r="D9" s="48">
        <f>IF(129812.85405="","-",129812.85405/2808282.38613*100)</f>
        <v>4.6225000267473364</v>
      </c>
      <c r="E9" s="48">
        <f>IF(94914.32025="","-",94914.32025/2393202.72267*100)</f>
        <v>3.9659958327353029</v>
      </c>
    </row>
    <row r="10" spans="1:6" x14ac:dyDescent="0.25">
      <c r="A10" s="42" t="s">
        <v>117</v>
      </c>
      <c r="B10" s="48">
        <f>IF(2074471.71251="","-",2074471.71251)</f>
        <v>2074471.71251</v>
      </c>
      <c r="C10" s="75">
        <v>88.121477270198127</v>
      </c>
      <c r="D10" s="48">
        <f>IF(2354104.55745="","-",2354104.55745/2808282.38613*100)</f>
        <v>83.827202316862198</v>
      </c>
      <c r="E10" s="48">
        <f>IF(2074471.71251="","-",2074471.71251/2393202.72267*100)</f>
        <v>86.68182151303904</v>
      </c>
    </row>
    <row r="11" spans="1:6" x14ac:dyDescent="0.25">
      <c r="A11" s="42" t="s">
        <v>118</v>
      </c>
      <c r="B11" s="48">
        <f>IF(56880.36675="","-",56880.36675)</f>
        <v>56880.366750000001</v>
      </c>
      <c r="C11" s="75">
        <v>77.562437493232835</v>
      </c>
      <c r="D11" s="48">
        <f>IF(73334.93968="","-",73334.93968/2808282.38613*100)</f>
        <v>2.6113805378760508</v>
      </c>
      <c r="E11" s="48">
        <f>IF(56880.36675="","-",56880.36675/2393202.72267*100)</f>
        <v>2.3767467006113407</v>
      </c>
    </row>
    <row r="12" spans="1:6" x14ac:dyDescent="0.25">
      <c r="A12" s="42" t="s">
        <v>119</v>
      </c>
      <c r="B12" s="48">
        <f>IF(4327.34634="","-",4327.34634)</f>
        <v>4327.3463400000001</v>
      </c>
      <c r="C12" s="75">
        <v>82.312390404721441</v>
      </c>
      <c r="D12" s="48">
        <f>IF(5257.22351="","-",5257.22351/2808282.38613*100)</f>
        <v>0.18720423330521271</v>
      </c>
      <c r="E12" s="48">
        <f>IF(4327.34634="","-",4327.34634/2393202.72267*100)</f>
        <v>0.1808182106350002</v>
      </c>
    </row>
    <row r="13" spans="1:6" x14ac:dyDescent="0.25">
      <c r="A13" s="42" t="s">
        <v>120</v>
      </c>
      <c r="B13" s="48">
        <f>IF(111778.23227="","-",111778.23227)</f>
        <v>111778.23226999999</v>
      </c>
      <c r="C13" s="75">
        <v>66.628002821009161</v>
      </c>
      <c r="D13" s="48">
        <f>IF(167764.6448="","-",167764.6448/2808282.38613*100)</f>
        <v>5.9739236206651869</v>
      </c>
      <c r="E13" s="48">
        <f>IF(111778.23227="","-",111778.23227/2393202.72267*100)</f>
        <v>4.6706545672526021</v>
      </c>
    </row>
    <row r="14" spans="1:6" x14ac:dyDescent="0.25">
      <c r="A14" s="42" t="s">
        <v>121</v>
      </c>
      <c r="B14" s="48">
        <f>IF(10137.4909="","-",10137.4909)</f>
        <v>10137.490900000001</v>
      </c>
      <c r="C14" s="75">
        <v>54.02291420080153</v>
      </c>
      <c r="D14" s="48">
        <f>IF(18765.16854="","-",18765.16854/2808282.38613*100)</f>
        <v>0.66820803465778422</v>
      </c>
      <c r="E14" s="48">
        <f>IF(10137.4909="","-",10137.4909/2393202.72267*100)</f>
        <v>0.42359515990730656</v>
      </c>
    </row>
    <row r="15" spans="1:6" x14ac:dyDescent="0.25">
      <c r="A15" s="37" t="s">
        <v>176</v>
      </c>
      <c r="B15" s="46">
        <f>IF(1118231.45947="","-",1118231.45947)</f>
        <v>1118231.4594699999</v>
      </c>
      <c r="C15" s="80">
        <v>81.309427904091478</v>
      </c>
      <c r="D15" s="46">
        <f>IF(1375278.96616="","-",1375278.96616/2808282.38613*100)</f>
        <v>48.972246272399481</v>
      </c>
      <c r="E15" s="46">
        <f>IF(1118231.45947="","-",1118231.45947/2393202.72267*100)</f>
        <v>46.725312857008369</v>
      </c>
    </row>
    <row r="16" spans="1:6" x14ac:dyDescent="0.25">
      <c r="A16" s="41" t="s">
        <v>141</v>
      </c>
      <c r="B16" s="31"/>
      <c r="C16" s="81"/>
      <c r="D16" s="31"/>
      <c r="E16" s="31"/>
    </row>
    <row r="17" spans="1:7" x14ac:dyDescent="0.25">
      <c r="A17" s="42" t="s">
        <v>115</v>
      </c>
      <c r="B17" s="48">
        <f>IF(12404.95873="","-",12404.95873)</f>
        <v>12404.95873</v>
      </c>
      <c r="C17" s="75">
        <v>28.723616390106532</v>
      </c>
      <c r="D17" s="48">
        <f>IF(43187.31514="","-",43187.31514/2808282.38613*100)</f>
        <v>1.5378551442440584</v>
      </c>
      <c r="E17" s="48">
        <f>IF(12404.95873="","-",12404.95873/2393202.72267*100)</f>
        <v>0.51834132614391681</v>
      </c>
    </row>
    <row r="18" spans="1:7" x14ac:dyDescent="0.25">
      <c r="A18" s="42" t="s">
        <v>116</v>
      </c>
      <c r="B18" s="48">
        <f>IF(12484.11288="","-",12484.11288)</f>
        <v>12484.112880000001</v>
      </c>
      <c r="C18" s="75">
        <v>67.158340315643144</v>
      </c>
      <c r="D18" s="48">
        <f>IF(18589.07296="","-",18589.07296/2808282.38613*100)</f>
        <v>0.66193745514378211</v>
      </c>
      <c r="E18" s="48">
        <f>IF(12484.11288="","-",12484.11288/2393202.72267*100)</f>
        <v>0.52164878310317053</v>
      </c>
    </row>
    <row r="19" spans="1:7" x14ac:dyDescent="0.25">
      <c r="A19" s="42" t="s">
        <v>117</v>
      </c>
      <c r="B19" s="48">
        <f>IF(1068694.29946="","-",1068694.29946)</f>
        <v>1068694.2994599999</v>
      </c>
      <c r="C19" s="75">
        <v>83.822211692960551</v>
      </c>
      <c r="D19" s="48">
        <f>IF(1274953.5927="","-",1274953.5927/2808282.38613*100)</f>
        <v>45.399764603337161</v>
      </c>
      <c r="E19" s="48">
        <f>IF(1068694.29946="","-",1068694.29946/2393202.72267*100)</f>
        <v>44.65540212438421</v>
      </c>
    </row>
    <row r="20" spans="1:7" x14ac:dyDescent="0.25">
      <c r="A20" s="42" t="s">
        <v>118</v>
      </c>
      <c r="B20" s="48">
        <f>IF(14011.98529="","-",14011.98529)</f>
        <v>14011.985290000001</v>
      </c>
      <c r="C20" s="75">
        <v>65.4025350179882</v>
      </c>
      <c r="D20" s="48">
        <f>IF(21424.2235199999="","-",21424.2235199999/2808282.38613*100)</f>
        <v>0.76289420272737984</v>
      </c>
      <c r="E20" s="48">
        <f>IF(14011.98529="","-",14011.98529/2393202.72267*100)</f>
        <v>0.58549094722604156</v>
      </c>
    </row>
    <row r="21" spans="1:7" x14ac:dyDescent="0.25">
      <c r="A21" s="42" t="s">
        <v>119</v>
      </c>
      <c r="B21" s="48">
        <f>IF(1699.84446="","-",1699.84446)</f>
        <v>1699.84446</v>
      </c>
      <c r="C21" s="75">
        <v>77.486940250133216</v>
      </c>
      <c r="D21" s="48">
        <f>IF(2193.71736="","-",2193.71736/2808282.38613*100)</f>
        <v>7.8115981883968885E-2</v>
      </c>
      <c r="E21" s="48">
        <f>IF(1699.84446="","-",1699.84446/2393202.72267*100)</f>
        <v>7.1028017973485832E-2</v>
      </c>
    </row>
    <row r="22" spans="1:7" x14ac:dyDescent="0.25">
      <c r="A22" s="42" t="s">
        <v>121</v>
      </c>
      <c r="B22" s="48">
        <f>IF(8936.25865="","-",8936.25865)</f>
        <v>8936.2586499999998</v>
      </c>
      <c r="C22" s="75">
        <v>59.850191069821257</v>
      </c>
      <c r="D22" s="48">
        <f>IF(14931.04448="","-",14931.04448/2808282.38613*100)</f>
        <v>0.53167888506312122</v>
      </c>
      <c r="E22" s="48">
        <f>IF(8936.25865="","-",8936.25865/2393202.72267*100)</f>
        <v>0.37340165817754772</v>
      </c>
    </row>
    <row r="23" spans="1:7" x14ac:dyDescent="0.25">
      <c r="A23" s="37" t="s">
        <v>177</v>
      </c>
      <c r="B23" s="46">
        <f>IF(585415.39693="","-",585415.39693)</f>
        <v>585415.39693000005</v>
      </c>
      <c r="C23" s="80">
        <v>84.049115507420808</v>
      </c>
      <c r="D23" s="46">
        <f>IF(696515.83291="","-",696515.83291/2808282.38613*100)</f>
        <v>24.802200674336213</v>
      </c>
      <c r="E23" s="46">
        <f>IF(585415.39693="","-",585415.39693/2393202.72267*100)</f>
        <v>24.461588288553994</v>
      </c>
    </row>
    <row r="24" spans="1:7" x14ac:dyDescent="0.25">
      <c r="A24" s="42" t="s">
        <v>141</v>
      </c>
      <c r="B24" s="31"/>
      <c r="C24" s="81"/>
      <c r="D24" s="31"/>
      <c r="E24" s="31"/>
    </row>
    <row r="25" spans="1:7" x14ac:dyDescent="0.25">
      <c r="A25" s="42" t="s">
        <v>115</v>
      </c>
      <c r="B25" s="48">
        <f>IF(21203.57252="","-",21203.57252)</f>
        <v>21203.572520000002</v>
      </c>
      <c r="C25" s="75" t="s">
        <v>106</v>
      </c>
      <c r="D25" s="48">
        <f>IF(12655.77649="","-",12655.77649/2808282.38613*100)</f>
        <v>0.45065897049763942</v>
      </c>
      <c r="E25" s="48">
        <f>IF(21203.57252="","-",21203.57252/2393202.72267*100)</f>
        <v>0.88599149245259212</v>
      </c>
    </row>
    <row r="26" spans="1:7" x14ac:dyDescent="0.25">
      <c r="A26" s="42" t="s">
        <v>116</v>
      </c>
      <c r="B26" s="48">
        <f>IF(82321.33414="","-",82321.33414)</f>
        <v>82321.334140000006</v>
      </c>
      <c r="C26" s="75">
        <v>74.210060322613501</v>
      </c>
      <c r="D26" s="48">
        <f>IF(110930.15392="","-",110930.15392/2808282.38613*100)</f>
        <v>3.9501068150368286</v>
      </c>
      <c r="E26" s="48">
        <f>IF(82321.33414="","-",82321.33414/2393202.72267*100)</f>
        <v>3.4397977806141471</v>
      </c>
      <c r="F26" s="1"/>
      <c r="G26" s="1"/>
    </row>
    <row r="27" spans="1:7" x14ac:dyDescent="0.25">
      <c r="A27" s="42" t="s">
        <v>117</v>
      </c>
      <c r="B27" s="48">
        <f>IF(363096.6659="","-",363096.6659)</f>
        <v>363096.66590000002</v>
      </c>
      <c r="C27" s="75">
        <v>91.998280663892857</v>
      </c>
      <c r="D27" s="48">
        <f>IF(394677.66493="","-",394677.66493/2808282.38613*100)</f>
        <v>14.054059053295282</v>
      </c>
      <c r="E27" s="48">
        <f>IF(363096.6659="","-",363096.6659/2393202.72267*100)</f>
        <v>15.171997861297251</v>
      </c>
      <c r="F27" s="1"/>
      <c r="G27" s="1"/>
    </row>
    <row r="28" spans="1:7" x14ac:dyDescent="0.25">
      <c r="A28" s="42" t="s">
        <v>118</v>
      </c>
      <c r="B28" s="48">
        <f>IF(6657.68717="","-",6657.68717)</f>
        <v>6657.6871700000002</v>
      </c>
      <c r="C28" s="75">
        <v>81.910190338256655</v>
      </c>
      <c r="D28" s="48">
        <f>IF(8128.03283999999="","-",8128.03283999999/2808282.38613*100)</f>
        <v>0.28943075241094113</v>
      </c>
      <c r="E28" s="48">
        <f>IF(6657.68717="","-",6657.68717/2393202.72267*100)</f>
        <v>0.27819152581325357</v>
      </c>
      <c r="F28" s="12"/>
      <c r="G28" s="12"/>
    </row>
    <row r="29" spans="1:7" x14ac:dyDescent="0.25">
      <c r="A29" s="42" t="s">
        <v>119</v>
      </c>
      <c r="B29" s="48">
        <f>IF(226.01174="","-",226.01174)</f>
        <v>226.01174</v>
      </c>
      <c r="C29" s="75">
        <v>91.545065558051391</v>
      </c>
      <c r="D29" s="48">
        <f>IF(246.88577="","-",246.88577/2808282.38613*100)</f>
        <v>8.7913441760472336E-3</v>
      </c>
      <c r="E29" s="48">
        <f>IF(226.01174="","-",226.01174/2393202.72267*100)</f>
        <v>9.4439028444630799E-3</v>
      </c>
    </row>
    <row r="30" spans="1:7" x14ac:dyDescent="0.25">
      <c r="A30" s="42" t="s">
        <v>120</v>
      </c>
      <c r="B30" s="48">
        <f>IF(111778.23227="","-",111778.23227)</f>
        <v>111778.23226999999</v>
      </c>
      <c r="C30" s="75">
        <v>66.628002821009161</v>
      </c>
      <c r="D30" s="48">
        <f>IF(167764.6448="","-",167764.6448/2808282.38613*100)</f>
        <v>5.9739236206651869</v>
      </c>
      <c r="E30" s="48">
        <f>IF(111778.23227="","-",111778.23227/2393202.72267*100)</f>
        <v>4.6706545672526021</v>
      </c>
    </row>
    <row r="31" spans="1:7" x14ac:dyDescent="0.25">
      <c r="A31" s="42" t="s">
        <v>121</v>
      </c>
      <c r="B31" s="48">
        <f>IF(131.89319="","-",131.89319)</f>
        <v>131.89319</v>
      </c>
      <c r="C31" s="75">
        <v>6.2429499303385239</v>
      </c>
      <c r="D31" s="48">
        <f>IF(2112.67416="","-",2112.67416/2808282.38613*100)</f>
        <v>7.5230118254290157E-2</v>
      </c>
      <c r="E31" s="48">
        <f>IF(131.89319="","-",131.89319/2393202.72267*100)</f>
        <v>5.5111582796818848E-3</v>
      </c>
    </row>
    <row r="32" spans="1:7" x14ac:dyDescent="0.25">
      <c r="A32" s="37" t="s">
        <v>179</v>
      </c>
      <c r="B32" s="46">
        <f>IF(689555.86627="","-",689555.86627)</f>
        <v>689555.86627</v>
      </c>
      <c r="C32" s="80">
        <v>93.627629085053869</v>
      </c>
      <c r="D32" s="46">
        <f>IF(736487.58706="","-",736487.58706/2808282.38613*100)</f>
        <v>26.22555305326431</v>
      </c>
      <c r="E32" s="46">
        <f>IF(689555.86627="","-",689555.86627/2393202.72267*100)</f>
        <v>28.81309885443763</v>
      </c>
    </row>
    <row r="33" spans="1:5" x14ac:dyDescent="0.25">
      <c r="A33" s="42" t="s">
        <v>141</v>
      </c>
      <c r="B33" s="31"/>
      <c r="C33" s="81"/>
      <c r="D33" s="33"/>
      <c r="E33" s="31"/>
    </row>
    <row r="34" spans="1:5" x14ac:dyDescent="0.25">
      <c r="A34" s="42" t="s">
        <v>115</v>
      </c>
      <c r="B34" s="48">
        <f>IF(7084.7224="","-",7084.7224)</f>
        <v>7084.7223999999997</v>
      </c>
      <c r="C34" s="75" t="s">
        <v>96</v>
      </c>
      <c r="D34" s="48">
        <f>IF(3399.90647="","-",3399.90647/2808282.38613*100)</f>
        <v>0.1210671151445456</v>
      </c>
      <c r="E34" s="48">
        <f>IF(7084.7224="","-",7084.7224/2393202.72267*100)</f>
        <v>0.29603519722290222</v>
      </c>
    </row>
    <row r="35" spans="1:5" x14ac:dyDescent="0.25">
      <c r="A35" s="42" t="s">
        <v>116</v>
      </c>
      <c r="B35" s="48">
        <f>IF(108.87323="","-",108.87323)</f>
        <v>108.87323000000001</v>
      </c>
      <c r="C35" s="75">
        <v>37.078731508395499</v>
      </c>
      <c r="D35" s="48">
        <f>IF(293.62717="","-",293.62717/2808282.38613*100)</f>
        <v>1.0455756566726104E-2</v>
      </c>
      <c r="E35" s="48">
        <f>IF(108.87323="","-",108.87323/2393202.72267*100)</f>
        <v>4.5492690179850092E-3</v>
      </c>
    </row>
    <row r="36" spans="1:5" x14ac:dyDescent="0.25">
      <c r="A36" s="42" t="s">
        <v>117</v>
      </c>
      <c r="B36" s="48">
        <f>IF(642680.74715="","-",642680.74715)</f>
        <v>642680.74714999995</v>
      </c>
      <c r="C36" s="75">
        <v>93.894202640045947</v>
      </c>
      <c r="D36" s="48">
        <f>IF(684473.29982="","-",684473.29982/2808282.38613*100)</f>
        <v>24.37337866022974</v>
      </c>
      <c r="E36" s="48">
        <f>IF(642680.74715="","-",642680.74715/2393202.72267*100)</f>
        <v>26.854421527357569</v>
      </c>
    </row>
    <row r="37" spans="1:5" x14ac:dyDescent="0.25">
      <c r="A37" s="42" t="s">
        <v>118</v>
      </c>
      <c r="B37" s="48">
        <f>IF(36210.69429="","-",36210.69429)</f>
        <v>36210.694289999999</v>
      </c>
      <c r="C37" s="75">
        <v>82.70551630045685</v>
      </c>
      <c r="D37" s="48">
        <f>IF(43782.68332="","-",43782.68332/2808282.38613*100)</f>
        <v>1.5590555827377264</v>
      </c>
      <c r="E37" s="48">
        <f>IF(36210.69429="","-",36210.69429/2393202.72267*100)</f>
        <v>1.5130642275720454</v>
      </c>
    </row>
    <row r="38" spans="1:5" x14ac:dyDescent="0.25">
      <c r="A38" s="42" t="s">
        <v>119</v>
      </c>
      <c r="B38" s="48">
        <f>IF(2401.49014="","-",2401.49014)</f>
        <v>2401.4901399999999</v>
      </c>
      <c r="C38" s="75">
        <v>85.261406082703985</v>
      </c>
      <c r="D38" s="48">
        <f>IF(2816.62038="","-",2816.62038/2808282.38613*100)</f>
        <v>0.10029690724519659</v>
      </c>
      <c r="E38" s="48">
        <f>IF(2401.49014="","-",2401.49014/2393202.72267*100)</f>
        <v>0.10034628981705127</v>
      </c>
    </row>
    <row r="39" spans="1:5" x14ac:dyDescent="0.25">
      <c r="A39" s="43" t="s">
        <v>121</v>
      </c>
      <c r="B39" s="54">
        <f>IF(1069.33906="","-",1069.33906)</f>
        <v>1069.33906</v>
      </c>
      <c r="C39" s="78">
        <v>62.118511842836668</v>
      </c>
      <c r="D39" s="54">
        <f>IF(1721.4499="","-",1721.4499/2808282.38613*100)</f>
        <v>6.1299031340372886E-2</v>
      </c>
      <c r="E39" s="54">
        <f>IF(1069.33906="","-",1069.33906/2393202.72267*100)</f>
        <v>4.4682343450076864E-2</v>
      </c>
    </row>
    <row r="40" spans="1:5" x14ac:dyDescent="0.25">
      <c r="A40" s="26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7"/>
  <sheetViews>
    <sheetView zoomScaleNormal="100" workbookViewId="0">
      <selection activeCell="H9" sqref="H9"/>
    </sheetView>
  </sheetViews>
  <sheetFormatPr defaultRowHeight="15.75" x14ac:dyDescent="0.25"/>
  <cols>
    <col min="1" max="1" width="27.5" customWidth="1"/>
    <col min="2" max="2" width="11.375" customWidth="1"/>
    <col min="3" max="3" width="10.875" customWidth="1"/>
    <col min="4" max="4" width="8.25" customWidth="1"/>
    <col min="5" max="5" width="8.375" customWidth="1"/>
    <col min="6" max="6" width="9.625" customWidth="1"/>
    <col min="7" max="7" width="9.5" customWidth="1"/>
  </cols>
  <sheetData>
    <row r="1" spans="1:9" x14ac:dyDescent="0.25">
      <c r="A1" s="95" t="s">
        <v>167</v>
      </c>
      <c r="B1" s="95"/>
      <c r="C1" s="95"/>
      <c r="D1" s="95"/>
      <c r="E1" s="95"/>
      <c r="F1" s="95"/>
      <c r="G1" s="95"/>
    </row>
    <row r="2" spans="1:9" x14ac:dyDescent="0.25">
      <c r="A2" s="95" t="s">
        <v>23</v>
      </c>
      <c r="B2" s="95"/>
      <c r="C2" s="95"/>
      <c r="D2" s="95"/>
      <c r="E2" s="95"/>
      <c r="F2" s="95"/>
      <c r="G2" s="95"/>
    </row>
    <row r="3" spans="1:9" x14ac:dyDescent="0.25">
      <c r="A3" s="6"/>
    </row>
    <row r="4" spans="1:9" ht="57" customHeight="1" x14ac:dyDescent="0.25">
      <c r="A4" s="103"/>
      <c r="B4" s="106" t="s">
        <v>282</v>
      </c>
      <c r="C4" s="101"/>
      <c r="D4" s="106" t="s">
        <v>0</v>
      </c>
      <c r="E4" s="101"/>
      <c r="F4" s="98" t="s">
        <v>109</v>
      </c>
      <c r="G4" s="107"/>
    </row>
    <row r="5" spans="1:9" ht="19.5" customHeight="1" x14ac:dyDescent="0.25">
      <c r="A5" s="104"/>
      <c r="B5" s="108" t="s">
        <v>113</v>
      </c>
      <c r="C5" s="96" t="s">
        <v>287</v>
      </c>
      <c r="D5" s="110" t="s">
        <v>284</v>
      </c>
      <c r="E5" s="110"/>
      <c r="F5" s="110" t="s">
        <v>284</v>
      </c>
      <c r="G5" s="106"/>
    </row>
    <row r="6" spans="1:9" ht="26.25" customHeight="1" x14ac:dyDescent="0.25">
      <c r="A6" s="105"/>
      <c r="B6" s="109"/>
      <c r="C6" s="97"/>
      <c r="D6" s="24">
        <v>2019</v>
      </c>
      <c r="E6" s="24">
        <v>2020</v>
      </c>
      <c r="F6" s="24" t="s">
        <v>124</v>
      </c>
      <c r="G6" s="20" t="s">
        <v>144</v>
      </c>
    </row>
    <row r="7" spans="1:9" ht="16.5" customHeight="1" x14ac:dyDescent="0.25">
      <c r="A7" s="49" t="s">
        <v>102</v>
      </c>
      <c r="B7" s="45">
        <f>IF(1170231.19764="","-",1170231.19764)</f>
        <v>1170231.1976399999</v>
      </c>
      <c r="C7" s="58">
        <f>IF(1361213.47779="","-",1170231.19764/1361213.47779*100)</f>
        <v>85.96970399822446</v>
      </c>
      <c r="D7" s="45">
        <v>100</v>
      </c>
      <c r="E7" s="45">
        <v>100</v>
      </c>
      <c r="F7" s="45">
        <f>IF(1314797.53704="","-",(1361213.47779-1314797.53704)/1314797.53704*100)</f>
        <v>3.5302728703383419</v>
      </c>
      <c r="G7" s="45">
        <f>IF(1361213.47779="","-",(1170231.19764-1361213.47779)/1361213.47779*100)</f>
        <v>-14.030296001775531</v>
      </c>
    </row>
    <row r="8" spans="1:9" ht="13.5" customHeight="1" x14ac:dyDescent="0.25">
      <c r="A8" s="36" t="s">
        <v>141</v>
      </c>
      <c r="B8" s="38"/>
      <c r="C8" s="39"/>
      <c r="D8" s="38"/>
      <c r="E8" s="38"/>
      <c r="F8" s="38"/>
      <c r="G8" s="38"/>
    </row>
    <row r="9" spans="1:9" ht="13.5" customHeight="1" x14ac:dyDescent="0.25">
      <c r="A9" s="55" t="s">
        <v>206</v>
      </c>
      <c r="B9" s="46">
        <f>IF(320309.68808="","-",320309.68808)</f>
        <v>320309.68807999999</v>
      </c>
      <c r="C9" s="59">
        <f>IF(285599.56931="","-",320309.68808/285599.56931*100)</f>
        <v>112.15342125825281</v>
      </c>
      <c r="D9" s="46">
        <f>IF(285599.56931="","-",285599.56931/1361213.47779*100)</f>
        <v>20.9812475390477</v>
      </c>
      <c r="E9" s="46">
        <f>IF(320309.68808="","-",320309.68808/1170231.19764*100)</f>
        <v>27.371487679184003</v>
      </c>
      <c r="F9" s="46">
        <f>IF(1314797.53704="","-",(285599.56931-278286.49771)/1314797.53704*100)</f>
        <v>0.55621275473818299</v>
      </c>
      <c r="G9" s="46">
        <f>IF(1361213.47779="","-",(320309.68808-285599.56931)/1361213.47779*100)</f>
        <v>2.5499393986572678</v>
      </c>
      <c r="I9" s="17"/>
    </row>
    <row r="10" spans="1:9" s="9" customFormat="1" ht="13.5" customHeight="1" x14ac:dyDescent="0.25">
      <c r="A10" s="47" t="s">
        <v>24</v>
      </c>
      <c r="B10" s="48">
        <f>IF(6470.53658="","-",6470.53658)</f>
        <v>6470.53658</v>
      </c>
      <c r="C10" s="60">
        <f>IF(OR(4933.29278="",6470.53658=""),"-",6470.53658/4933.29278*100)</f>
        <v>131.16060344587942</v>
      </c>
      <c r="D10" s="48">
        <f>IF(4933.29278="","-",4933.29278/1361213.47779*100)</f>
        <v>0.36241874331199353</v>
      </c>
      <c r="E10" s="48">
        <f>IF(6470.53658="","-",6470.53658/1170231.19764*100)</f>
        <v>0.55292805328118944</v>
      </c>
      <c r="F10" s="48">
        <f>IF(OR(1314797.53704="",7107.69188="",4933.29278=""),"-",(4933.29278-7107.69188)/1314797.53704*100)</f>
        <v>-0.16537900617727189</v>
      </c>
      <c r="G10" s="48">
        <f>IF(OR(1361213.47779="",6470.53658="",4933.29278=""),"-",(6470.53658-4933.29278)/1361213.47779*100)</f>
        <v>0.11293186741698992</v>
      </c>
      <c r="I10" s="17"/>
    </row>
    <row r="11" spans="1:9" s="9" customFormat="1" ht="14.25" customHeight="1" x14ac:dyDescent="0.25">
      <c r="A11" s="47" t="s">
        <v>207</v>
      </c>
      <c r="B11" s="48">
        <f>IF(1710.73998="","-",1710.73998)</f>
        <v>1710.7399800000001</v>
      </c>
      <c r="C11" s="60">
        <f>IF(OR(3006.66836="",1710.73998=""),"-",1710.73998/3006.66836*100)</f>
        <v>56.898193454232512</v>
      </c>
      <c r="D11" s="48">
        <f>IF(3006.66836="","-",3006.66836/1361213.47779*100)</f>
        <v>0.22088147150008244</v>
      </c>
      <c r="E11" s="48">
        <f>IF(1710.73998="","-",1710.73998/1170231.19764*100)</f>
        <v>0.14618820481371902</v>
      </c>
      <c r="F11" s="48">
        <f>IF(OR(1314797.53704="",2795.63901="",3006.66836=""),"-",(3006.66836-2795.63901)/1314797.53704*100)</f>
        <v>1.6050330492334966E-2</v>
      </c>
      <c r="G11" s="48">
        <f>IF(OR(1361213.47779="",1710.73998="",3006.66836=""),"-",(1710.73998-3006.66836)/1361213.47779*100)</f>
        <v>-9.5203904541410103E-2</v>
      </c>
      <c r="I11" s="17"/>
    </row>
    <row r="12" spans="1:9" s="9" customFormat="1" x14ac:dyDescent="0.25">
      <c r="A12" s="47" t="s">
        <v>208</v>
      </c>
      <c r="B12" s="48">
        <f>IF(4791.53354="","-",4791.53354)</f>
        <v>4791.5335400000004</v>
      </c>
      <c r="C12" s="60">
        <f>IF(OR(8427.07209="",4791.53354=""),"-",4791.53354/8427.07209*100)</f>
        <v>56.85881749707449</v>
      </c>
      <c r="D12" s="48">
        <f>IF(8427.07209="","-",8427.07209/1361213.47779*100)</f>
        <v>0.6190852667490323</v>
      </c>
      <c r="E12" s="48">
        <f>IF(4791.53354="","-",4791.53354/1170231.19764*100)</f>
        <v>0.40945187153299839</v>
      </c>
      <c r="F12" s="48">
        <f>IF(OR(1314797.53704="",10814.90516="",8427.07209=""),"-",(8427.07209-10814.90516)/1314797.53704*100)</f>
        <v>-0.18161222566447169</v>
      </c>
      <c r="G12" s="48">
        <f>IF(OR(1361213.47779="",4791.53354="",8427.07209=""),"-",(4791.53354-8427.07209)/1361213.47779*100)</f>
        <v>-0.26708070477692325</v>
      </c>
      <c r="I12" s="17"/>
    </row>
    <row r="13" spans="1:9" s="9" customFormat="1" x14ac:dyDescent="0.25">
      <c r="A13" s="47" t="s">
        <v>209</v>
      </c>
      <c r="B13" s="48">
        <f>IF(2.95359="","-",2.95359)</f>
        <v>2.9535900000000002</v>
      </c>
      <c r="C13" s="60">
        <f>IF(OR(18.84453="",2.95359=""),"-",2.95359/18.84453*100)</f>
        <v>15.673460680632525</v>
      </c>
      <c r="D13" s="48">
        <f>IF(18.84453="","-",18.84453/1361213.47779*100)</f>
        <v>1.3843919640433668E-3</v>
      </c>
      <c r="E13" s="48">
        <f>IF(2.95359="","-",2.95359/1170231.19764*100)</f>
        <v>2.5239371552873414E-4</v>
      </c>
      <c r="F13" s="48">
        <f>IF(OR(1314797.53704="",9.21148="",18.84453=""),"-",(18.84453-9.21148)/1314797.53704*100)</f>
        <v>7.3266413486648729E-4</v>
      </c>
      <c r="G13" s="48">
        <f>IF(OR(1361213.47779="",2.95359="",18.84453=""),"-",(2.95359-18.84453)/1361213.47779*100)</f>
        <v>-1.1674098338931933E-3</v>
      </c>
      <c r="I13" s="17"/>
    </row>
    <row r="14" spans="1:9" s="9" customFormat="1" ht="15" customHeight="1" x14ac:dyDescent="0.25">
      <c r="A14" s="47" t="s">
        <v>210</v>
      </c>
      <c r="B14" s="48">
        <f>IF(112315.06004="","-",112315.06004)</f>
        <v>112315.06004</v>
      </c>
      <c r="C14" s="60">
        <f>IF(OR(111876.26802="",112315.06004=""),"-",112315.06004/111876.26802*100)</f>
        <v>100.39221188529595</v>
      </c>
      <c r="D14" s="48">
        <f>IF(111876.26802="","-",111876.26802/1361213.47779*100)</f>
        <v>8.2188627901067282</v>
      </c>
      <c r="E14" s="48">
        <f>IF(112315.06004="","-",112315.06004/1170231.19764*100)</f>
        <v>9.5976812331191717</v>
      </c>
      <c r="F14" s="48">
        <f>IF(OR(1314797.53704="",93378.28508="",111876.26802=""),"-",(111876.26802-93378.28508)/1314797.53704*100)</f>
        <v>1.4069073312720419</v>
      </c>
      <c r="G14" s="48">
        <f>IF(OR(1361213.47779="",112315.06004="",111876.26802=""),"-",(112315.06004-111876.26802)/1361213.47779*100)</f>
        <v>3.2235356698965024E-2</v>
      </c>
      <c r="I14" s="17"/>
    </row>
    <row r="15" spans="1:9" s="9" customFormat="1" ht="15.75" customHeight="1" x14ac:dyDescent="0.25">
      <c r="A15" s="47" t="s">
        <v>211</v>
      </c>
      <c r="B15" s="48">
        <f>IF(163066.12746="","-",163066.12746)</f>
        <v>163066.12745999999</v>
      </c>
      <c r="C15" s="60">
        <f>IF(OR(134555.02537="",163066.12746=""),"-",163066.12746/134555.02537*100)</f>
        <v>121.18917670417737</v>
      </c>
      <c r="D15" s="48">
        <f>IF(134555.02537="","-",134555.02537/1361213.47779*100)</f>
        <v>9.8849319056447342</v>
      </c>
      <c r="E15" s="48">
        <f>IF(163066.12746="","-",163066.12746/1170231.19764*100)</f>
        <v>13.934522322499582</v>
      </c>
      <c r="F15" s="48">
        <f>IF(OR(1314797.53704="",134376.24942="",134555.02537=""),"-",(134555.02537-134376.24942)/1314797.53704*100)</f>
        <v>1.3597222763472683E-2</v>
      </c>
      <c r="G15" s="48">
        <f>IF(OR(1361213.47779="",163066.12746="",134555.02537=""),"-",(163066.12746-134555.02537)/1361213.47779*100)</f>
        <v>2.0945356885746711</v>
      </c>
      <c r="I15" s="17"/>
    </row>
    <row r="16" spans="1:9" s="9" customFormat="1" ht="15" customHeight="1" x14ac:dyDescent="0.25">
      <c r="A16" s="47" t="s">
        <v>212</v>
      </c>
      <c r="B16" s="48">
        <f>IF(10417.87479="","-",10417.87479)</f>
        <v>10417.87479</v>
      </c>
      <c r="C16" s="60" t="s">
        <v>108</v>
      </c>
      <c r="D16" s="48">
        <f>IF(5408.24603="","-",5408.24603/1361213.47779*100)</f>
        <v>0.39731064364573926</v>
      </c>
      <c r="E16" s="48">
        <f>IF(10417.87479="","-",10417.87479/1170231.19764*100)</f>
        <v>0.89024073285771921</v>
      </c>
      <c r="F16" s="48">
        <f>IF(OR(1314797.53704="",12313.32552="",5408.24603=""),"-",(5408.24603-12313.32552)/1314797.53704*100)</f>
        <v>-0.52518196113641846</v>
      </c>
      <c r="G16" s="48">
        <f>IF(OR(1361213.47779="",10417.87479="",5408.24603=""),"-",(10417.87479-5408.24603)/1361213.47779*100)</f>
        <v>0.36802667926366622</v>
      </c>
      <c r="I16" s="17"/>
    </row>
    <row r="17" spans="1:9" s="9" customFormat="1" ht="25.5" x14ac:dyDescent="0.25">
      <c r="A17" s="47" t="s">
        <v>213</v>
      </c>
      <c r="B17" s="48">
        <f>IF(3711.66399="","-",3711.66399)</f>
        <v>3711.66399</v>
      </c>
      <c r="C17" s="60">
        <f>IF(OR(4817.76194="",3711.66399=""),"-",3711.66399/4817.76194*100)</f>
        <v>77.041249364845115</v>
      </c>
      <c r="D17" s="48">
        <f>IF(4817.76194="","-",4817.76194/1361213.47779*100)</f>
        <v>0.35393140154782221</v>
      </c>
      <c r="E17" s="48">
        <f>IF(3711.66399="","-",3711.66399/1170231.19764*100)</f>
        <v>0.31717356343646419</v>
      </c>
      <c r="F17" s="48">
        <f>IF(OR(1314797.53704="",5281.16772="",4817.76194=""),"-",(4817.76194-5281.16772)/1314797.53704*100)</f>
        <v>-3.5245409802277555E-2</v>
      </c>
      <c r="G17" s="48">
        <f>IF(OR(1361213.47779="",3711.66399="",4817.76194=""),"-",(3711.66399-4817.76194)/1361213.47779*100)</f>
        <v>-8.1258227900873212E-2</v>
      </c>
      <c r="I17" s="17"/>
    </row>
    <row r="18" spans="1:9" s="9" customFormat="1" ht="25.5" x14ac:dyDescent="0.25">
      <c r="A18" s="47" t="s">
        <v>214</v>
      </c>
      <c r="B18" s="48">
        <f>IF(16380.24956="","-",16380.24956)</f>
        <v>16380.24956</v>
      </c>
      <c r="C18" s="60">
        <f>IF(OR(11191.06671="",16380.24956=""),"-",16380.24956/11191.06671*100)</f>
        <v>146.36897432988317</v>
      </c>
      <c r="D18" s="48">
        <f>IF(11191.06671="","-",11191.06671/1361213.47779*100)</f>
        <v>0.82213898793958995</v>
      </c>
      <c r="E18" s="48">
        <f>IF(16380.24956="","-",16380.24956/1170231.19764*100)</f>
        <v>1.3997447336076818</v>
      </c>
      <c r="F18" s="48">
        <f>IF(OR(1314797.53704="",11014.58688="",11191.06671=""),"-",(11191.06671-11014.58688)/1314797.53704*100)</f>
        <v>1.3422585989726369E-2</v>
      </c>
      <c r="G18" s="48">
        <f>IF(OR(1361213.47779="",16380.24956="",11191.06671=""),"-",(16380.24956-11191.06671)/1361213.47779*100)</f>
        <v>0.38121741627366978</v>
      </c>
      <c r="I18" s="17"/>
    </row>
    <row r="19" spans="1:9" s="9" customFormat="1" x14ac:dyDescent="0.25">
      <c r="A19" s="47" t="s">
        <v>215</v>
      </c>
      <c r="B19" s="48">
        <f>IF(1442.94855="","-",1442.94855)</f>
        <v>1442.9485500000001</v>
      </c>
      <c r="C19" s="60">
        <f>IF(OR(1365.32348="",1442.94855=""),"-",1442.94855/1365.32348*100)</f>
        <v>105.68547096252969</v>
      </c>
      <c r="D19" s="48">
        <f>IF(1365.32348="","-",1365.32348/1361213.47779*100)</f>
        <v>0.10030193663793814</v>
      </c>
      <c r="E19" s="48">
        <f>IF(1442.94855="","-",1442.94855/1170231.19764*100)</f>
        <v>0.12330457031994942</v>
      </c>
      <c r="F19" s="48">
        <f>IF(OR(1314797.53704="",1195.43556="",1365.32348=""),"-",(1365.32348-1195.43556)/1314797.53704*100)</f>
        <v>1.292122286618123E-2</v>
      </c>
      <c r="G19" s="48">
        <f>IF(OR(1361213.47779="",1442.94855="",1365.32348=""),"-",(1442.94855-1365.32348)/1361213.47779*100)</f>
        <v>5.7026374824049155E-3</v>
      </c>
    </row>
    <row r="20" spans="1:9" s="9" customFormat="1" x14ac:dyDescent="0.25">
      <c r="A20" s="55" t="s">
        <v>216</v>
      </c>
      <c r="B20" s="46">
        <f>IF(84345.51381="","-",84345.51381)</f>
        <v>84345.513810000004</v>
      </c>
      <c r="C20" s="59">
        <f>IF(103739.51226="","-",84345.51381/103739.51226*100)</f>
        <v>81.305099640922478</v>
      </c>
      <c r="D20" s="46">
        <f>IF(103739.51226="","-",103739.51226/1361213.47779*100)</f>
        <v>7.6211052823563303</v>
      </c>
      <c r="E20" s="46">
        <f>IF(84345.51381="","-",84345.51381/1170231.19764*100)</f>
        <v>7.2075940190365149</v>
      </c>
      <c r="F20" s="46">
        <f>IF(1314797.53704="","-",(103739.51226-106287.88054)/1314797.53704*100)</f>
        <v>-0.19382210630977675</v>
      </c>
      <c r="G20" s="46">
        <f>IF(1361213.47779="","-",(84345.51381-103739.51226)/1361213.47779*100)</f>
        <v>-1.4247580387969088</v>
      </c>
    </row>
    <row r="21" spans="1:9" s="9" customFormat="1" x14ac:dyDescent="0.25">
      <c r="A21" s="47" t="s">
        <v>217</v>
      </c>
      <c r="B21" s="48">
        <f>IF(79618.61329="","-",79618.61329)</f>
        <v>79618.613289999994</v>
      </c>
      <c r="C21" s="60">
        <f>IF(OR(90027.26774="",79618.61329=""),"-",79618.61329/90027.26774*100)</f>
        <v>88.438331284183434</v>
      </c>
      <c r="D21" s="48">
        <f>IF(90027.26774="","-",90027.26774/1361213.47779*100)</f>
        <v>6.6137508340105402</v>
      </c>
      <c r="E21" s="48">
        <f>IF(79618.61329="","-",79618.61329/1170231.19764*100)</f>
        <v>6.8036652458562452</v>
      </c>
      <c r="F21" s="48">
        <f>IF(OR(1314797.53704="",95583.93648="",90027.26774=""),"-",(90027.26774-95583.93648)/1314797.53704*100)</f>
        <v>-0.42262542965434213</v>
      </c>
      <c r="G21" s="48">
        <f>IF(OR(1361213.47779="",79618.61329="",90027.26774=""),"-",(79618.61329-90027.26774)/1361213.47779*100)</f>
        <v>-0.76465996111785406</v>
      </c>
    </row>
    <row r="22" spans="1:9" s="9" customFormat="1" x14ac:dyDescent="0.25">
      <c r="A22" s="47" t="s">
        <v>218</v>
      </c>
      <c r="B22" s="48">
        <f>IF(4726.90052="","-",4726.90052)</f>
        <v>4726.9005200000001</v>
      </c>
      <c r="C22" s="60">
        <f>IF(OR(13712.24452="",4726.90052=""),"-",4726.90052/13712.24452*100)</f>
        <v>34.47211368719087</v>
      </c>
      <c r="D22" s="48">
        <f>IF(13712.24452="","-",13712.24452/1361213.47779*100)</f>
        <v>1.0073544483457901</v>
      </c>
      <c r="E22" s="48">
        <f>IF(4726.90052="","-",4726.90052/1170231.19764*100)</f>
        <v>0.40392877318026721</v>
      </c>
      <c r="F22" s="48">
        <f>IF(OR(1314797.53704="",10703.94406="",13712.24452=""),"-",(13712.24452-10703.94406)/1314797.53704*100)</f>
        <v>0.22880332334456441</v>
      </c>
      <c r="G22" s="48">
        <f>IF(OR(1361213.47779="",4726.90052="",13712.24452=""),"-",(4726.90052-13712.24452)/1361213.47779*100)</f>
        <v>-0.66009807767905504</v>
      </c>
    </row>
    <row r="23" spans="1:9" s="9" customFormat="1" ht="25.5" x14ac:dyDescent="0.25">
      <c r="A23" s="55" t="s">
        <v>25</v>
      </c>
      <c r="B23" s="46">
        <f>IF(102232.55742="","-",102232.55742)</f>
        <v>102232.55742</v>
      </c>
      <c r="C23" s="59">
        <f>IF(147018.29733="","-",102232.55742/147018.29733*100)</f>
        <v>69.537302007060319</v>
      </c>
      <c r="D23" s="46">
        <f>IF(147018.29733="","-",147018.29733/1361213.47779*100)</f>
        <v>10.800532005361257</v>
      </c>
      <c r="E23" s="46">
        <f>IF(102232.55742="","-",102232.55742/1170231.19764*100)</f>
        <v>8.736099125213201</v>
      </c>
      <c r="F23" s="46">
        <f>IF(1314797.53704="","-",(147018.29733-137842.83855)/1314797.53704*100)</f>
        <v>0.69786096501646178</v>
      </c>
      <c r="G23" s="46">
        <f>IF(1361213.47779="","-",(102232.55742-147018.29733)/1361213.47779*100)</f>
        <v>-3.290133446423992</v>
      </c>
      <c r="H23" s="7"/>
    </row>
    <row r="24" spans="1:9" s="9" customFormat="1" x14ac:dyDescent="0.25">
      <c r="A24" s="47" t="s">
        <v>219</v>
      </c>
      <c r="B24" s="48">
        <f>IF(709.12761="","-",709.12761)</f>
        <v>709.12761</v>
      </c>
      <c r="C24" s="60">
        <f>IF(OR(834.78578="",709.12761=""),"-",709.12761/834.78578*100)</f>
        <v>84.947255570165552</v>
      </c>
      <c r="D24" s="48">
        <f>IF(834.78578="","-",834.78578/1361213.47779*100)</f>
        <v>6.1326587902679135E-2</v>
      </c>
      <c r="E24" s="48">
        <f>IF(709.12761="","-",709.12761/1170231.19764*100)</f>
        <v>6.0597223132496776E-2</v>
      </c>
      <c r="F24" s="48">
        <f>IF(OR(1314797.53704="",1753.91481="",834.78578=""),"-",(834.78578-1753.91481)/1314797.53704*100)</f>
        <v>-6.9906506827601189E-2</v>
      </c>
      <c r="G24" s="48">
        <f>IF(OR(1361213.47779="",709.12761="",834.78578=""),"-",(709.12761-834.78578)/1361213.47779*100)</f>
        <v>-9.2313345445280588E-3</v>
      </c>
      <c r="H24" s="8"/>
    </row>
    <row r="25" spans="1:9" s="9" customFormat="1" x14ac:dyDescent="0.25">
      <c r="A25" s="47" t="s">
        <v>220</v>
      </c>
      <c r="B25" s="48">
        <f>IF(87128.97519="","-",87128.97519)</f>
        <v>87128.975189999997</v>
      </c>
      <c r="C25" s="60">
        <f>IF(OR(128245.1475="",87128.97519=""),"-",87128.97519/128245.1475*100)</f>
        <v>67.939393332601526</v>
      </c>
      <c r="D25" s="48">
        <f>IF(128245.1475="","-",128245.1475/1361213.47779*100)</f>
        <v>9.4213839043242942</v>
      </c>
      <c r="E25" s="48">
        <f>IF(87128.97519="","-",87128.97519/1170231.19764*100)</f>
        <v>7.4454496996587185</v>
      </c>
      <c r="F25" s="48">
        <f>IF(OR(1314797.53704="",117863.85419="",128245.1475=""),"-",(128245.1475-117863.85419)/1314797.53704*100)</f>
        <v>0.78957352881656473</v>
      </c>
      <c r="G25" s="48">
        <f>IF(OR(1361213.47779="",87128.97519="",128245.1475=""),"-",(87128.97519-128245.1475)/1361213.47779*100)</f>
        <v>-3.0205528361910017</v>
      </c>
      <c r="H25" s="8"/>
    </row>
    <row r="26" spans="1:9" s="9" customFormat="1" ht="25.5" x14ac:dyDescent="0.25">
      <c r="A26" s="47" t="s">
        <v>221</v>
      </c>
      <c r="B26" s="48">
        <f>IF(0.14712="","-",0.14712)</f>
        <v>0.14712</v>
      </c>
      <c r="C26" s="60">
        <f>IF(OR(0.23836="",0.14712=""),"-",0.14712/0.23836*100)</f>
        <v>61.721765396878666</v>
      </c>
      <c r="D26" s="48">
        <f>IF(0.23836="","-",0.23836/1361213.47779*100)</f>
        <v>1.7510846306560944E-5</v>
      </c>
      <c r="E26" s="48">
        <f>IF(0.14712="","-",0.14712/1170231.19764*100)</f>
        <v>1.2571874711313136E-5</v>
      </c>
      <c r="F26" s="48">
        <f>IF(OR(1314797.53704="",0.78369="",0.23836=""),"-",(0.23836-0.78369)/1314797.53704*100)</f>
        <v>-4.1476347851069137E-5</v>
      </c>
      <c r="G26" s="48">
        <f>IF(OR(1361213.47779="",0.14712="",0.23836=""),"-",(0.14712-0.23836)/1361213.47779*100)</f>
        <v>-6.7028428302174039E-6</v>
      </c>
      <c r="H26" s="8"/>
    </row>
    <row r="27" spans="1:9" s="9" customFormat="1" ht="14.25" customHeight="1" x14ac:dyDescent="0.25">
      <c r="A27" s="47" t="s">
        <v>222</v>
      </c>
      <c r="B27" s="48">
        <f>IF(842.68692="","-",842.68692)</f>
        <v>842.68691999999999</v>
      </c>
      <c r="C27" s="60" t="s">
        <v>100</v>
      </c>
      <c r="D27" s="48">
        <f>IF(376.7645="","-",376.7645/1361213.47779*100)</f>
        <v>2.7678575487784365E-2</v>
      </c>
      <c r="E27" s="48">
        <f>IF(842.68692="","-",842.68692/1170231.19764*100)</f>
        <v>7.2010293495801778E-2</v>
      </c>
      <c r="F27" s="48">
        <f>IF(OR(1314797.53704="",398.99526="",376.7645=""),"-",(376.7645-398.99526)/1314797.53704*100)</f>
        <v>-1.6908124158832864E-3</v>
      </c>
      <c r="G27" s="48">
        <f>IF(OR(1361213.47779="",842.68692="",376.7645=""),"-",(842.68692-376.7645)/1361213.47779*100)</f>
        <v>3.4228460678809101E-2</v>
      </c>
      <c r="H27" s="8"/>
    </row>
    <row r="28" spans="1:9" s="9" customFormat="1" x14ac:dyDescent="0.25">
      <c r="A28" s="47" t="s">
        <v>223</v>
      </c>
      <c r="B28" s="48">
        <f>IF(855.28712="","-",855.28712)</f>
        <v>855.28711999999996</v>
      </c>
      <c r="C28" s="60">
        <f>IF(OR(1273.40441="",855.28712=""),"-",855.28712/1273.40441*100)</f>
        <v>67.165396419508227</v>
      </c>
      <c r="D28" s="48">
        <f>IF(1273.40441="","-",1273.40441/1361213.47779*100)</f>
        <v>9.3549206702495891E-2</v>
      </c>
      <c r="E28" s="48">
        <f>IF(855.28712="","-",855.28712/1170231.19764*100)</f>
        <v>7.3087020900216446E-2</v>
      </c>
      <c r="F28" s="48">
        <f>IF(OR(1314797.53704="",1641.21116="",1273.40441=""),"-",(1273.40441-1641.21116)/1314797.53704*100)</f>
        <v>-2.7974402114263327E-2</v>
      </c>
      <c r="G28" s="48">
        <f>IF(OR(1361213.47779="",855.28712="",1273.40441=""),"-",(855.28712-1273.40441)/1361213.47779*100)</f>
        <v>-3.0716511173459367E-2</v>
      </c>
      <c r="H28" s="8"/>
    </row>
    <row r="29" spans="1:9" s="9" customFormat="1" ht="38.25" x14ac:dyDescent="0.25">
      <c r="A29" s="47" t="s">
        <v>224</v>
      </c>
      <c r="B29" s="48">
        <f>IF(38.60231="","-",38.60231)</f>
        <v>38.602310000000003</v>
      </c>
      <c r="C29" s="60">
        <f>IF(OR(182.90454="",38.60231=""),"-",38.60231/182.90454*100)</f>
        <v>21.105167755814044</v>
      </c>
      <c r="D29" s="48">
        <f>IF(182.90454="","-",182.90454/1361213.47779*100)</f>
        <v>1.3436874008693693E-2</v>
      </c>
      <c r="E29" s="48">
        <f>IF(38.60231="","-",38.60231/1170231.19764*100)</f>
        <v>3.2986908978199442E-3</v>
      </c>
      <c r="F29" s="48">
        <f>IF(OR(1314797.53704="",225.7064="",182.90454=""),"-",(182.90454-225.7064)/1314797.53704*100)</f>
        <v>-3.2553955110350839E-3</v>
      </c>
      <c r="G29" s="48">
        <f>IF(OR(1361213.47779="",38.60231="",182.90454=""),"-",(38.60231-182.90454)/1361213.47779*100)</f>
        <v>-1.0600999208021515E-2</v>
      </c>
      <c r="H29" s="8"/>
    </row>
    <row r="30" spans="1:9" s="9" customFormat="1" ht="38.25" x14ac:dyDescent="0.25">
      <c r="A30" s="47" t="s">
        <v>225</v>
      </c>
      <c r="B30" s="48">
        <f>IF(3844.21672="","-",3844.21672)</f>
        <v>3844.2167199999999</v>
      </c>
      <c r="C30" s="60">
        <f>IF(OR(4925.76619="",3844.21672=""),"-",3844.21672/4925.76619*100)</f>
        <v>78.043020551895097</v>
      </c>
      <c r="D30" s="48">
        <f>IF(4925.76619="","-",4925.76619/1361213.47779*100)</f>
        <v>0.36186581093784309</v>
      </c>
      <c r="E30" s="48">
        <f>IF(3844.21672="","-",3844.21672/1170231.19764*100)</f>
        <v>0.32850061831821054</v>
      </c>
      <c r="F30" s="48">
        <f>IF(OR(1314797.53704="",5504.5539="",4925.76619=""),"-",(4925.76619-5504.5539)/1314797.53704*100)</f>
        <v>-4.4021052192037315E-2</v>
      </c>
      <c r="G30" s="48">
        <f>IF(OR(1361213.47779="",3844.21672="",4925.76619=""),"-",(3844.21672-4925.76619)/1361213.47779*100)</f>
        <v>-7.9454801737340389E-2</v>
      </c>
      <c r="H30" s="8"/>
    </row>
    <row r="31" spans="1:9" s="9" customFormat="1" ht="15.75" customHeight="1" x14ac:dyDescent="0.25">
      <c r="A31" s="47" t="s">
        <v>226</v>
      </c>
      <c r="B31" s="48">
        <f>IF(6222.26559="","-",6222.26559)</f>
        <v>6222.26559</v>
      </c>
      <c r="C31" s="60">
        <f>IF(OR(8941.96347="",6222.26559=""),"-",6222.26559/8941.96347*100)</f>
        <v>69.585003460095763</v>
      </c>
      <c r="D31" s="48">
        <f>IF(8941.96347="","-",8941.96347/1361213.47779*100)</f>
        <v>0.65691117638048502</v>
      </c>
      <c r="E31" s="48">
        <f>IF(6222.26559="","-",6222.26559/1170231.19764*100)</f>
        <v>0.53171250284118354</v>
      </c>
      <c r="F31" s="48">
        <f>IF(OR(1314797.53704="",8389.33095="",8941.96347=""),"-",(8941.96347-8389.33095)/1314797.53704*100)</f>
        <v>4.2031758079205186E-2</v>
      </c>
      <c r="G31" s="48">
        <f>IF(OR(1361213.47779="",6222.26559="",8941.96347=""),"-",(6222.26559-8941.96347)/1361213.47779*100)</f>
        <v>-0.19979951156636871</v>
      </c>
    </row>
    <row r="32" spans="1:9" s="9" customFormat="1" ht="25.5" x14ac:dyDescent="0.25">
      <c r="A32" s="47" t="s">
        <v>227</v>
      </c>
      <c r="B32" s="48">
        <f>IF(2591.24884="","-",2591.24884)</f>
        <v>2591.2488400000002</v>
      </c>
      <c r="C32" s="60">
        <f>IF(OR(2237.32258="",2591.24884=""),"-",2591.24884/2237.32258*100)</f>
        <v>115.81918777219869</v>
      </c>
      <c r="D32" s="48">
        <f>IF(2237.32258="","-",2237.32258/1361213.47779*100)</f>
        <v>0.16436235877067631</v>
      </c>
      <c r="E32" s="48">
        <f>IF(2591.24884="","-",2591.24884/1170231.19764*100)</f>
        <v>0.2214305040940423</v>
      </c>
      <c r="F32" s="48">
        <f>IF(OR(1314797.53704="",2064.48819="",2237.32258=""),"-",(2237.32258-2064.48819)/1314797.53704*100)</f>
        <v>1.3145323529362669E-2</v>
      </c>
      <c r="G32" s="48">
        <f>IF(OR(1361213.47779="",2591.24884="",2237.32258=""),"-",(2591.24884-2237.32258)/1361213.47779*100)</f>
        <v>2.6000790160748164E-2</v>
      </c>
    </row>
    <row r="33" spans="1:7" s="9" customFormat="1" ht="25.5" x14ac:dyDescent="0.25">
      <c r="A33" s="55" t="s">
        <v>228</v>
      </c>
      <c r="B33" s="46">
        <f>IF(2476.84704="","-",2476.84704)</f>
        <v>2476.8470400000001</v>
      </c>
      <c r="C33" s="59">
        <f>IF(6985.84536="","-",2476.84704/6985.84536*100)</f>
        <v>35.455222845070253</v>
      </c>
      <c r="D33" s="46">
        <f>IF(6985.84536="","-",6985.84536/1361213.47779*100)</f>
        <v>0.51320718417671563</v>
      </c>
      <c r="E33" s="46">
        <f>IF(2476.84704="","-",2476.84704/1170231.19764*100)</f>
        <v>0.21165450425480425</v>
      </c>
      <c r="F33" s="46">
        <f>IF(1314797.53704="","-",(6985.84536-11020.08837)/1314797.53704*100)</f>
        <v>-0.30683378211083956</v>
      </c>
      <c r="G33" s="46">
        <f>IF(1361213.47779="","-",(2476.84704-6985.84536)/1361213.47779*100)</f>
        <v>-0.33124843336995102</v>
      </c>
    </row>
    <row r="34" spans="1:7" s="9" customFormat="1" ht="25.5" x14ac:dyDescent="0.25">
      <c r="A34" s="47" t="s">
        <v>229</v>
      </c>
      <c r="B34" s="48">
        <f>IF(2114.46571="","-",2114.46571)</f>
        <v>2114.4657099999999</v>
      </c>
      <c r="C34" s="60">
        <f>IF(OR(6982.14738="",2114.46571=""),"-",2114.46571/6982.14738*100)</f>
        <v>30.283888249863892</v>
      </c>
      <c r="D34" s="48">
        <f>IF(6982.14738="","-",6982.14738/1361213.47779*100)</f>
        <v>0.51293551628183076</v>
      </c>
      <c r="E34" s="48">
        <f>IF(2114.46571="","-",2114.46571/1170231.19764*100)</f>
        <v>0.1806878601650882</v>
      </c>
      <c r="F34" s="48">
        <f>IF(OR(1314797.53704="",10990.81154="",6982.14738=""),"-",(6982.14738-10990.81154)/1314797.53704*100)</f>
        <v>-0.30488832288389389</v>
      </c>
      <c r="G34" s="48">
        <f>IF(OR(1361213.47779="",2114.46571="",6982.14738=""),"-",(2114.46571-6982.14738)/1361213.47779*100)</f>
        <v>-0.35759869773717867</v>
      </c>
    </row>
    <row r="35" spans="1:7" s="9" customFormat="1" x14ac:dyDescent="0.25">
      <c r="A35" s="47" t="s">
        <v>230</v>
      </c>
      <c r="B35" s="48">
        <f>IF(3.89246="","-",3.89246)</f>
        <v>3.8924599999999998</v>
      </c>
      <c r="C35" s="60">
        <f>IF(OR(3.60067="",3.89246=""),"-",3.89246/3.60067*100)</f>
        <v>108.10376957621774</v>
      </c>
      <c r="D35" s="48">
        <f>IF(3.60067="","-",3.60067/1361213.47779*100)</f>
        <v>2.6451912640814231E-4</v>
      </c>
      <c r="E35" s="48">
        <f>IF(3.89246="","-",3.89246/1170231.19764*100)</f>
        <v>3.3262316094887119E-4</v>
      </c>
      <c r="F35" s="48">
        <f>IF(OR(1314797.53704="",4.1982="",3.60067=""),"-",(3.60067-4.1982)/1314797.53704*100)</f>
        <v>-4.5446540867821936E-5</v>
      </c>
      <c r="G35" s="48">
        <f>IF(OR(1361213.47779="",3.89246="",3.60067=""),"-",(3.89246-3.60067)/1361213.47779*100)</f>
        <v>2.1436020489140017E-5</v>
      </c>
    </row>
    <row r="36" spans="1:7" s="9" customFormat="1" ht="25.5" x14ac:dyDescent="0.25">
      <c r="A36" s="55" t="s">
        <v>231</v>
      </c>
      <c r="B36" s="46">
        <f>IF(61110.58663="","-",61110.58663)</f>
        <v>61110.586629999998</v>
      </c>
      <c r="C36" s="59" t="s">
        <v>105</v>
      </c>
      <c r="D36" s="46">
        <f>IF(34286.23503="","-",34286.23503/1361213.47779*100)</f>
        <v>2.518799261792902</v>
      </c>
      <c r="E36" s="46">
        <f>IF(61110.58663="","-",61110.58663/1170231.19764*100)</f>
        <v>5.222095151218106</v>
      </c>
      <c r="F36" s="46">
        <f>IF(1314797.53704="","-",(34286.23503-48162.12107)/1314797.53704*100)</f>
        <v>-1.0553629474571986</v>
      </c>
      <c r="G36" s="46">
        <f>IF(1361213.47779="","-",(61110.58663-34286.23503)/1361213.47779*100)</f>
        <v>1.9706204822149358</v>
      </c>
    </row>
    <row r="37" spans="1:7" s="9" customFormat="1" ht="25.5" x14ac:dyDescent="0.25">
      <c r="A37" s="47" t="s">
        <v>232</v>
      </c>
      <c r="B37" s="48">
        <f>IF(61085.70974="","-",61085.70974)</f>
        <v>61085.709739999998</v>
      </c>
      <c r="C37" s="60" t="s">
        <v>105</v>
      </c>
      <c r="D37" s="48">
        <f>IF(34283.1999="","-",34283.1999/1361213.47779*100)</f>
        <v>2.5185762894193888</v>
      </c>
      <c r="E37" s="48">
        <f>IF(61085.70974="","-",61085.70974/1170231.19764*100)</f>
        <v>5.2199693413738482</v>
      </c>
      <c r="F37" s="48">
        <f>IF(OR(1314797.53704="",48024.53971="",34283.1999=""),"-",(34283.1999-48024.53971)/1314797.53704*100)</f>
        <v>-1.0451297194346618</v>
      </c>
      <c r="G37" s="48">
        <f>IF(OR(1361213.47779="",61085.70974="",34283.1999=""),"-",(61085.70974-34283.1999)/1361213.47779*100)</f>
        <v>1.9690159021577756</v>
      </c>
    </row>
    <row r="38" spans="1:7" s="9" customFormat="1" ht="25.5" x14ac:dyDescent="0.25">
      <c r="A38" s="55" t="s">
        <v>233</v>
      </c>
      <c r="B38" s="46">
        <f>IF(64372.05843="","-",64372.05843)</f>
        <v>64372.058429999997</v>
      </c>
      <c r="C38" s="59">
        <f>IF(59695.81787="","-",64372.05843/59695.81787*100)</f>
        <v>107.83344751249322</v>
      </c>
      <c r="D38" s="46">
        <f>IF(59695.81787="","-",59695.81787/1361213.47779*100)</f>
        <v>4.3854853661101885</v>
      </c>
      <c r="E38" s="46">
        <f>IF(64372.05843="","-",64372.05843/1170231.19764*100)</f>
        <v>5.5007983516264858</v>
      </c>
      <c r="F38" s="46">
        <f>IF(1314797.53704="","-",(59695.81787-62221.10183)/1314797.53704*100)</f>
        <v>-0.19206637439290958</v>
      </c>
      <c r="G38" s="46">
        <f>IF(1361213.47779="","-",(64372.05843-59695.81787)/1361213.47779*100)</f>
        <v>0.34353469432231276</v>
      </c>
    </row>
    <row r="39" spans="1:7" s="9" customFormat="1" ht="15.75" customHeight="1" x14ac:dyDescent="0.25">
      <c r="A39" s="47" t="s">
        <v>26</v>
      </c>
      <c r="B39" s="48">
        <f>IF(24993.17925="","-",24993.17925)</f>
        <v>24993.179250000001</v>
      </c>
      <c r="C39" s="60" t="s">
        <v>197</v>
      </c>
      <c r="D39" s="48">
        <f>IF(8573.4194="","-",8573.4194/1361213.47779*100)</f>
        <v>0.62983650543332759</v>
      </c>
      <c r="E39" s="48">
        <f>IF(24993.17925="","-",24993.17925/1170231.19764*100)</f>
        <v>2.1357471327378414</v>
      </c>
      <c r="F39" s="48">
        <f>IF(OR(1314797.53704="",13370.38012="",8573.4194=""),"-",(8573.4194-13370.38012)/1314797.53704*100)</f>
        <v>-0.36484406038661915</v>
      </c>
      <c r="G39" s="48">
        <f>IF(OR(1361213.47779="",24993.17925="",8573.4194=""),"-",(24993.17925-8573.4194)/1361213.47779*100)</f>
        <v>1.206258982731961</v>
      </c>
    </row>
    <row r="40" spans="1:7" s="9" customFormat="1" x14ac:dyDescent="0.25">
      <c r="A40" s="47" t="s">
        <v>27</v>
      </c>
      <c r="B40" s="48">
        <f>IF(637.21575="","-",637.21575)</f>
        <v>637.21574999999996</v>
      </c>
      <c r="C40" s="60">
        <f>IF(OR(555.10443="",637.21575=""),"-",637.21575/555.10443*100)</f>
        <v>114.7920491284856</v>
      </c>
      <c r="D40" s="48">
        <f>IF(555.10443="","-",555.10443/1361213.47779*100)</f>
        <v>4.0780115614285614E-2</v>
      </c>
      <c r="E40" s="48">
        <f>IF(637.21575="","-",637.21575/1170231.19764*100)</f>
        <v>5.4452124613073916E-2</v>
      </c>
      <c r="F40" s="48">
        <f>IF(OR(1314797.53704="",320.65269="",555.10443=""),"-",(555.10443-320.65269)/1314797.53704*100)</f>
        <v>1.7831775113286302E-2</v>
      </c>
      <c r="G40" s="48">
        <f>IF(OR(1361213.47779="",637.21575="",555.10443=""),"-",(637.21575-555.10443)/1361213.47779*100)</f>
        <v>6.0322147363183571E-3</v>
      </c>
    </row>
    <row r="41" spans="1:7" s="9" customFormat="1" x14ac:dyDescent="0.25">
      <c r="A41" s="47" t="s">
        <v>234</v>
      </c>
      <c r="B41" s="48">
        <f>IF(417.75733="","-",417.75733)</f>
        <v>417.75733000000002</v>
      </c>
      <c r="C41" s="60">
        <f>IF(OR(476.00085="",417.75733=""),"-",417.75733/476.00085*100)</f>
        <v>87.763988236575628</v>
      </c>
      <c r="D41" s="48">
        <f>IF(476.00085="","-",476.00085/1361213.47779*100)</f>
        <v>3.4968861076281131E-2</v>
      </c>
      <c r="E41" s="48">
        <f>IF(417.75733="","-",417.75733/1170231.19764*100)</f>
        <v>3.5698700465556669E-2</v>
      </c>
      <c r="F41" s="48">
        <f>IF(OR(1314797.53704="",1787.82268="",476.00085=""),"-",(476.00085-1787.82268)/1314797.53704*100)</f>
        <v>-9.9773675645400184E-2</v>
      </c>
      <c r="G41" s="48">
        <f>IF(OR(1361213.47779="",417.75733="",476.00085=""),"-",(417.75733-476.00085)/1361213.47779*100)</f>
        <v>-4.2787939548292854E-3</v>
      </c>
    </row>
    <row r="42" spans="1:7" s="9" customFormat="1" x14ac:dyDescent="0.25">
      <c r="A42" s="47" t="s">
        <v>235</v>
      </c>
      <c r="B42" s="48">
        <f>IF(30182.5233="","-",30182.5233)</f>
        <v>30182.523300000001</v>
      </c>
      <c r="C42" s="60">
        <f>IF(OR(40304.34829="",30182.5233=""),"-",30182.5233/40304.34829*100)</f>
        <v>74.886518652600699</v>
      </c>
      <c r="D42" s="48">
        <f>IF(40304.34829="","-",40304.34829/1361213.47779*100)</f>
        <v>2.9609131078716753</v>
      </c>
      <c r="E42" s="48">
        <f>IF(30182.5233="","-",30182.5233/1170231.19764*100)</f>
        <v>2.5791931851474272</v>
      </c>
      <c r="F42" s="48">
        <f>IF(OR(1314797.53704="",32430.29327="",40304.34829=""),"-",(40304.34829-32430.29327)/1314797.53704*100)</f>
        <v>0.59887966003700011</v>
      </c>
      <c r="G42" s="48">
        <f>IF(OR(1361213.47779="",30182.5233="",40304.34829=""),"-",(30182.5233-40304.34829)/1361213.47779*100)</f>
        <v>-0.74358836105805415</v>
      </c>
    </row>
    <row r="43" spans="1:7" s="9" customFormat="1" ht="38.25" x14ac:dyDescent="0.25">
      <c r="A43" s="47" t="s">
        <v>236</v>
      </c>
      <c r="B43" s="48">
        <f>IF(5077.49569="","-",5077.49569)</f>
        <v>5077.4956899999997</v>
      </c>
      <c r="C43" s="60">
        <f>IF(OR(6376.31609="",5077.49569=""),"-",5077.49569/6376.31609*100)</f>
        <v>79.630551847375557</v>
      </c>
      <c r="D43" s="48">
        <f>IF(6376.31609="","-",6376.31609/1361213.47779*100)</f>
        <v>0.46842880959070998</v>
      </c>
      <c r="E43" s="48">
        <f>IF(5077.49569="","-",5077.49569/1170231.19764*100)</f>
        <v>0.43388825218809435</v>
      </c>
      <c r="F43" s="48">
        <f>IF(OR(1314797.53704="",10602.66795="",6376.31609=""),"-",(6376.31609-10602.66795)/1314797.53704*100)</f>
        <v>-0.32144506974927661</v>
      </c>
      <c r="G43" s="48">
        <f>IF(OR(1361213.47779="",5077.49569="",6376.31609=""),"-",(5077.49569-6376.31609)/1361213.47779*100)</f>
        <v>-9.5416363501535567E-2</v>
      </c>
    </row>
    <row r="44" spans="1:7" s="9" customFormat="1" x14ac:dyDescent="0.25">
      <c r="A44" s="47" t="s">
        <v>28</v>
      </c>
      <c r="B44" s="48">
        <f>IF(942.92412="","-",942.92412)</f>
        <v>942.92412000000002</v>
      </c>
      <c r="C44" s="60">
        <f>IF(OR(992.08345="",942.92412=""),"-",942.92412/992.08345*100)</f>
        <v>95.044839221942468</v>
      </c>
      <c r="D44" s="48">
        <f>IF(992.08345="","-",992.08345/1361213.47779*100)</f>
        <v>7.2882282330226297E-2</v>
      </c>
      <c r="E44" s="48">
        <f>IF(942.92412="","-",942.92412/1170231.19764*100)</f>
        <v>8.0575882945318061E-2</v>
      </c>
      <c r="F44" s="48">
        <f>IF(OR(1314797.53704="",1188.36441="",992.08345=""),"-",(992.08345-1188.36441)/1314797.53704*100)</f>
        <v>-1.4928607216734426E-2</v>
      </c>
      <c r="G44" s="48">
        <f>IF(OR(1361213.47779="",942.92412="",992.08345=""),"-",(942.92412-992.08345)/1361213.47779*100)</f>
        <v>-3.6114342681805248E-3</v>
      </c>
    </row>
    <row r="45" spans="1:7" s="9" customFormat="1" x14ac:dyDescent="0.25">
      <c r="A45" s="47" t="s">
        <v>29</v>
      </c>
      <c r="B45" s="48">
        <f>IF(985.09798="","-",985.09798)</f>
        <v>985.09798000000001</v>
      </c>
      <c r="C45" s="60">
        <f>IF(OR(1305.22255="",985.09798=""),"-",985.09798/1305.22255*100)</f>
        <v>75.473564259213873</v>
      </c>
      <c r="D45" s="48">
        <f>IF(1305.22255="","-",1305.22255/1361213.47779*100)</f>
        <v>9.5886690169942779E-2</v>
      </c>
      <c r="E45" s="48">
        <f>IF(985.09798="","-",985.09798/1170231.19764*100)</f>
        <v>8.4179774217833431E-2</v>
      </c>
      <c r="F45" s="48">
        <f>IF(OR(1314797.53704="",1055.13644="",1305.22255=""),"-",(1305.22255-1055.13644)/1314797.53704*100)</f>
        <v>1.9020883668752386E-2</v>
      </c>
      <c r="G45" s="48">
        <f>IF(OR(1361213.47779="",985.09798="",1305.22255=""),"-",(985.09798-1305.22255)/1361213.47779*100)</f>
        <v>-2.3517587448497693E-2</v>
      </c>
    </row>
    <row r="46" spans="1:7" s="9" customFormat="1" x14ac:dyDescent="0.25">
      <c r="A46" s="47" t="s">
        <v>238</v>
      </c>
      <c r="B46" s="48">
        <f>IF(1135.73709="","-",1135.73709)</f>
        <v>1135.7370900000001</v>
      </c>
      <c r="C46" s="60">
        <f>IF(OR(1093.14877="",1135.73709=""),"-",1135.73709/1093.14877*100)</f>
        <v>103.895930834739</v>
      </c>
      <c r="D46" s="48">
        <f>IF(1093.14877="","-",1093.14877/1361213.47779*100)</f>
        <v>8.0306931119634758E-2</v>
      </c>
      <c r="E46" s="48">
        <f>IF(1135.73709="","-",1135.73709/1170231.19764*100)</f>
        <v>9.7052368138059897E-2</v>
      </c>
      <c r="F46" s="48">
        <f>IF(OR(1314797.53704="",1465.78427="",1093.14877=""),"-",(1093.14877-1465.78427)/1314797.53704*100)</f>
        <v>-2.8341663982647348E-2</v>
      </c>
      <c r="G46" s="48">
        <f>IF(OR(1361213.47779="",1135.73709="",1093.14877=""),"-",(1135.73709-1093.14877)/1361213.47779*100)</f>
        <v>3.1287024919224569E-3</v>
      </c>
    </row>
    <row r="47" spans="1:7" ht="25.5" x14ac:dyDescent="0.25">
      <c r="A47" s="55" t="s">
        <v>303</v>
      </c>
      <c r="B47" s="46">
        <f>IF(74743.37886="","-",74743.37886)</f>
        <v>74743.378859999997</v>
      </c>
      <c r="C47" s="59">
        <f>IF(85942.00854="","-",74743.37886/85942.00854*100)</f>
        <v>86.969550898047927</v>
      </c>
      <c r="D47" s="46">
        <f>IF(85942.00854="","-",85942.00854/1361213.47779*100)</f>
        <v>6.313631913161136</v>
      </c>
      <c r="E47" s="46">
        <f>IF(74743.37886="","-",74743.37886/1170231.19764*100)</f>
        <v>6.3870608654712546</v>
      </c>
      <c r="F47" s="46">
        <f>IF(1314797.53704="","-",(85942.00854-89917.96545)/1314797.53704*100)</f>
        <v>-0.3024006965324158</v>
      </c>
      <c r="G47" s="46">
        <f>IF(1361213.47779="","-",(74743.37886-85942.00854)/1361213.47779*100)</f>
        <v>-0.82269459292906422</v>
      </c>
    </row>
    <row r="48" spans="1:7" x14ac:dyDescent="0.25">
      <c r="A48" s="47" t="s">
        <v>239</v>
      </c>
      <c r="B48" s="48">
        <f>IF(289.52254="","-",289.52254)</f>
        <v>289.52253999999999</v>
      </c>
      <c r="C48" s="60" t="s">
        <v>108</v>
      </c>
      <c r="D48" s="48">
        <f>IF(152.74604="","-",152.74604/1361213.47779*100)</f>
        <v>1.1221314106292206E-2</v>
      </c>
      <c r="E48" s="48">
        <f>IF(289.52254="","-",289.52254/1170231.19764*100)</f>
        <v>2.4740627372085006E-2</v>
      </c>
      <c r="F48" s="48">
        <f>IF(OR(1314797.53704="",841.71588="",152.74604=""),"-",(152.74604-841.71588)/1314797.53704*100)</f>
        <v>-5.2401211638339065E-2</v>
      </c>
      <c r="G48" s="48">
        <f>IF(OR(1361213.47779="",289.52254="",152.74604=""),"-",(289.52254-152.74604)/1361213.47779*100)</f>
        <v>1.0048130012792974E-2</v>
      </c>
    </row>
    <row r="49" spans="1:7" ht="14.25" customHeight="1" x14ac:dyDescent="0.25">
      <c r="A49" s="47" t="s">
        <v>30</v>
      </c>
      <c r="B49" s="48">
        <f>IF(564.18634="","-",564.18634)</f>
        <v>564.18633999999997</v>
      </c>
      <c r="C49" s="60">
        <f>IF(OR(807.7325="",564.18634=""),"-",564.18634/807.7325*100)</f>
        <v>69.848166317438015</v>
      </c>
      <c r="D49" s="48">
        <f>IF(807.7325="","-",807.7325/1361213.47779*100)</f>
        <v>5.9339149455924813E-2</v>
      </c>
      <c r="E49" s="48">
        <f>IF(564.18634="","-",564.18634/1170231.19764*100)</f>
        <v>4.8211527870543197E-2</v>
      </c>
      <c r="F49" s="48">
        <f>IF(OR(1314797.53704="",755.39503="",807.7325=""),"-",(807.7325-755.39503)/1314797.53704*100)</f>
        <v>3.9806486189369605E-3</v>
      </c>
      <c r="G49" s="48">
        <f>IF(OR(1361213.47779="",564.18634="",807.7325=""),"-",(564.18634-807.7325)/1361213.47779*100)</f>
        <v>-1.7891841652597336E-2</v>
      </c>
    </row>
    <row r="50" spans="1:7" x14ac:dyDescent="0.25">
      <c r="A50" s="47" t="s">
        <v>240</v>
      </c>
      <c r="B50" s="48">
        <f>IF(8773.37642="","-",8773.37642)</f>
        <v>8773.3764200000005</v>
      </c>
      <c r="C50" s="60">
        <f>IF(OR(10317.08882="",8773.37642=""),"-",8773.37642/10317.08882*100)</f>
        <v>85.037325674588899</v>
      </c>
      <c r="D50" s="48">
        <f>IF(10317.08882="","-",10317.08882/1361213.47779*100)</f>
        <v>0.75793319625003464</v>
      </c>
      <c r="E50" s="48">
        <f>IF(8773.37642="","-",8773.37642/1170231.19764*100)</f>
        <v>0.74971308555892457</v>
      </c>
      <c r="F50" s="48">
        <f>IF(OR(1314797.53704="",7919.53844="",10317.08882=""),"-",(10317.08882-7919.53844)/1314797.53704*100)</f>
        <v>0.18235129839059472</v>
      </c>
      <c r="G50" s="48">
        <f>IF(OR(1361213.47779="",8773.37642="",10317.08882=""),"-",(8773.37642-10317.08882)/1361213.47779*100)</f>
        <v>-0.11340707575907175</v>
      </c>
    </row>
    <row r="51" spans="1:7" ht="25.5" x14ac:dyDescent="0.25">
      <c r="A51" s="47" t="s">
        <v>241</v>
      </c>
      <c r="B51" s="48">
        <f>IF(4202.72373="","-",4202.72373)</f>
        <v>4202.7237299999997</v>
      </c>
      <c r="C51" s="60">
        <f>IF(OR(5032.71606="",4202.72373=""),"-",4202.72373/5032.71606*100)</f>
        <v>83.508063635920678</v>
      </c>
      <c r="D51" s="48">
        <f>IF(5032.71606="","-",5032.71606/1361213.47779*100)</f>
        <v>0.36972276150033961</v>
      </c>
      <c r="E51" s="48">
        <f>IF(4202.72373="","-",4202.72373/1170231.19764*100)</f>
        <v>0.35913618936801667</v>
      </c>
      <c r="F51" s="48">
        <f>IF(OR(1314797.53704="",5216.61519="",5032.71606=""),"-",(5032.71606-5216.61519)/1314797.53704*100)</f>
        <v>-1.3986878193734091E-2</v>
      </c>
      <c r="G51" s="48">
        <f>IF(OR(1361213.47779="",4202.72373="",5032.71606=""),"-",(4202.72373-5032.71606)/1361213.47779*100)</f>
        <v>-6.0974442550152774E-2</v>
      </c>
    </row>
    <row r="52" spans="1:7" ht="25.5" x14ac:dyDescent="0.25">
      <c r="A52" s="47" t="s">
        <v>242</v>
      </c>
      <c r="B52" s="48">
        <f>IF(26507.42437="","-",26507.42437)</f>
        <v>26507.424370000001</v>
      </c>
      <c r="C52" s="60">
        <f>IF(OR(32240.79598="",26507.42437=""),"-",26507.42437/32240.79598*100)</f>
        <v>82.217028346457099</v>
      </c>
      <c r="D52" s="48">
        <f>IF(32240.79598="","-",32240.79598/1361213.47779*100)</f>
        <v>2.3685334083192147</v>
      </c>
      <c r="E52" s="48">
        <f>IF(26507.42437="","-",26507.42437/1170231.19764*100)</f>
        <v>2.26514422307809</v>
      </c>
      <c r="F52" s="48">
        <f>IF(OR(1314797.53704="",37445.88601="",32240.79598=""),"-",(32240.79598-37445.88601)/1314797.53704*100)</f>
        <v>-0.39588528905508957</v>
      </c>
      <c r="G52" s="48">
        <f>IF(OR(1361213.47779="",26507.42437="",32240.79598=""),"-",(26507.42437-32240.79598)/1361213.47779*100)</f>
        <v>-0.42119562460609938</v>
      </c>
    </row>
    <row r="53" spans="1:7" ht="15.75" customHeight="1" x14ac:dyDescent="0.25">
      <c r="A53" s="47" t="s">
        <v>31</v>
      </c>
      <c r="B53" s="48">
        <f>IF(21475.3951="","-",21475.3951)</f>
        <v>21475.395100000002</v>
      </c>
      <c r="C53" s="60">
        <f>IF(OR(24285.58868="",21475.3951=""),"-",21475.3951/24285.58868*100)</f>
        <v>88.428554823073782</v>
      </c>
      <c r="D53" s="48">
        <f>IF(24285.58868="","-",24285.58868/1361213.47779*100)</f>
        <v>1.7841131517026192</v>
      </c>
      <c r="E53" s="48">
        <f>IF(21475.3951="","-",21475.3951/1170231.19764*100)</f>
        <v>1.8351412219490759</v>
      </c>
      <c r="F53" s="48">
        <f>IF(OR(1314797.53704="",23276.22258="",24285.58868=""),"-",(24285.58868-23276.22258)/1314797.53704*100)</f>
        <v>7.6769698114310614E-2</v>
      </c>
      <c r="G53" s="48">
        <f>IF(OR(1361213.47779="",21475.3951="",24285.58868=""),"-",(21475.3951-24285.58868)/1361213.47779*100)</f>
        <v>-0.20644767524359903</v>
      </c>
    </row>
    <row r="54" spans="1:7" x14ac:dyDescent="0.25">
      <c r="A54" s="47" t="s">
        <v>243</v>
      </c>
      <c r="B54" s="48">
        <f>IF(758.02556="","-",758.02556)</f>
        <v>758.02556000000004</v>
      </c>
      <c r="C54" s="60">
        <f>IF(OR(1524.02893="",758.02556=""),"-",758.02556/1524.02893*100)</f>
        <v>49.738265795256268</v>
      </c>
      <c r="D54" s="48">
        <f>IF(1524.02893="","-",1524.02893/1361213.47779*100)</f>
        <v>0.11196105202207808</v>
      </c>
      <c r="E54" s="48">
        <f>IF(758.02556="","-",758.02556/1170231.19764*100)</f>
        <v>6.4775709409278001E-2</v>
      </c>
      <c r="F54" s="48">
        <f>IF(OR(1314797.53704="",1320.86015="",1524.02893=""),"-",(1524.02893-1320.86015)/1314797.53704*100)</f>
        <v>1.5452476467015086E-2</v>
      </c>
      <c r="G54" s="48">
        <f>IF(OR(1361213.47779="",758.02556="",1524.02893=""),"-",(758.02556-1524.02893)/1361213.47779*100)</f>
        <v>-5.6273566380171745E-2</v>
      </c>
    </row>
    <row r="55" spans="1:7" x14ac:dyDescent="0.25">
      <c r="A55" s="47" t="s">
        <v>32</v>
      </c>
      <c r="B55" s="48">
        <f>IF(859.53995="","-",859.53995)</f>
        <v>859.53994999999998</v>
      </c>
      <c r="C55" s="60" t="s">
        <v>20</v>
      </c>
      <c r="D55" s="48">
        <f>IF(424.21114="","-",424.21114/1361213.47779*100)</f>
        <v>3.1164188933004735E-2</v>
      </c>
      <c r="E55" s="48">
        <f>IF(859.53995="","-",859.53995/1170231.19764*100)</f>
        <v>7.3450438830671275E-2</v>
      </c>
      <c r="F55" s="48">
        <f>IF(OR(1314797.53704="",1050.10262="",424.21114=""),"-",(424.21114-1050.10262)/1314797.53704*100)</f>
        <v>-4.7603639523775471E-2</v>
      </c>
      <c r="G55" s="48">
        <f>IF(OR(1361213.47779="",859.53995="",424.21114=""),"-",(859.53995-424.21114)/1361213.47779*100)</f>
        <v>3.1980935915120287E-2</v>
      </c>
    </row>
    <row r="56" spans="1:7" x14ac:dyDescent="0.25">
      <c r="A56" s="47" t="s">
        <v>33</v>
      </c>
      <c r="B56" s="48">
        <f>IF(11313.18485="","-",11313.18485)</f>
        <v>11313.18485</v>
      </c>
      <c r="C56" s="60">
        <f>IF(OR(11157.10039="",11313.18485=""),"-",11313.18485/11157.10039*100)</f>
        <v>101.39896975507989</v>
      </c>
      <c r="D56" s="48">
        <f>IF(11157.10039="","-",11157.10039/1361213.47779*100)</f>
        <v>0.81964369087162769</v>
      </c>
      <c r="E56" s="48">
        <f>IF(11313.18485="","-",11313.18485/1170231.19764*100)</f>
        <v>0.96674784203456976</v>
      </c>
      <c r="F56" s="48">
        <f>IF(OR(1314797.53704="",12091.62955="",11157.10039=""),"-",(11157.10039-12091.62955)/1314797.53704*100)</f>
        <v>-7.1077799712334633E-2</v>
      </c>
      <c r="G56" s="48">
        <f>IF(OR(1361213.47779="",11313.18485="",11157.10039=""),"-",(11313.18485-11157.10039)/1361213.47779*100)</f>
        <v>1.1466567334714552E-2</v>
      </c>
    </row>
    <row r="57" spans="1:7" ht="15.75" customHeight="1" x14ac:dyDescent="0.25">
      <c r="A57" s="55" t="s">
        <v>244</v>
      </c>
      <c r="B57" s="46">
        <f>IF(238121.80966="","-",238121.80966)</f>
        <v>238121.80966</v>
      </c>
      <c r="C57" s="59">
        <f>IF(351481.51065="","-",238121.80966/351481.51065*100)</f>
        <v>67.748032953323147</v>
      </c>
      <c r="D57" s="46">
        <f>IF(351481.51065="","-",351481.51065/1361213.47779*100)</f>
        <v>25.821189430231644</v>
      </c>
      <c r="E57" s="46">
        <f>IF(238121.80966="","-",238121.80966/1170231.19764*100)</f>
        <v>20.348270507590229</v>
      </c>
      <c r="F57" s="46">
        <f>IF(1314797.53704="","-",(351481.51065-268893.05251)/1314797.53704*100)</f>
        <v>6.281458233176429</v>
      </c>
      <c r="G57" s="46">
        <f>IF(1361213.47779="","-",(238121.80966-351481.51065)/1361213.47779*100)</f>
        <v>-8.3278415060983164</v>
      </c>
    </row>
    <row r="58" spans="1:7" ht="25.5" x14ac:dyDescent="0.25">
      <c r="A58" s="47" t="s">
        <v>245</v>
      </c>
      <c r="B58" s="48">
        <f>IF(992.61701="","-",992.61701)</f>
        <v>992.61701000000005</v>
      </c>
      <c r="C58" s="60">
        <f>IF(OR(1751.23387="",992.61701=""),"-",992.61701/1751.23387*100)</f>
        <v>56.681008002660441</v>
      </c>
      <c r="D58" s="48">
        <f>IF(1751.23387="","-",1751.23387/1361213.47779*100)</f>
        <v>0.12865240453269816</v>
      </c>
      <c r="E58" s="48">
        <f>IF(992.61701="","-",992.61701/1170231.19764*100)</f>
        <v>8.4822299388514544E-2</v>
      </c>
      <c r="F58" s="48">
        <f>IF(OR(1314797.53704="",1676.74707="",1751.23387=""),"-",(1751.23387-1676.74707)/1314797.53704*100)</f>
        <v>5.6652676858288042E-3</v>
      </c>
      <c r="G58" s="48">
        <f>IF(OR(1361213.47779="",992.61701="",1751.23387=""),"-",(992.61701-1751.23387)/1361213.47779*100)</f>
        <v>-5.5730924823904439E-2</v>
      </c>
    </row>
    <row r="59" spans="1:7" ht="25.5" x14ac:dyDescent="0.25">
      <c r="A59" s="47" t="s">
        <v>246</v>
      </c>
      <c r="B59" s="48">
        <f>IF(5014.68934="","-",5014.68934)</f>
        <v>5014.6893399999999</v>
      </c>
      <c r="C59" s="60">
        <f>IF(OR(7192.72357="",5014.68934=""),"-",5014.68934/7192.72357*100)</f>
        <v>69.718922063342973</v>
      </c>
      <c r="D59" s="48">
        <f>IF(7192.72357="","-",7192.72357/1361213.47779*100)</f>
        <v>0.52840525658603943</v>
      </c>
      <c r="E59" s="48">
        <f>IF(5014.68934="","-",5014.68934/1170231.19764*100)</f>
        <v>0.42852124863130481</v>
      </c>
      <c r="F59" s="48">
        <f>IF(OR(1314797.53704="",6797.00762="",7192.72357=""),"-",(7192.72357-6797.00762)/1314797.53704*100)</f>
        <v>3.009710155761882E-2</v>
      </c>
      <c r="G59" s="48">
        <f>IF(OR(1361213.47779="",5014.68934="",7192.72357=""),"-",(5014.68934-7192.72357)/1361213.47779*100)</f>
        <v>-0.1600068075682112</v>
      </c>
    </row>
    <row r="60" spans="1:7" ht="25.5" x14ac:dyDescent="0.25">
      <c r="A60" s="47" t="s">
        <v>247</v>
      </c>
      <c r="B60" s="48">
        <f>IF(1627.78996="","-",1627.78996)</f>
        <v>1627.7899600000001</v>
      </c>
      <c r="C60" s="60">
        <f>IF(OR(1234.58458="",1627.78996=""),"-",1627.78996/1234.58458*100)</f>
        <v>131.84920550360351</v>
      </c>
      <c r="D60" s="48">
        <f>IF(1234.58458="","-",1234.58458/1361213.47779*100)</f>
        <v>9.0697352042415233E-2</v>
      </c>
      <c r="E60" s="48">
        <f>IF(1627.78996="","-",1627.78996/1170231.19764*100)</f>
        <v>0.13909986020563772</v>
      </c>
      <c r="F60" s="48">
        <f>IF(OR(1314797.53704="",1010.17242="",1234.58458=""),"-",(1234.58458-1010.17242)/1314797.53704*100)</f>
        <v>1.7068191389011757E-2</v>
      </c>
      <c r="G60" s="48">
        <f>IF(OR(1361213.47779="",1627.78996="",1234.58458=""),"-",(1627.78996-1234.58458)/1361213.47779*100)</f>
        <v>2.8886386038315549E-2</v>
      </c>
    </row>
    <row r="61" spans="1:7" ht="38.25" x14ac:dyDescent="0.25">
      <c r="A61" s="47" t="s">
        <v>248</v>
      </c>
      <c r="B61" s="48">
        <f>IF(9647.89568="","-",9647.89568)</f>
        <v>9647.8956799999996</v>
      </c>
      <c r="C61" s="60">
        <f>IF(OR(11717.32808="",9647.89568=""),"-",9647.89568/11717.32808*100)</f>
        <v>82.338700547847083</v>
      </c>
      <c r="D61" s="48">
        <f>IF(11717.32808="","-",11717.32808/1361213.47779*100)</f>
        <v>0.86080018095498756</v>
      </c>
      <c r="E61" s="48">
        <f>IF(9647.89568="","-",9647.89568/1170231.19764*100)</f>
        <v>0.82444355435548711</v>
      </c>
      <c r="F61" s="48">
        <f>IF(OR(1314797.53704="",9863.35525="",11717.32808=""),"-",(11717.32808-9863.35525)/1314797.53704*100)</f>
        <v>0.14100823722060224</v>
      </c>
      <c r="G61" s="48">
        <f>IF(OR(1361213.47779="",9647.89568="",11717.32808=""),"-",(9647.89568-11717.32808)/1361213.47779*100)</f>
        <v>-0.15202849764313453</v>
      </c>
    </row>
    <row r="62" spans="1:7" ht="25.5" x14ac:dyDescent="0.25">
      <c r="A62" s="47" t="s">
        <v>249</v>
      </c>
      <c r="B62" s="48">
        <f>IF(648.1541="","-",648.1541)</f>
        <v>648.15409999999997</v>
      </c>
      <c r="C62" s="60" t="s">
        <v>130</v>
      </c>
      <c r="D62" s="48">
        <f>IF(431.37624="","-",431.37624/1361213.47779*100)</f>
        <v>3.1690564855437774E-2</v>
      </c>
      <c r="E62" s="48">
        <f>IF(648.1541="","-",648.1541/1170231.19764*100)</f>
        <v>5.5386841617889648E-2</v>
      </c>
      <c r="F62" s="48">
        <f>IF(OR(1314797.53704="",596.52144="",431.37624=""),"-",(431.37624-596.52144)/1314797.53704*100)</f>
        <v>-1.2560504210541107E-2</v>
      </c>
      <c r="G62" s="48">
        <f>IF(OR(1361213.47779="",648.1541="",431.37624=""),"-",(648.1541-431.37624)/1361213.47779*100)</f>
        <v>1.5925338937427359E-2</v>
      </c>
    </row>
    <row r="63" spans="1:7" ht="38.25" x14ac:dyDescent="0.25">
      <c r="A63" s="47" t="s">
        <v>250</v>
      </c>
      <c r="B63" s="48">
        <f>IF(1269.09529="","-",1269.09529)</f>
        <v>1269.09529</v>
      </c>
      <c r="C63" s="60">
        <f>IF(OR(1682.54867="",1269.09529=""),"-",1269.09529/1682.54867*100)</f>
        <v>75.426958674544622</v>
      </c>
      <c r="D63" s="48">
        <f>IF(1682.54867="","-",1682.54867/1361213.47779*100)</f>
        <v>0.12360652443228112</v>
      </c>
      <c r="E63" s="48">
        <f>IF(1269.09529="","-",1269.09529/1170231.19764*100)</f>
        <v>0.10844825300841225</v>
      </c>
      <c r="F63" s="48">
        <f>IF(OR(1314797.53704="",2263.49518="",1682.54867=""),"-",(1682.54867-2263.49518)/1314797.53704*100)</f>
        <v>-4.418524477220144E-2</v>
      </c>
      <c r="G63" s="48">
        <f>IF(OR(1361213.47779="",1269.09529="",1682.54867=""),"-",(1269.09529-1682.54867)/1361213.47779*100)</f>
        <v>-3.0373882329703547E-2</v>
      </c>
    </row>
    <row r="64" spans="1:7" ht="51" x14ac:dyDescent="0.25">
      <c r="A64" s="47" t="s">
        <v>251</v>
      </c>
      <c r="B64" s="48">
        <f>IF(207617.54988="","-",207617.54988)</f>
        <v>207617.54988000001</v>
      </c>
      <c r="C64" s="60">
        <f>IF(OR(311528.87915="",207617.54988=""),"-",207617.54988/311528.87915*100)</f>
        <v>66.64472020907985</v>
      </c>
      <c r="D64" s="48">
        <f>IF(311528.87915="","-",311528.87915/1361213.47779*100)</f>
        <v>22.886114796320058</v>
      </c>
      <c r="E64" s="48">
        <f>IF(207617.54988="","-",207617.54988/1170231.19764*100)</f>
        <v>17.741583910829021</v>
      </c>
      <c r="F64" s="48">
        <f>IF(OR(1314797.53704="",236879.56061="",311528.87915=""),"-",(311528.87915-236879.56061)/1314797.53704*100)</f>
        <v>5.677628413273256</v>
      </c>
      <c r="G64" s="48">
        <f>IF(OR(1361213.47779="",207617.54988="",311528.87915=""),"-",(207617.54988-311528.87915)/1361213.47779*100)</f>
        <v>-7.633727623583729</v>
      </c>
    </row>
    <row r="65" spans="1:7" ht="25.5" x14ac:dyDescent="0.25">
      <c r="A65" s="47" t="s">
        <v>252</v>
      </c>
      <c r="B65" s="48">
        <f>IF(11043.53316="","-",11043.53316)</f>
        <v>11043.533160000001</v>
      </c>
      <c r="C65" s="60">
        <f>IF(OR(13179.76632="",11043.53316=""),"-",11043.53316/13179.76632*100)</f>
        <v>83.791570289388858</v>
      </c>
      <c r="D65" s="48">
        <f>IF(13179.76632="","-",13179.76632/1361213.47779*100)</f>
        <v>0.96823654298501571</v>
      </c>
      <c r="E65" s="48">
        <f>IF(11043.53316="","-",11043.53316/1170231.19764*100)</f>
        <v>0.94370524237188735</v>
      </c>
      <c r="F65" s="48">
        <f>IF(OR(1314797.53704="",9635.30544="",13179.76632=""),"-",(13179.76632-9635.30544)/1314797.53704*100)</f>
        <v>0.26958225735497154</v>
      </c>
      <c r="G65" s="48">
        <f>IF(OR(1361213.47779="",11043.53316="",13179.76632=""),"-",(11043.53316-13179.76632)/1361213.47779*100)</f>
        <v>-0.15693593950217744</v>
      </c>
    </row>
    <row r="66" spans="1:7" x14ac:dyDescent="0.25">
      <c r="A66" s="47" t="s">
        <v>34</v>
      </c>
      <c r="B66" s="48">
        <f>IF(260.48524="","-",260.48524)</f>
        <v>260.48523999999998</v>
      </c>
      <c r="C66" s="60">
        <f>IF(OR(2763.07017="",260.48524=""),"-",260.48524/2763.07017*100)</f>
        <v>9.4273841767833204</v>
      </c>
      <c r="D66" s="48">
        <f>IF(2763.07017="","-",2763.07017/1361213.47779*100)</f>
        <v>0.20298580752271031</v>
      </c>
      <c r="E66" s="48">
        <f>IF(260.48524="","-",260.48524/1170231.19764*100)</f>
        <v>2.2259297182071321E-2</v>
      </c>
      <c r="F66" s="48">
        <f>IF(OR(1314797.53704="",170.88748="",2763.07017=""),"-",(2763.07017-170.88748)/1314797.53704*100)</f>
        <v>0.19715451367788334</v>
      </c>
      <c r="G66" s="48">
        <f>IF(OR(1361213.47779="",260.48524="",2763.07017=""),"-",(260.48524-2763.07017)/1361213.47779*100)</f>
        <v>-0.18384955562319844</v>
      </c>
    </row>
    <row r="67" spans="1:7" x14ac:dyDescent="0.25">
      <c r="A67" s="55" t="s">
        <v>35</v>
      </c>
      <c r="B67" s="46">
        <f>IF(222331.54284="","-",222331.54284)</f>
        <v>222331.54284000001</v>
      </c>
      <c r="C67" s="59">
        <f>IF(286001.69403="","-",222331.54284/286001.69403*100)</f>
        <v>77.7378412369399</v>
      </c>
      <c r="D67" s="46">
        <f>IF(286001.69403="","-",286001.69403/1361213.47779*100)</f>
        <v>21.010789174254906</v>
      </c>
      <c r="E67" s="46">
        <f>IF(222331.54284="","-",222331.54284/1170231.19764*100)</f>
        <v>18.998941686768823</v>
      </c>
      <c r="F67" s="46">
        <f>IF(1314797.53704="","-",(286001.69403-311568.05834)/1314797.53704*100)</f>
        <v>-1.9445095986076653</v>
      </c>
      <c r="G67" s="46">
        <f>IF(1361213.47779="","-",(222331.54284-286001.69403)/1361213.47779*100)</f>
        <v>-4.6774552433444727</v>
      </c>
    </row>
    <row r="68" spans="1:7" ht="38.25" x14ac:dyDescent="0.25">
      <c r="A68" s="47" t="s">
        <v>253</v>
      </c>
      <c r="B68" s="48">
        <f>IF(5390.95211="","-",5390.95211)</f>
        <v>5390.9521100000002</v>
      </c>
      <c r="C68" s="60">
        <f>IF(OR(4085.5266="",5390.95211=""),"-",5390.95211/4085.5266*100)</f>
        <v>131.95244182230999</v>
      </c>
      <c r="D68" s="48">
        <f>IF(4085.5266="","-",4085.5266/1361213.47779*100)</f>
        <v>0.30013856508628339</v>
      </c>
      <c r="E68" s="48">
        <f>IF(5390.95211="","-",5390.95211/1170231.19764*100)</f>
        <v>0.46067410618277055</v>
      </c>
      <c r="F68" s="48">
        <f>IF(OR(1314797.53704="",3803.13252="",4085.5266=""),"-",(4085.5266-3803.13252)/1314797.53704*100)</f>
        <v>2.1478141846519808E-2</v>
      </c>
      <c r="G68" s="48">
        <f>IF(OR(1361213.47779="",5390.95211="",4085.5266=""),"-",(5390.95211-4085.5266)/1361213.47779*100)</f>
        <v>9.5901600395510739E-2</v>
      </c>
    </row>
    <row r="69" spans="1:7" x14ac:dyDescent="0.25">
      <c r="A69" s="47" t="s">
        <v>254</v>
      </c>
      <c r="B69" s="48">
        <f>IF(53495.3929="","-",53495.3929)</f>
        <v>53495.392899999999</v>
      </c>
      <c r="C69" s="60">
        <f>IF(OR(72036.48428="",53495.3929=""),"-",53495.3929/72036.48428*100)</f>
        <v>74.261526551001182</v>
      </c>
      <c r="D69" s="48">
        <f>IF(72036.48428="","-",72036.48428/1361213.47779*100)</f>
        <v>5.2920783885386546</v>
      </c>
      <c r="E69" s="48">
        <f>IF(53495.3929="","-",53495.3929/1170231.19764*100)</f>
        <v>4.5713524821320712</v>
      </c>
      <c r="F69" s="48">
        <f>IF(OR(1314797.53704="",80120.89212="",72036.48428=""),"-",(72036.48428-80120.89212)/1314797.53704*100)</f>
        <v>-0.61487853545880566</v>
      </c>
      <c r="G69" s="48">
        <f>IF(OR(1361213.47779="",53495.3929="",72036.48428=""),"-",(53495.3929-72036.48428)/1361213.47779*100)</f>
        <v>-1.3621001909342259</v>
      </c>
    </row>
    <row r="70" spans="1:7" x14ac:dyDescent="0.25">
      <c r="A70" s="47" t="s">
        <v>255</v>
      </c>
      <c r="B70" s="48">
        <f>IF(6221.75319="","-",6221.75319)</f>
        <v>6221.7531900000004</v>
      </c>
      <c r="C70" s="60">
        <f>IF(OR(6628.61516="",6221.75319=""),"-",6221.75319/6628.61516*100)</f>
        <v>93.862036636925538</v>
      </c>
      <c r="D70" s="48">
        <f>IF(6628.61516="","-",6628.61516/1361213.47779*100)</f>
        <v>0.48696367382153005</v>
      </c>
      <c r="E70" s="48">
        <f>IF(6221.75319="","-",6221.75319/1170231.19764*100)</f>
        <v>0.53166871662175674</v>
      </c>
      <c r="F70" s="48">
        <f>IF(OR(1314797.53704="",9131.8907="",6628.61516=""),"-",(6628.61516-9131.8907)/1314797.53704*100)</f>
        <v>-0.19039247256544278</v>
      </c>
      <c r="G70" s="48">
        <f>IF(OR(1361213.47779="",6221.75319="",6628.61516=""),"-",(6221.75319-6628.61516)/1361213.47779*100)</f>
        <v>-2.9889651890646959E-2</v>
      </c>
    </row>
    <row r="71" spans="1:7" x14ac:dyDescent="0.25">
      <c r="A71" s="47" t="s">
        <v>256</v>
      </c>
      <c r="B71" s="48">
        <f>IF(105198.43741="","-",105198.43741)</f>
        <v>105198.43741</v>
      </c>
      <c r="C71" s="60">
        <f>IF(OR(141734.99003="",105198.43741=""),"-",105198.43741/141734.99003*100)</f>
        <v>74.221924584559844</v>
      </c>
      <c r="D71" s="48">
        <f>IF(141734.99003="","-",141734.99003/1361213.47779*100)</f>
        <v>10.412399843418685</v>
      </c>
      <c r="E71" s="48">
        <f>IF(105198.43741="","-",105198.43741/1170231.19764*100)</f>
        <v>8.989543059709332</v>
      </c>
      <c r="F71" s="48">
        <f>IF(OR(1314797.53704="",157962.12207="",141734.99003=""),"-",(141734.99003-157962.12207)/1314797.53704*100)</f>
        <v>-1.2341924579910699</v>
      </c>
      <c r="G71" s="48">
        <f>IF(OR(1361213.47779="",105198.43741="",141734.99003=""),"-",(105198.43741-141734.99003)/1361213.47779*100)</f>
        <v>-2.6841162841936419</v>
      </c>
    </row>
    <row r="72" spans="1:7" x14ac:dyDescent="0.25">
      <c r="A72" s="47" t="s">
        <v>257</v>
      </c>
      <c r="B72" s="48">
        <f>IF(14850.0623="","-",14850.0623)</f>
        <v>14850.0623</v>
      </c>
      <c r="C72" s="60">
        <f>IF(OR(17149.31854="",14850.0623=""),"-",14850.0623/17149.31854*100)</f>
        <v>86.59272533402951</v>
      </c>
      <c r="D72" s="48">
        <f>IF(17149.31854="","-",17149.31854/1361213.47779*100)</f>
        <v>1.259855182145478</v>
      </c>
      <c r="E72" s="48">
        <f>IF(14850.0623="","-",14850.0623/1170231.19764*100)</f>
        <v>1.2689853363974619</v>
      </c>
      <c r="F72" s="48">
        <f>IF(OR(1314797.53704="",18720.73938="",17149.31854=""),"-",(17149.31854-18720.73938)/1314797.53704*100)</f>
        <v>-0.11951808515992006</v>
      </c>
      <c r="G72" s="48">
        <f>IF(OR(1361213.47779="",14850.0623="",17149.31854=""),"-",(14850.0623-17149.31854)/1361213.47779*100)</f>
        <v>-0.16891224466370708</v>
      </c>
    </row>
    <row r="73" spans="1:7" ht="25.5" x14ac:dyDescent="0.25">
      <c r="A73" s="47" t="s">
        <v>258</v>
      </c>
      <c r="B73" s="48">
        <f>IF(8879.39213="","-",8879.39213)</f>
        <v>8879.3921300000002</v>
      </c>
      <c r="C73" s="60">
        <f>IF(OR(10607.87641="",8879.39213=""),"-",8879.39213/10607.87641*100)</f>
        <v>83.705652166435812</v>
      </c>
      <c r="D73" s="48">
        <f>IF(10607.87641="","-",10607.87641/1361213.47779*100)</f>
        <v>0.77929557582859332</v>
      </c>
      <c r="E73" s="48">
        <f>IF(8879.39213="","-",8879.39213/1170231.19764*100)</f>
        <v>0.75877246717631786</v>
      </c>
      <c r="F73" s="48">
        <f>IF(OR(1314797.53704="",13343.61818="",10607.87641=""),"-",(10607.87641-13343.61818)/1314797.53704*100)</f>
        <v>-0.20807323507457781</v>
      </c>
      <c r="G73" s="48">
        <f>IF(OR(1361213.47779="",8879.39213="",10607.87641=""),"-",(8879.39213-10607.87641)/1361213.47779*100)</f>
        <v>-0.12698113177708786</v>
      </c>
    </row>
    <row r="74" spans="1:7" ht="25.5" x14ac:dyDescent="0.25">
      <c r="A74" s="47" t="s">
        <v>259</v>
      </c>
      <c r="B74" s="48">
        <f>IF(1483.85991="","-",1483.85991)</f>
        <v>1483.8599099999999</v>
      </c>
      <c r="C74" s="60">
        <f>IF(OR(1871.52418="",1483.85991=""),"-",1483.85991/1871.52418*100)</f>
        <v>79.286173582860144</v>
      </c>
      <c r="D74" s="48">
        <f>IF(1871.52418="","-",1871.52418/1361213.47779*100)</f>
        <v>0.13748939534734225</v>
      </c>
      <c r="E74" s="48">
        <f>IF(1483.85991="","-",1483.85991/1170231.19764*100)</f>
        <v>0.12680057692808852</v>
      </c>
      <c r="F74" s="48">
        <f>IF(OR(1314797.53704="",1742.30126="",1871.52418=""),"-",(1871.52418-1742.30126)/1314797.53704*100)</f>
        <v>9.8283512373257952E-3</v>
      </c>
      <c r="G74" s="48">
        <f>IF(OR(1361213.47779="",1483.85991="",1871.52418=""),"-",(1483.85991-1871.52418)/1361213.47779*100)</f>
        <v>-2.8479314694223629E-2</v>
      </c>
    </row>
    <row r="75" spans="1:7" x14ac:dyDescent="0.25">
      <c r="A75" s="50" t="s">
        <v>36</v>
      </c>
      <c r="B75" s="48">
        <f>IF(26811.69289="","-",26811.69289)</f>
        <v>26811.692889999998</v>
      </c>
      <c r="C75" s="60">
        <f>IF(OR(31887.35883="",26811.69289=""),"-",26811.69289/31887.35883*100)</f>
        <v>84.082513804107364</v>
      </c>
      <c r="D75" s="48">
        <f>IF(31887.35883="","-",31887.35883/1361213.47779*100)</f>
        <v>2.342568550068338</v>
      </c>
      <c r="E75" s="48">
        <f>IF(26811.69289="","-",26811.69289/1170231.19764*100)</f>
        <v>2.2911449416210252</v>
      </c>
      <c r="F75" s="48">
        <f>IF(OR(1314797.53704="",26743.36211="",31887.35883=""),"-",(31887.35883-26743.36211)/1314797.53704*100)</f>
        <v>0.39123869455830196</v>
      </c>
      <c r="G75" s="48">
        <f>IF(OR(1361213.47779="",26811.69289="",31887.35883=""),"-",(26811.69289-31887.35883)/1361213.47779*100)</f>
        <v>-0.37287802558645006</v>
      </c>
    </row>
    <row r="76" spans="1:7" ht="25.5" x14ac:dyDescent="0.25">
      <c r="A76" s="56" t="s">
        <v>260</v>
      </c>
      <c r="B76" s="57">
        <f>IF(187.21487="","-",187.21487)</f>
        <v>187.21486999999999</v>
      </c>
      <c r="C76" s="61">
        <f>IF(462.98741="","-",187.21487/462.98741*100)</f>
        <v>40.436276658149296</v>
      </c>
      <c r="D76" s="57">
        <f>IF(462.98741="","-",462.98741/1361213.47779*100)</f>
        <v>3.4012843507227379E-2</v>
      </c>
      <c r="E76" s="57">
        <f>IF(187.21487="","-",187.21487/1170231.19764*100)</f>
        <v>1.5998109636587658E-2</v>
      </c>
      <c r="F76" s="57">
        <f>IF(1314797.53704="","-",(462.98741-597.93267)/1314797.53704*100)</f>
        <v>-1.0263577181913643E-2</v>
      </c>
      <c r="G76" s="57">
        <f>IF(1361213.47779="","-",(187.21487-462.98741)/1361213.47779*100)</f>
        <v>-2.0259316007341547E-2</v>
      </c>
    </row>
    <row r="77" spans="1:7" x14ac:dyDescent="0.25">
      <c r="A77" s="26" t="s">
        <v>21</v>
      </c>
    </row>
  </sheetData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81"/>
  <sheetViews>
    <sheetView zoomScaleNormal="100" workbookViewId="0">
      <selection activeCell="B47" sqref="B47"/>
    </sheetView>
  </sheetViews>
  <sheetFormatPr defaultRowHeight="15.75" x14ac:dyDescent="0.25"/>
  <cols>
    <col min="1" max="1" width="27.625" customWidth="1"/>
    <col min="2" max="2" width="12.375" customWidth="1"/>
    <col min="3" max="3" width="10.875" customWidth="1"/>
    <col min="4" max="4" width="8" customWidth="1"/>
    <col min="5" max="5" width="8.125" customWidth="1"/>
    <col min="6" max="6" width="9.5" customWidth="1"/>
    <col min="7" max="7" width="9.75" customWidth="1"/>
  </cols>
  <sheetData>
    <row r="1" spans="1:7" x14ac:dyDescent="0.25">
      <c r="A1" s="95" t="s">
        <v>168</v>
      </c>
      <c r="B1" s="95"/>
      <c r="C1" s="95"/>
      <c r="D1" s="95"/>
      <c r="E1" s="95"/>
      <c r="F1" s="95"/>
      <c r="G1" s="95"/>
    </row>
    <row r="2" spans="1:7" x14ac:dyDescent="0.25">
      <c r="A2" s="95" t="s">
        <v>23</v>
      </c>
      <c r="B2" s="95"/>
      <c r="C2" s="95"/>
      <c r="D2" s="95"/>
      <c r="E2" s="95"/>
      <c r="F2" s="95"/>
      <c r="G2" s="95"/>
    </row>
    <row r="3" spans="1:7" x14ac:dyDescent="0.25">
      <c r="A3" s="5"/>
    </row>
    <row r="4" spans="1:7" ht="57" customHeight="1" x14ac:dyDescent="0.25">
      <c r="A4" s="103"/>
      <c r="B4" s="106" t="s">
        <v>282</v>
      </c>
      <c r="C4" s="101"/>
      <c r="D4" s="106" t="s">
        <v>0</v>
      </c>
      <c r="E4" s="101"/>
      <c r="F4" s="98" t="s">
        <v>122</v>
      </c>
      <c r="G4" s="107"/>
    </row>
    <row r="5" spans="1:7" ht="19.5" customHeight="1" x14ac:dyDescent="0.25">
      <c r="A5" s="104"/>
      <c r="B5" s="108" t="s">
        <v>113</v>
      </c>
      <c r="C5" s="96" t="s">
        <v>287</v>
      </c>
      <c r="D5" s="110" t="s">
        <v>284</v>
      </c>
      <c r="E5" s="110"/>
      <c r="F5" s="110" t="s">
        <v>284</v>
      </c>
      <c r="G5" s="106"/>
    </row>
    <row r="6" spans="1:7" ht="26.25" customHeight="1" x14ac:dyDescent="0.25">
      <c r="A6" s="105"/>
      <c r="B6" s="109"/>
      <c r="C6" s="97"/>
      <c r="D6" s="24">
        <v>2019</v>
      </c>
      <c r="E6" s="24">
        <v>2020</v>
      </c>
      <c r="F6" s="24" t="s">
        <v>124</v>
      </c>
      <c r="G6" s="20" t="s">
        <v>144</v>
      </c>
    </row>
    <row r="7" spans="1:7" x14ac:dyDescent="0.25">
      <c r="A7" s="49" t="s">
        <v>135</v>
      </c>
      <c r="B7" s="45">
        <f>IF(2393202.72267="","-",2393202.72267)</f>
        <v>2393202.72267</v>
      </c>
      <c r="C7" s="58">
        <f>IF(2808282.38613="","-",2393202.72267/2808282.38613*100)</f>
        <v>85.219447107240271</v>
      </c>
      <c r="D7" s="45">
        <v>100</v>
      </c>
      <c r="E7" s="45">
        <v>100</v>
      </c>
      <c r="F7" s="45">
        <f>IF(2734888.97913="","-",(2808282.38613-2734888.97913)/2734888.97913*100)</f>
        <v>2.6835973072423371</v>
      </c>
      <c r="G7" s="45">
        <f>IF(2808282.38613="","-",(2393202.72267-2808282.38613)/2808282.38613*100)</f>
        <v>-14.78055289275974</v>
      </c>
    </row>
    <row r="8" spans="1:7" ht="12" customHeight="1" x14ac:dyDescent="0.25">
      <c r="A8" s="36" t="s">
        <v>141</v>
      </c>
      <c r="B8" s="34"/>
      <c r="C8" s="44"/>
      <c r="D8" s="34"/>
      <c r="E8" s="34"/>
      <c r="F8" s="34"/>
      <c r="G8" s="34"/>
    </row>
    <row r="9" spans="1:7" x14ac:dyDescent="0.25">
      <c r="A9" s="55" t="s">
        <v>261</v>
      </c>
      <c r="B9" s="46">
        <f>IF(316959.25963="","-",316959.25963)</f>
        <v>316959.25962999999</v>
      </c>
      <c r="C9" s="59">
        <f>IF(299188.57464="","-",316959.25963/299188.57464*100)</f>
        <v>105.93962687625442</v>
      </c>
      <c r="D9" s="46">
        <f>IF(299188.57464="","-",299188.57464/2808282.38613*100)</f>
        <v>10.653792372080565</v>
      </c>
      <c r="E9" s="46">
        <f>IF(316959.25963="","-",316959.25963/2393202.72267*100)</f>
        <v>13.244145873124417</v>
      </c>
      <c r="F9" s="46">
        <f>IF(2734888.97913="","-",(299188.57464-283898.46451)/2734888.97913*100)</f>
        <v>0.55907608121130936</v>
      </c>
      <c r="G9" s="46">
        <f>IF(2808282.38613="","-",(316959.25963-299188.57464)/2808282.38613*100)</f>
        <v>0.63279551507244136</v>
      </c>
    </row>
    <row r="10" spans="1:7" ht="14.25" customHeight="1" x14ac:dyDescent="0.25">
      <c r="A10" s="47" t="s">
        <v>24</v>
      </c>
      <c r="B10" s="48">
        <f>IF(3639.08919="","-",3639.08919)</f>
        <v>3639.0891900000001</v>
      </c>
      <c r="C10" s="60">
        <f>IF(OR(2451.59084="",3639.08919=""),"-",3639.08919/2451.59084*100)</f>
        <v>148.43786861269231</v>
      </c>
      <c r="D10" s="48">
        <f>IF(2451.59084="","-",2451.59084/2808282.38613*100)</f>
        <v>8.7298586926596616E-2</v>
      </c>
      <c r="E10" s="48">
        <f>IF(3639.08919="","-",3639.08919/2393202.72267*100)</f>
        <v>0.15205937865305511</v>
      </c>
      <c r="F10" s="48">
        <f>IF(OR(2734888.97913="",2611.41634="",2451.59084=""),"-",(2451.59084-2611.41634)/2734888.97913*100)</f>
        <v>-5.8439483730283901E-3</v>
      </c>
      <c r="G10" s="48">
        <f>IF(OR(2808282.38613="",3639.08919="",2451.59084=""),"-",(3639.08919-2451.59084)/2808282.38613*100)</f>
        <v>4.2285574836241881E-2</v>
      </c>
    </row>
    <row r="11" spans="1:7" s="9" customFormat="1" x14ac:dyDescent="0.25">
      <c r="A11" s="47" t="s">
        <v>262</v>
      </c>
      <c r="B11" s="48">
        <f>IF(17837.44954="","-",17837.44954)</f>
        <v>17837.449540000001</v>
      </c>
      <c r="C11" s="60">
        <f>IF(OR(22339.37461="",17837.44954=""),"-",17837.44954/22339.37461*100)</f>
        <v>79.847577881680024</v>
      </c>
      <c r="D11" s="48">
        <f>IF(22339.37461="","-",22339.37461/2808282.38613*100)</f>
        <v>0.79548177634604422</v>
      </c>
      <c r="E11" s="48">
        <f>IF(17837.44954="","-",17837.44954/2393202.72267*100)</f>
        <v>0.74533800964840435</v>
      </c>
      <c r="F11" s="48">
        <f>IF(OR(2734888.97913="",19712.13569="",22339.37461=""),"-",(22339.37461-19712.13569)/2734888.97913*100)</f>
        <v>9.6063823432999296E-2</v>
      </c>
      <c r="G11" s="48">
        <f>IF(OR(2808282.38613="",17837.44954="",22339.37461=""),"-",(17837.44954-22339.37461)/2808282.38613*100)</f>
        <v>-0.16030884544356488</v>
      </c>
    </row>
    <row r="12" spans="1:7" s="9" customFormat="1" x14ac:dyDescent="0.25">
      <c r="A12" s="47" t="s">
        <v>263</v>
      </c>
      <c r="B12" s="48">
        <f>IF(39418.26196="","-",39418.26196)</f>
        <v>39418.261960000003</v>
      </c>
      <c r="C12" s="60">
        <f>IF(OR(29826.89672="",39418.26196=""),"-",39418.26196/29826.89672*100)</f>
        <v>132.15676551952066</v>
      </c>
      <c r="D12" s="48">
        <f>IF(29826.89672="","-",29826.89672/2808282.38613*100)</f>
        <v>1.0621046112497059</v>
      </c>
      <c r="E12" s="48">
        <f>IF(39418.26196="","-",39418.26196/2393202.72267*100)</f>
        <v>1.6470924751423748</v>
      </c>
      <c r="F12" s="48">
        <f>IF(OR(2734888.97913="",27713.28991="",29826.89672=""),"-",(29826.89672-27713.28991)/2734888.97913*100)</f>
        <v>7.7283093614731083E-2</v>
      </c>
      <c r="G12" s="48">
        <f>IF(OR(2808282.38613="",39418.26196="",29826.89672=""),"-",(39418.26196-29826.89672)/2808282.38613*100)</f>
        <v>0.34153848941158454</v>
      </c>
    </row>
    <row r="13" spans="1:7" s="9" customFormat="1" x14ac:dyDescent="0.25">
      <c r="A13" s="47" t="s">
        <v>264</v>
      </c>
      <c r="B13" s="48">
        <f>IF(25681.22954="","-",25681.22954)</f>
        <v>25681.22954</v>
      </c>
      <c r="C13" s="60">
        <f>IF(OR(25421.80047="",25681.22954=""),"-",25681.22954/25421.80047*100)</f>
        <v>101.02049841161389</v>
      </c>
      <c r="D13" s="48">
        <f>IF(25421.80047="","-",25421.80047/2808282.38613*100)</f>
        <v>0.90524373886177922</v>
      </c>
      <c r="E13" s="48">
        <f>IF(25681.22954="","-",25681.22954/2393202.72267*100)</f>
        <v>1.0730904363734171</v>
      </c>
      <c r="F13" s="48">
        <f>IF(OR(2734888.97913="",23753.60787="",25421.80047=""),"-",(25421.80047-23753.60787)/2734888.97913*100)</f>
        <v>6.0996720990505071E-2</v>
      </c>
      <c r="G13" s="48">
        <f>IF(OR(2808282.38613="",25681.22954="",25421.80047=""),"-",(25681.22954-25421.80047)/2808282.38613*100)</f>
        <v>9.2379979763186296E-3</v>
      </c>
    </row>
    <row r="14" spans="1:7" s="9" customFormat="1" x14ac:dyDescent="0.25">
      <c r="A14" s="47" t="s">
        <v>265</v>
      </c>
      <c r="B14" s="48">
        <f>IF(50087.81655="","-",50087.81655)</f>
        <v>50087.816550000003</v>
      </c>
      <c r="C14" s="60">
        <f>IF(OR(43947.35028="",50087.81655=""),"-",50087.81655/43947.35028*100)</f>
        <v>113.97232422632422</v>
      </c>
      <c r="D14" s="48">
        <f>IF(43947.35028="","-",43947.35028/2808282.38613*100)</f>
        <v>1.5649192010409743</v>
      </c>
      <c r="E14" s="48">
        <f>IF(50087.81655="","-",50087.81655/2393202.72267*100)</f>
        <v>2.0929199217239334</v>
      </c>
      <c r="F14" s="48">
        <f>IF(OR(2734888.97913="",42256.74645="",43947.35028=""),"-",(43947.35028-42256.74645)/2734888.97913*100)</f>
        <v>6.1816177654780001E-2</v>
      </c>
      <c r="G14" s="48">
        <f>IF(OR(2808282.38613="",50087.81655="",43947.35028=""),"-",(50087.81655-43947.35028)/2808282.38613*100)</f>
        <v>0.21865558464944745</v>
      </c>
    </row>
    <row r="15" spans="1:7" s="9" customFormat="1" x14ac:dyDescent="0.25">
      <c r="A15" s="47" t="s">
        <v>266</v>
      </c>
      <c r="B15" s="48">
        <f>IF(91810.42901="","-",91810.42901)</f>
        <v>91810.429010000007</v>
      </c>
      <c r="C15" s="60">
        <f>IF(OR(92836.71171="",91810.42901=""),"-",91810.42901/92836.71171*100)</f>
        <v>98.894529242692414</v>
      </c>
      <c r="D15" s="48">
        <f>IF(92836.71171="","-",92836.71171/2808282.38613*100)</f>
        <v>3.3058182527696287</v>
      </c>
      <c r="E15" s="48">
        <f>IF(91810.42901="","-",91810.42901/2393202.72267*100)</f>
        <v>3.8362997058423365</v>
      </c>
      <c r="F15" s="48">
        <f>IF(OR(2734888.97913="",84990.98504="",92836.71171=""),"-",(92836.71171-84990.98504)/2734888.97913*100)</f>
        <v>0.28687550865394984</v>
      </c>
      <c r="G15" s="48">
        <f>IF(OR(2808282.38613="",91810.42901="",92836.71171=""),"-",(91810.42901-92836.71171)/2808282.38613*100)</f>
        <v>-3.6544854074104773E-2</v>
      </c>
    </row>
    <row r="16" spans="1:7" s="9" customFormat="1" ht="14.25" customHeight="1" x14ac:dyDescent="0.25">
      <c r="A16" s="47" t="s">
        <v>212</v>
      </c>
      <c r="B16" s="48">
        <f>IF(8568.60403="","-",8568.60403)</f>
        <v>8568.6040300000004</v>
      </c>
      <c r="C16" s="60">
        <f>IF(OR(7689.98836="",8568.60403=""),"-",8568.60403/7689.98836*100)</f>
        <v>111.42544863357895</v>
      </c>
      <c r="D16" s="48">
        <f>IF(7689.98836="","-",7689.98836/2808282.38613*100)</f>
        <v>0.27383244640854354</v>
      </c>
      <c r="E16" s="48">
        <f>IF(8568.60403="","-",8568.60403/2393202.72267*100)</f>
        <v>0.35803920615802881</v>
      </c>
      <c r="F16" s="48">
        <f>IF(OR(2734888.97913="",8035.32404="",7689.98836=""),"-",(7689.98836-8035.32404)/2734888.97913*100)</f>
        <v>-1.2627045654696207E-2</v>
      </c>
      <c r="G16" s="48">
        <f>IF(OR(2808282.38613="",8568.60403="",7689.98836=""),"-",(8568.60403-7689.98836)/2808282.38613*100)</f>
        <v>3.1286585506480745E-2</v>
      </c>
    </row>
    <row r="17" spans="1:7" s="9" customFormat="1" ht="25.5" x14ac:dyDescent="0.25">
      <c r="A17" s="47" t="s">
        <v>267</v>
      </c>
      <c r="B17" s="48">
        <f>IF(24086.08012="","-",24086.08012)</f>
        <v>24086.080119999999</v>
      </c>
      <c r="C17" s="60">
        <f>IF(OR(23986.23132="",24086.08012=""),"-",24086.08012/23986.23132*100)</f>
        <v>100.4162754818292</v>
      </c>
      <c r="D17" s="48">
        <f>IF(23986.23132="","-",23986.23132/2808282.38613*100)</f>
        <v>0.85412462217001694</v>
      </c>
      <c r="E17" s="48">
        <f>IF(24086.08012="","-",24086.08012/2393202.72267*100)</f>
        <v>1.0064371017064584</v>
      </c>
      <c r="F17" s="48">
        <f>IF(OR(2734888.97913="",23999.86865="",23986.23132=""),"-",(23986.23132-23999.86865)/2734888.97913*100)</f>
        <v>-4.9864291033633028E-4</v>
      </c>
      <c r="G17" s="48">
        <f>IF(OR(2808282.38613="",24086.08012="",23986.23132=""),"-",(24086.08012-23986.23132)/2808282.38613*100)</f>
        <v>3.555511386360189E-3</v>
      </c>
    </row>
    <row r="18" spans="1:7" s="9" customFormat="1" ht="25.5" x14ac:dyDescent="0.25">
      <c r="A18" s="47" t="s">
        <v>214</v>
      </c>
      <c r="B18" s="48">
        <f>IF(18449.5714="","-",18449.5714)</f>
        <v>18449.571400000001</v>
      </c>
      <c r="C18" s="60">
        <f>IF(OR(16345.09126="",18449.5714=""),"-",18449.5714/16345.09126*100)</f>
        <v>112.87530370142456</v>
      </c>
      <c r="D18" s="48">
        <f>IF(16345.09126="","-",16345.09126/2808282.38613*100)</f>
        <v>0.58203161265860537</v>
      </c>
      <c r="E18" s="48">
        <f>IF(18449.5714="","-",18449.5714/2393202.72267*100)</f>
        <v>0.7709155277667642</v>
      </c>
      <c r="F18" s="48">
        <f>IF(OR(2734888.97913="",18652.80765="",16345.09126=""),"-",(16345.09126-18652.80765)/2734888.97913*100)</f>
        <v>-8.4380624135394003E-2</v>
      </c>
      <c r="G18" s="48">
        <f>IF(OR(2808282.38613="",18449.5714="",16345.09126=""),"-",(18449.5714-16345.09126)/2808282.38613*100)</f>
        <v>7.4938337768094443E-2</v>
      </c>
    </row>
    <row r="19" spans="1:7" s="9" customFormat="1" x14ac:dyDescent="0.25">
      <c r="A19" s="47" t="s">
        <v>268</v>
      </c>
      <c r="B19" s="48">
        <f>IF(37380.7282899999="","-",37380.7282899999)</f>
        <v>37380.728289999897</v>
      </c>
      <c r="C19" s="60">
        <f>IF(OR(34343.53907="",37380.7282899999=""),"-",37380.7282899999/34343.53907*100)</f>
        <v>108.84355340842833</v>
      </c>
      <c r="D19" s="48">
        <f>IF(34343.53907="","-",34343.53907/2808282.38613*100)</f>
        <v>1.2229375236486699</v>
      </c>
      <c r="E19" s="48">
        <f>IF(37380.7282899999="","-",37380.7282899999/2393202.72267*100)</f>
        <v>1.561954110109641</v>
      </c>
      <c r="F19" s="48">
        <f>IF(OR(2734888.97913="",32172.28287="",34343.53907=""),"-",(34343.53907-32172.28287)/2734888.97913*100)</f>
        <v>7.9391017937799499E-2</v>
      </c>
      <c r="G19" s="48">
        <f>IF(OR(2808282.38613="",37380.7282899999="",34343.53907=""),"-",(37380.7282899999-34343.53907)/2808282.38613*100)</f>
        <v>0.1081511330555809</v>
      </c>
    </row>
    <row r="20" spans="1:7" s="9" customFormat="1" x14ac:dyDescent="0.25">
      <c r="A20" s="55" t="s">
        <v>269</v>
      </c>
      <c r="B20" s="46">
        <f>IF(46767.95084="","-",46767.95084)</f>
        <v>46767.950839999998</v>
      </c>
      <c r="C20" s="59">
        <f>IF(56688.19665="","-",46767.95084/56688.19665*100)</f>
        <v>82.500332703739303</v>
      </c>
      <c r="D20" s="46">
        <f>IF(56688.19665="","-",56688.19665/2808282.38613*100)</f>
        <v>2.0186074210336127</v>
      </c>
      <c r="E20" s="46">
        <f>IF(46767.95084="","-",46767.95084/2393202.72267*100)</f>
        <v>1.9541992994150899</v>
      </c>
      <c r="F20" s="46">
        <f>IF(2734888.97913="","-",(56688.19665-48482.27748)/2734888.97913*100)</f>
        <v>0.30004578732882969</v>
      </c>
      <c r="G20" s="46">
        <f>IF(2808282.38613="","-",(46767.95084-56688.19665)/2808282.38613*100)</f>
        <v>-0.35324958269851059</v>
      </c>
    </row>
    <row r="21" spans="1:7" s="9" customFormat="1" x14ac:dyDescent="0.25">
      <c r="A21" s="47" t="s">
        <v>270</v>
      </c>
      <c r="B21" s="48">
        <f>IF(23776.18203="","-",23776.18203)</f>
        <v>23776.18203</v>
      </c>
      <c r="C21" s="60">
        <f>IF(OR(29286.22466="",23776.18203=""),"-",23776.18203/29286.22466*100)</f>
        <v>81.185548175057946</v>
      </c>
      <c r="D21" s="48">
        <f>IF(29286.22466="","-",29286.22466/2808282.38613*100)</f>
        <v>1.0428518444100761</v>
      </c>
      <c r="E21" s="48">
        <f>IF(23776.18203="","-",23776.18203/2393202.72267*100)</f>
        <v>0.99348800687782401</v>
      </c>
      <c r="F21" s="48">
        <f>IF(OR(2734888.97913="",28151.25174="",29286.22466=""),"-",(29286.22466-28151.25174)/2734888.97913*100)</f>
        <v>4.1499780380885816E-2</v>
      </c>
      <c r="G21" s="48">
        <f>IF(OR(2808282.38613="",23776.18203="",29286.22466=""),"-",(23776.18203-29286.22466)/2808282.38613*100)</f>
        <v>-0.19620685787205341</v>
      </c>
    </row>
    <row r="22" spans="1:7" s="9" customFormat="1" x14ac:dyDescent="0.25">
      <c r="A22" s="47" t="s">
        <v>271</v>
      </c>
      <c r="B22" s="48">
        <f>IF(22991.76881="","-",22991.76881)</f>
        <v>22991.768810000001</v>
      </c>
      <c r="C22" s="60">
        <f>IF(OR(27401.97199="",22991.76881=""),"-",22991.76881/27401.97199*100)</f>
        <v>83.905526282526509</v>
      </c>
      <c r="D22" s="48">
        <f>IF(27401.97199="","-",27401.97199/2808282.38613*100)</f>
        <v>0.97575557662353685</v>
      </c>
      <c r="E22" s="48">
        <f>IF(22991.76881="","-",22991.76881/2393202.72267*100)</f>
        <v>0.96071129253726617</v>
      </c>
      <c r="F22" s="48">
        <f>IF(OR(2734888.97913="",20331.02574="",27401.97199=""),"-",(27401.97199-20331.02574)/2734888.97913*100)</f>
        <v>0.25854600694794372</v>
      </c>
      <c r="G22" s="48">
        <f>IF(OR(2808282.38613="",22991.76881="",27401.97199=""),"-",(22991.76881-27401.97199)/2808282.38613*100)</f>
        <v>-0.15704272482645701</v>
      </c>
    </row>
    <row r="23" spans="1:7" s="9" customFormat="1" ht="25.5" x14ac:dyDescent="0.25">
      <c r="A23" s="55" t="s">
        <v>25</v>
      </c>
      <c r="B23" s="46">
        <f>IF(75510.21737="","-",75510.21737)</f>
        <v>75510.217369999998</v>
      </c>
      <c r="C23" s="59">
        <f>IF(82373.81292="","-",75510.21737/82373.81292*100)</f>
        <v>91.667745723187778</v>
      </c>
      <c r="D23" s="46">
        <f>IF(82373.81292="","-",82373.81292/2808282.38613*100)</f>
        <v>2.9332453647411363</v>
      </c>
      <c r="E23" s="46">
        <f>IF(75510.21737="","-",75510.21737/2393202.72267*100)</f>
        <v>3.1551951974112868</v>
      </c>
      <c r="F23" s="46">
        <f>IF(2734888.97913="","-",(82373.81292-77660.84096)/2734888.97913*100)</f>
        <v>0.17232772503618216</v>
      </c>
      <c r="G23" s="46">
        <f>IF(2808282.38613="","-",(75510.21737-82373.81292)/2808282.38613*100)</f>
        <v>-0.24440546235303956</v>
      </c>
    </row>
    <row r="24" spans="1:7" s="9" customFormat="1" x14ac:dyDescent="0.25">
      <c r="A24" s="47" t="s">
        <v>272</v>
      </c>
      <c r="B24" s="48">
        <f>IF(27449.47087="","-",27449.47087)</f>
        <v>27449.470870000001</v>
      </c>
      <c r="C24" s="60">
        <f>IF(OR(25072.21105="",27449.47087=""),"-",27449.47087/25072.21105*100)</f>
        <v>109.48165207790879</v>
      </c>
      <c r="D24" s="48">
        <f>IF(25072.21105="","-",25072.21105/2808282.38613*100)</f>
        <v>0.8927952250753235</v>
      </c>
      <c r="E24" s="48">
        <f>IF(27449.47087="","-",27449.47087/2393202.72267*100)</f>
        <v>1.14697641825243</v>
      </c>
      <c r="F24" s="48">
        <f>IF(OR(2734888.97913="",28721.84414="",25072.21105=""),"-",(25072.21105-28721.84414)/2734888.97913*100)</f>
        <v>-0.13344721185578035</v>
      </c>
      <c r="G24" s="48">
        <f>IF(OR(2808282.38613="",27449.47087="",25072.21105=""),"-",(27449.47087-25072.21105)/2808282.38613*100)</f>
        <v>8.4651737009824771E-2</v>
      </c>
    </row>
    <row r="25" spans="1:7" s="9" customFormat="1" ht="25.5" x14ac:dyDescent="0.25">
      <c r="A25" s="47" t="s">
        <v>273</v>
      </c>
      <c r="B25" s="48">
        <f>IF(652.67152="","-",652.67152)</f>
        <v>652.67151999999999</v>
      </c>
      <c r="C25" s="60">
        <f>IF(OR(706.78843="",652.67152=""),"-",652.67152/706.78843*100)</f>
        <v>92.343266003944066</v>
      </c>
      <c r="D25" s="48">
        <f>IF(706.78843="","-",706.78843/2808282.38613*100)</f>
        <v>2.5167997117768539E-2</v>
      </c>
      <c r="E25" s="48">
        <f>IF(652.67152="","-",652.67152/2393202.72267*100)</f>
        <v>2.7271886072059982E-2</v>
      </c>
      <c r="F25" s="48">
        <f>IF(OR(2734888.97913="",383.055="",706.78843=""),"-",(706.78843-383.055)/2734888.97913*100)</f>
        <v>1.1837168984570018E-2</v>
      </c>
      <c r="G25" s="48">
        <f>IF(OR(2808282.38613="",652.67152="",706.78843=""),"-",(652.67152-706.78843)/2808282.38613*100)</f>
        <v>-1.92704659144256E-3</v>
      </c>
    </row>
    <row r="26" spans="1:7" s="9" customFormat="1" x14ac:dyDescent="0.25">
      <c r="A26" s="47" t="s">
        <v>274</v>
      </c>
      <c r="B26" s="48">
        <f>IF(15735.61717="","-",15735.61717)</f>
        <v>15735.61717</v>
      </c>
      <c r="C26" s="60">
        <f>IF(OR(17210.5515="",15735.61717=""),"-",15735.61717/17210.5515*100)</f>
        <v>91.430057717790149</v>
      </c>
      <c r="D26" s="48">
        <f>IF(17210.5515="","-",17210.5515/2808282.38613*100)</f>
        <v>0.6128497470554336</v>
      </c>
      <c r="E26" s="48">
        <f>IF(15735.61717="","-",15735.61717/2393202.72267*100)</f>
        <v>0.65751292278509543</v>
      </c>
      <c r="F26" s="48">
        <f>IF(OR(2734888.97913="",14830.62079="",17210.5515=""),"-",(17210.5515-14830.62079)/2734888.97913*100)</f>
        <v>8.7021108650526813E-2</v>
      </c>
      <c r="G26" s="48">
        <f>IF(OR(2808282.38613="",15735.61717="",17210.5515=""),"-",(15735.61717-17210.5515)/2808282.38613*100)</f>
        <v>-5.2520869599319731E-2</v>
      </c>
    </row>
    <row r="27" spans="1:7" s="9" customFormat="1" x14ac:dyDescent="0.25">
      <c r="A27" s="47" t="s">
        <v>223</v>
      </c>
      <c r="B27" s="48">
        <f>IF(187.27346="","-",187.27346)</f>
        <v>187.27346</v>
      </c>
      <c r="C27" s="60">
        <f>IF(OR(238.17438="",187.27346=""),"-",187.27346/238.17438*100)</f>
        <v>78.628717328874743</v>
      </c>
      <c r="D27" s="48">
        <f>IF(238.17438="","-",238.17438/2808282.38613*100)</f>
        <v>8.4811406850085393E-3</v>
      </c>
      <c r="E27" s="48">
        <f>IF(187.27346="","-",187.27346/2393202.72267*100)</f>
        <v>7.8252234224047076E-3</v>
      </c>
      <c r="F27" s="48">
        <f>IF(OR(2734888.97913="",235.226="",238.17438=""),"-",(238.17438-235.226)/2734888.97913*100)</f>
        <v>1.0780620429199026E-4</v>
      </c>
      <c r="G27" s="48">
        <f>IF(OR(2808282.38613="",187.27346="",238.17438=""),"-",(187.27346-238.17438)/2808282.38613*100)</f>
        <v>-1.8125285495289834E-3</v>
      </c>
    </row>
    <row r="28" spans="1:7" s="9" customFormat="1" ht="14.25" customHeight="1" x14ac:dyDescent="0.25">
      <c r="A28" s="47" t="s">
        <v>224</v>
      </c>
      <c r="B28" s="48">
        <f>IF(3135.27397="","-",3135.27397)</f>
        <v>3135.2739700000002</v>
      </c>
      <c r="C28" s="60">
        <f>IF(OR(3672.4226="",3135.27397=""),"-",3135.27397/3672.4226*100)</f>
        <v>85.37345266310038</v>
      </c>
      <c r="D28" s="48">
        <f>IF(3672.4226="","-",3672.4226/2808282.38613*100)</f>
        <v>0.1307711296462904</v>
      </c>
      <c r="E28" s="48">
        <f>IF(3135.27397="","-",3135.27397/2393202.72267*100)</f>
        <v>0.13100745458379309</v>
      </c>
      <c r="F28" s="48">
        <f>IF(OR(2734888.97913="",4357.8817="",3672.4226=""),"-",(3672.4226-4357.8817)/2734888.97913*100)</f>
        <v>-2.5063507339082278E-2</v>
      </c>
      <c r="G28" s="48">
        <f>IF(OR(2808282.38613="",3135.27397="",3672.4226=""),"-",(3135.27397-3672.4226)/2808282.38613*100)</f>
        <v>-1.9127301180713034E-2</v>
      </c>
    </row>
    <row r="29" spans="1:7" s="9" customFormat="1" ht="15.75" customHeight="1" x14ac:dyDescent="0.25">
      <c r="A29" s="47" t="s">
        <v>225</v>
      </c>
      <c r="B29" s="48">
        <f>IF(6675.38641="","-",6675.38641)</f>
        <v>6675.3864100000001</v>
      </c>
      <c r="C29" s="60">
        <f>IF(OR(13698.07178="",6675.38641=""),"-",6675.38641/13698.07178*100)</f>
        <v>48.732307124762343</v>
      </c>
      <c r="D29" s="48">
        <f>IF(13698.07178="","-",13698.07178/2808282.38613*100)</f>
        <v>0.48777401616213018</v>
      </c>
      <c r="E29" s="48">
        <f>IF(6675.38641="","-",6675.38641/2393202.72267*100)</f>
        <v>0.27893108873587358</v>
      </c>
      <c r="F29" s="48">
        <f>IF(OR(2734888.97913="",6496.47929="",13698.07178=""),"-",(13698.07178-6496.47929)/2734888.97913*100)</f>
        <v>0.2633230286477995</v>
      </c>
      <c r="G29" s="48">
        <f>IF(OR(2808282.38613="",6675.38641="",13698.07178=""),"-",(6675.38641-13698.07178)/2808282.38613*100)</f>
        <v>-0.25007048453121294</v>
      </c>
    </row>
    <row r="30" spans="1:7" s="9" customFormat="1" ht="15" customHeight="1" x14ac:dyDescent="0.25">
      <c r="A30" s="47" t="s">
        <v>226</v>
      </c>
      <c r="B30" s="48">
        <f>IF(715.77442="","-",715.77442)</f>
        <v>715.77441999999996</v>
      </c>
      <c r="C30" s="60">
        <f>IF(OR(674.86985="",715.77442=""),"-",715.77442/674.86985*100)</f>
        <v>106.06110496712809</v>
      </c>
      <c r="D30" s="48">
        <f>IF(674.86985="","-",674.86985/2808282.38613*100)</f>
        <v>2.4031409851557543E-2</v>
      </c>
      <c r="E30" s="48">
        <f>IF(715.77442="","-",715.77442/2393202.72267*100)</f>
        <v>2.9908641387531066E-2</v>
      </c>
      <c r="F30" s="48">
        <f>IF(OR(2734888.97913="",520.96653="",674.86985=""),"-",(674.86985-520.96653)/2734888.97913*100)</f>
        <v>5.6274064934423206E-3</v>
      </c>
      <c r="G30" s="48">
        <f>IF(OR(2808282.38613="",715.77442="",674.86985=""),"-",(715.77442-674.86985)/2808282.38613*100)</f>
        <v>1.4565689761836644E-3</v>
      </c>
    </row>
    <row r="31" spans="1:7" s="9" customFormat="1" ht="25.5" x14ac:dyDescent="0.25">
      <c r="A31" s="47" t="s">
        <v>227</v>
      </c>
      <c r="B31" s="48">
        <f>IF(20958.74955="","-",20958.74955)</f>
        <v>20958.74955</v>
      </c>
      <c r="C31" s="60">
        <f>IF(OR(21100.72333="",20958.74955=""),"-",20958.74955/21100.72333*100)</f>
        <v>99.327161549015969</v>
      </c>
      <c r="D31" s="48">
        <f>IF(21100.72333="","-",21100.72333/2808282.38613*100)</f>
        <v>0.75137469914762389</v>
      </c>
      <c r="E31" s="48">
        <f>IF(20958.74955="","-",20958.74955/2393202.72267*100)</f>
        <v>0.87576156217209911</v>
      </c>
      <c r="F31" s="48">
        <f>IF(OR(2734888.97913="",22075.19453="",21100.72333=""),"-",(21100.72333-22075.19453)/2734888.97913*100)</f>
        <v>-3.5631106324103531E-2</v>
      </c>
      <c r="G31" s="48">
        <f>IF(OR(2808282.38613="",20958.74955="",21100.72333=""),"-",(20958.74955-21100.72333)/2808282.38613*100)</f>
        <v>-5.0555378868308741E-3</v>
      </c>
    </row>
    <row r="32" spans="1:7" s="9" customFormat="1" ht="25.5" x14ac:dyDescent="0.25">
      <c r="A32" s="55" t="s">
        <v>228</v>
      </c>
      <c r="B32" s="46">
        <f>IF(306367.18492="","-",306367.18492)</f>
        <v>306367.18492000003</v>
      </c>
      <c r="C32" s="59">
        <f>IF(455297.39898="","-",306367.18492/455297.39898*100)</f>
        <v>67.289465216878583</v>
      </c>
      <c r="D32" s="46">
        <f>IF(455297.39898="","-",455297.39898/2808282.38613*100)</f>
        <v>16.212664411125338</v>
      </c>
      <c r="E32" s="46">
        <f>IF(306367.18492="","-",306367.18492/2393202.72267*100)</f>
        <v>12.80155592411321</v>
      </c>
      <c r="F32" s="46">
        <f>IF(2734888.97913="","-",(455297.39898-438522.46594)/2734888.97913*100)</f>
        <v>0.61336797098565499</v>
      </c>
      <c r="G32" s="46">
        <f>IF(2808282.38613="","-",(306367.18492-455297.39898)/2808282.38613*100)</f>
        <v>-5.3032492314719004</v>
      </c>
    </row>
    <row r="33" spans="1:7" s="9" customFormat="1" x14ac:dyDescent="0.25">
      <c r="A33" s="47" t="s">
        <v>275</v>
      </c>
      <c r="B33" s="48">
        <f>IF(6748.59052="","-",6748.59052)</f>
        <v>6748.5905199999997</v>
      </c>
      <c r="C33" s="60">
        <f>IF(OR(8557.23921="",6748.59052=""),"-",6748.59052/8557.23921*100)</f>
        <v>78.864109724940135</v>
      </c>
      <c r="D33" s="48">
        <f>IF(8557.23921="","-",8557.23921/2808282.38613*100)</f>
        <v>0.30471434255557345</v>
      </c>
      <c r="E33" s="48">
        <f>IF(6748.59052="","-",6748.59052/2393202.72267*100)</f>
        <v>0.2819899232134781</v>
      </c>
      <c r="F33" s="48">
        <f>IF(OR(2734888.97913="",5152.06425="",8557.23921=""),"-",(8557.23921-5152.06425)/2734888.97913*100)</f>
        <v>0.12450870898178928</v>
      </c>
      <c r="G33" s="48">
        <f>IF(OR(2808282.38613="",6748.59052="",8557.23921=""),"-",(6748.59052-8557.23921)/2808282.38613*100)</f>
        <v>-6.4404089094916059E-2</v>
      </c>
    </row>
    <row r="34" spans="1:7" s="9" customFormat="1" ht="25.5" x14ac:dyDescent="0.25">
      <c r="A34" s="47" t="s">
        <v>229</v>
      </c>
      <c r="B34" s="48">
        <f>IF(177741.88145="","-",177741.88145)</f>
        <v>177741.88144999999</v>
      </c>
      <c r="C34" s="60">
        <f>IF(OR(266282.32722="",177741.88145=""),"-",177741.88145/266282.32722*100)</f>
        <v>66.74940966065364</v>
      </c>
      <c r="D34" s="48">
        <f>IF(266282.32722="","-",266282.32722/2808282.38613*100)</f>
        <v>9.4820353015479597</v>
      </c>
      <c r="E34" s="48">
        <f>IF(177741.88145="","-",177741.88145/2393202.72267*100)</f>
        <v>7.4269463161775322</v>
      </c>
      <c r="F34" s="48">
        <f>IF(OR(2734888.97913="",272973.48491="",266282.32722=""),"-",(266282.32722-272973.48491)/2734888.97913*100)</f>
        <v>-0.24465920704863703</v>
      </c>
      <c r="G34" s="48">
        <f>IF(OR(2808282.38613="",177741.88145="",266282.32722=""),"-",(177741.88145-266282.32722)/2808282.38613*100)</f>
        <v>-3.1528327139499179</v>
      </c>
    </row>
    <row r="35" spans="1:7" s="9" customFormat="1" ht="25.5" x14ac:dyDescent="0.25">
      <c r="A35" s="47" t="s">
        <v>276</v>
      </c>
      <c r="B35" s="48">
        <f>IF(113766.20845="","-",113766.20845)</f>
        <v>113766.20845000001</v>
      </c>
      <c r="C35" s="60">
        <f>IF(OR(158696.34334="",113766.20845=""),"-",113766.20845/158696.34334*100)</f>
        <v>71.687983513432869</v>
      </c>
      <c r="D35" s="48">
        <f>IF(158696.34334="","-",158696.34334/2808282.38613*100)</f>
        <v>5.6510108856500754</v>
      </c>
      <c r="E35" s="48">
        <f>IF(113766.20845="","-",113766.20845/2393202.72267*100)</f>
        <v>4.7537221720638696</v>
      </c>
      <c r="F35" s="48">
        <f>IF(OR(2734888.97913="",137314.65166="",158696.34334=""),"-",(158696.34334-137314.65166)/2734888.97913*100)</f>
        <v>0.78181205318256664</v>
      </c>
      <c r="G35" s="48">
        <f>IF(OR(2808282.38613="",113766.20845="",158696.34334=""),"-",(113766.20845-158696.34334)/2808282.38613*100)</f>
        <v>-1.5999151336029531</v>
      </c>
    </row>
    <row r="36" spans="1:7" s="9" customFormat="1" x14ac:dyDescent="0.25">
      <c r="A36" s="47" t="s">
        <v>230</v>
      </c>
      <c r="B36" s="48">
        <f>IF(8110.5045="","-",8110.5045)</f>
        <v>8110.5045</v>
      </c>
      <c r="C36" s="60">
        <f>IF(OR(21761.48921="",8110.5045=""),"-",8110.5045/21761.48921*100)</f>
        <v>37.269988380542458</v>
      </c>
      <c r="D36" s="48">
        <f>IF(21761.48921="","-",21761.48921/2808282.38613*100)</f>
        <v>0.77490388137172983</v>
      </c>
      <c r="E36" s="48">
        <f>IF(8110.5045="","-",8110.5045/2393202.72267*100)</f>
        <v>0.3388975126583274</v>
      </c>
      <c r="F36" s="48">
        <f>IF(OR(2734888.97913="",23082.26512="",21761.48921=""),"-",(21761.48921-23082.26512)/2734888.97913*100)</f>
        <v>-4.8293584130064196E-2</v>
      </c>
      <c r="G36" s="48">
        <f>IF(OR(2808282.38613="",8110.5045="",21761.48921=""),"-",(8110.5045-21761.48921)/2808282.38613*100)</f>
        <v>-0.48609729482411368</v>
      </c>
    </row>
    <row r="37" spans="1:7" s="9" customFormat="1" ht="25.5" x14ac:dyDescent="0.25">
      <c r="A37" s="55" t="s">
        <v>231</v>
      </c>
      <c r="B37" s="46">
        <f>IF(4496.21502="","-",4496.21502)</f>
        <v>4496.2150199999996</v>
      </c>
      <c r="C37" s="59">
        <f>IF(5349.10877="","-",4496.21502/5349.10877*100)</f>
        <v>84.055404616496503</v>
      </c>
      <c r="D37" s="46">
        <f>IF(5349.10877="","-",5349.10877/2808282.38613*100)</f>
        <v>0.19047617135723405</v>
      </c>
      <c r="E37" s="46">
        <f>IF(4496.21502="","-",4496.21502/2393202.72267*100)</f>
        <v>0.18787439013874066</v>
      </c>
      <c r="F37" s="46">
        <f>IF(2734888.97913="","-",(5349.10877-5793.41385)/2734888.97913*100)</f>
        <v>-1.6245817778728945E-2</v>
      </c>
      <c r="G37" s="46">
        <f>IF(2808282.38613="","-",(4496.21502-5349.10877)/2808282.38613*100)</f>
        <v>-3.0370654824899729E-2</v>
      </c>
    </row>
    <row r="38" spans="1:7" s="9" customFormat="1" x14ac:dyDescent="0.25">
      <c r="A38" s="47" t="s">
        <v>304</v>
      </c>
      <c r="B38" s="48">
        <f>IF(719.85641="","-",719.85641)</f>
        <v>719.85640999999998</v>
      </c>
      <c r="C38" s="60">
        <f>IF(OR(677.82758="",719.85641=""),"-",719.85641/677.82758*100)</f>
        <v>106.20051931200555</v>
      </c>
      <c r="D38" s="48">
        <f>IF(677.82758="","-",677.82758/2808282.38613*100)</f>
        <v>2.4136731524855359E-2</v>
      </c>
      <c r="E38" s="48">
        <f>IF(719.85641="","-",719.85641/2393202.72267*100)</f>
        <v>3.0079207381014727E-2</v>
      </c>
      <c r="F38" s="48">
        <f>IF(OR(2734888.97913="",703.65119="",677.82758=""),"-",(677.82758-703.65119)/2734888.97913*100)</f>
        <v>-9.4422882234198842E-4</v>
      </c>
      <c r="G38" s="48">
        <f>IF(OR(2808282.38613="",719.85641="",677.82758=""),"-",(719.85641-677.82758)/2808282.38613*100)</f>
        <v>1.4966026994855917E-3</v>
      </c>
    </row>
    <row r="39" spans="1:7" s="9" customFormat="1" ht="25.5" x14ac:dyDescent="0.25">
      <c r="A39" s="47" t="s">
        <v>232</v>
      </c>
      <c r="B39" s="48">
        <f>IF(3017.21357="","-",3017.21357)</f>
        <v>3017.2135699999999</v>
      </c>
      <c r="C39" s="60">
        <f>IF(OR(3373.70589="",3017.21357=""),"-",3017.21357/3373.70589*100)</f>
        <v>89.433212863733061</v>
      </c>
      <c r="D39" s="48">
        <f>IF(3373.70589="","-",3373.70589/2808282.38613*100)</f>
        <v>0.12013413988075435</v>
      </c>
      <c r="E39" s="48">
        <f>IF(3017.21357="","-",3017.21357/2393202.72267*100)</f>
        <v>0.12607429957433008</v>
      </c>
      <c r="F39" s="48">
        <f>IF(OR(2734888.97913="",3621.59224="",3373.70589=""),"-",(3373.70589-3621.59224)/2734888.97913*100)</f>
        <v>-9.0638542146180747E-3</v>
      </c>
      <c r="G39" s="48">
        <f>IF(OR(2808282.38613="",3017.21357="",3373.70589=""),"-",(3017.21357-3373.70589)/2808282.38613*100)</f>
        <v>-1.2694318839184489E-2</v>
      </c>
    </row>
    <row r="40" spans="1:7" s="9" customFormat="1" ht="63.75" x14ac:dyDescent="0.25">
      <c r="A40" s="47" t="s">
        <v>277</v>
      </c>
      <c r="B40" s="48">
        <f>IF(759.14504="","-",759.14504)</f>
        <v>759.14503999999999</v>
      </c>
      <c r="C40" s="60">
        <f>IF(OR(1297.5753="",759.14504=""),"-",759.14504/1297.5753*100)</f>
        <v>58.504892933766541</v>
      </c>
      <c r="D40" s="48">
        <f>IF(1297.5753="","-",1297.5753/2808282.38613*100)</f>
        <v>4.6205299951624347E-2</v>
      </c>
      <c r="E40" s="48">
        <f>IF(759.14504="","-",759.14504/2393202.72267*100)</f>
        <v>3.1720883183395859E-2</v>
      </c>
      <c r="F40" s="48">
        <f>IF(OR(2734888.97913="",1468.17042="",1297.5753=""),"-",(1297.5753-1468.17042)/2734888.97913*100)</f>
        <v>-6.2377347417688685E-3</v>
      </c>
      <c r="G40" s="48">
        <f>IF(OR(2808282.38613="",759.14504="",1297.5753=""),"-",(759.14504-1297.5753)/2808282.38613*100)</f>
        <v>-1.9172938685200841E-2</v>
      </c>
    </row>
    <row r="41" spans="1:7" s="9" customFormat="1" ht="25.5" x14ac:dyDescent="0.25">
      <c r="A41" s="55" t="s">
        <v>233</v>
      </c>
      <c r="B41" s="46">
        <f>IF(407764.28119="","-",407764.28119)</f>
        <v>407764.28119000001</v>
      </c>
      <c r="C41" s="59">
        <f>IF(423507.08596="","-",407764.28119/423507.08596*100)</f>
        <v>96.282752923882157</v>
      </c>
      <c r="D41" s="46">
        <f>IF(423507.08596="","-",423507.08596/2808282.38613*100)</f>
        <v>15.080644597982218</v>
      </c>
      <c r="E41" s="46">
        <f>IF(407764.28119="","-",407764.28119/2393202.72267*100)</f>
        <v>17.038434618487887</v>
      </c>
      <c r="F41" s="46">
        <f>IF(2734888.97913="","-",(423507.08596-409161.38552)/2734888.97913*100)</f>
        <v>0.52454416063951237</v>
      </c>
      <c r="G41" s="46">
        <f>IF(2808282.38613="","-",(407764.28119-423507.08596)/2808282.38613*100)</f>
        <v>-0.56058482037821777</v>
      </c>
    </row>
    <row r="42" spans="1:7" s="9" customFormat="1" x14ac:dyDescent="0.25">
      <c r="A42" s="47" t="s">
        <v>26</v>
      </c>
      <c r="B42" s="48">
        <f>IF(5473.29772="","-",5473.29772)</f>
        <v>5473.2977199999996</v>
      </c>
      <c r="C42" s="60">
        <f>IF(OR(10576.56015="",5473.29772=""),"-",5473.29772/10576.56015*100)</f>
        <v>51.749317759044743</v>
      </c>
      <c r="D42" s="48">
        <f>IF(10576.56015="","-",10576.56015/2808282.38613*100)</f>
        <v>0.37662025023684326</v>
      </c>
      <c r="E42" s="48">
        <f>IF(5473.29772="","-",5473.29772/2393202.72267*100)</f>
        <v>0.22870180065204262</v>
      </c>
      <c r="F42" s="48">
        <f>IF(OR(2734888.97913="",10604.51029="",10576.56015=""),"-",(10576.56015-10604.51029)/2734888.97913*100)</f>
        <v>-1.0219844466553846E-3</v>
      </c>
      <c r="G42" s="48">
        <f>IF(OR(2808282.38613="",5473.29772="",10576.56015=""),"-",(5473.29772-10576.56015)/2808282.38613*100)</f>
        <v>-0.18172184019686977</v>
      </c>
    </row>
    <row r="43" spans="1:7" s="9" customFormat="1" x14ac:dyDescent="0.25">
      <c r="A43" s="47" t="s">
        <v>27</v>
      </c>
      <c r="B43" s="48">
        <f>IF(7876.94744="","-",7876.94744)</f>
        <v>7876.9474399999999</v>
      </c>
      <c r="C43" s="60">
        <f>IF(OR(8057.77891="",7876.94744=""),"-",7876.94744/8057.77891*100)</f>
        <v>97.755814945783854</v>
      </c>
      <c r="D43" s="48">
        <f>IF(8057.77891="","-",8057.77891/2808282.38613*100)</f>
        <v>0.28692908340689188</v>
      </c>
      <c r="E43" s="48">
        <f>IF(7876.94744="","-",7876.94744/2393202.72267*100)</f>
        <v>0.32913832854126152</v>
      </c>
      <c r="F43" s="48">
        <f>IF(OR(2734888.97913="",6911.55378="",8057.77891=""),"-",(8057.77891-6911.55378)/2734888.97913*100)</f>
        <v>4.1911212438489089E-2</v>
      </c>
      <c r="G43" s="48">
        <f>IF(OR(2808282.38613="",7876.94744="",8057.77891=""),"-",(7876.94744-8057.77891)/2808282.38613*100)</f>
        <v>-6.4392196060168256E-3</v>
      </c>
    </row>
    <row r="44" spans="1:7" s="9" customFormat="1" x14ac:dyDescent="0.25">
      <c r="A44" s="47" t="s">
        <v>234</v>
      </c>
      <c r="B44" s="48">
        <f>IF(16749.77275="","-",16749.77275)</f>
        <v>16749.77275</v>
      </c>
      <c r="C44" s="60">
        <f>IF(OR(17123.60962="",16749.77275=""),"-",16749.77275/17123.60962*100)</f>
        <v>97.816833726673096</v>
      </c>
      <c r="D44" s="48">
        <f>IF(17123.60962="","-",17123.60962/2808282.38613*100)</f>
        <v>0.60975383759741741</v>
      </c>
      <c r="E44" s="48">
        <f>IF(16749.77275="","-",16749.77275/2393202.72267*100)</f>
        <v>0.69988942396459219</v>
      </c>
      <c r="F44" s="48">
        <f>IF(OR(2734888.97913="",16387.50799="",17123.60962=""),"-",(17123.60962-16387.50799)/2734888.97913*100)</f>
        <v>2.6915228940450939E-2</v>
      </c>
      <c r="G44" s="48">
        <f>IF(OR(2808282.38613="",16749.77275="",17123.60962=""),"-",(16749.77275-17123.60962)/2808282.38613*100)</f>
        <v>-1.3311940132743248E-2</v>
      </c>
    </row>
    <row r="45" spans="1:7" s="9" customFormat="1" x14ac:dyDescent="0.25">
      <c r="A45" s="47" t="s">
        <v>235</v>
      </c>
      <c r="B45" s="48">
        <f>IF(118197.55438="","-",118197.55438)</f>
        <v>118197.55438</v>
      </c>
      <c r="C45" s="60">
        <f>IF(OR(124072.08076="",118197.55438=""),"-",118197.55438/124072.08076*100)</f>
        <v>95.265231030207801</v>
      </c>
      <c r="D45" s="48">
        <f>IF(124072.08076="","-",124072.08076/2808282.38613*100)</f>
        <v>4.4180770912778318</v>
      </c>
      <c r="E45" s="48">
        <f>IF(118197.55438="","-",118197.55438/2393202.72267*100)</f>
        <v>4.9388860066201055</v>
      </c>
      <c r="F45" s="48">
        <f>IF(OR(2734888.97913="",110248.86031="",124072.08076=""),"-",(124072.08076-110248.86031)/2734888.97913*100)</f>
        <v>0.50543991202148619</v>
      </c>
      <c r="G45" s="48">
        <f>IF(OR(2808282.38613="",118197.55438="",124072.08076=""),"-",(118197.55438-124072.08076)/2808282.38613*100)</f>
        <v>-0.20918574317932054</v>
      </c>
    </row>
    <row r="46" spans="1:7" s="9" customFormat="1" ht="38.25" x14ac:dyDescent="0.25">
      <c r="A46" s="47" t="s">
        <v>236</v>
      </c>
      <c r="B46" s="48">
        <f>IF(50718.72682="","-",50718.72682)</f>
        <v>50718.726820000003</v>
      </c>
      <c r="C46" s="60">
        <f>IF(OR(53836.83053="",50718.72682=""),"-",50718.72682/53836.83053*100)</f>
        <v>94.208233138348547</v>
      </c>
      <c r="D46" s="48">
        <f>IF(53836.83053="","-",53836.83053/2808282.38613*100)</f>
        <v>1.9170732543101099</v>
      </c>
      <c r="E46" s="48">
        <f>IF(50718.72682="","-",50718.72682/2393202.72267*100)</f>
        <v>2.119282513744392</v>
      </c>
      <c r="F46" s="48">
        <f>IF(OR(2734888.97913="",54970.91204="",53836.83053=""),"-",(53836.83053-54970.91204)/2734888.97913*100)</f>
        <v>-4.1467186370423278E-2</v>
      </c>
      <c r="G46" s="48">
        <f>IF(OR(2808282.38613="",50718.72682="",53836.83053=""),"-",(50718.72682-53836.83053)/2808282.38613*100)</f>
        <v>-0.11103241345671616</v>
      </c>
    </row>
    <row r="47" spans="1:7" s="9" customFormat="1" x14ac:dyDescent="0.25">
      <c r="A47" s="47" t="s">
        <v>237</v>
      </c>
      <c r="B47" s="48">
        <f>IF(47771.58618="","-",47771.58618)</f>
        <v>47771.586179999998</v>
      </c>
      <c r="C47" s="60">
        <f>IF(OR(45340.45542="",47771.58618=""),"-",47771.58618/45340.45542*100)</f>
        <v>105.36194605343027</v>
      </c>
      <c r="D47" s="48">
        <f>IF(45340.45542="","-",45340.45542/2808282.38613*100)</f>
        <v>1.6145262187283866</v>
      </c>
      <c r="E47" s="48">
        <f>IF(47771.58618="","-",47771.58618/2393202.72267*100)</f>
        <v>1.9961362122596602</v>
      </c>
      <c r="F47" s="48">
        <f>IF(OR(2734888.97913="",42433.90478="",45340.45542=""),"-",(45340.45542-42433.90478)/2734888.97913*100)</f>
        <v>0.1062767323346562</v>
      </c>
      <c r="G47" s="48">
        <f>IF(OR(2808282.38613="",47771.58618="",45340.45542=""),"-",(47771.58618-45340.45542)/2808282.38613*100)</f>
        <v>8.6570024866703663E-2</v>
      </c>
    </row>
    <row r="48" spans="1:7" s="9" customFormat="1" x14ac:dyDescent="0.25">
      <c r="A48" s="47" t="s">
        <v>28</v>
      </c>
      <c r="B48" s="48">
        <f>IF(21676.17363="","-",21676.17363)</f>
        <v>21676.173630000001</v>
      </c>
      <c r="C48" s="60">
        <f>IF(OR(25237.59214="",21676.17363=""),"-",21676.17363/25237.59214*100)</f>
        <v>85.888437810375038</v>
      </c>
      <c r="D48" s="48">
        <f>IF(25237.59214="","-",25237.59214/2808282.38613*100)</f>
        <v>0.8986842728013219</v>
      </c>
      <c r="E48" s="48">
        <f>IF(21676.17363="","-",21676.17363/2393202.72267*100)</f>
        <v>0.90573913461943434</v>
      </c>
      <c r="F48" s="48">
        <f>IF(OR(2734888.97913="",27456.84868="",25237.59214=""),"-",(25237.59214-27456.84868)/2734888.97913*100)</f>
        <v>-8.114612903613988E-2</v>
      </c>
      <c r="G48" s="48">
        <f>IF(OR(2808282.38613="",21676.17363="",25237.59214=""),"-",(21676.17363-25237.59214)/2808282.38613*100)</f>
        <v>-0.1268183900447373</v>
      </c>
    </row>
    <row r="49" spans="1:7" s="9" customFormat="1" x14ac:dyDescent="0.25">
      <c r="A49" s="47" t="s">
        <v>29</v>
      </c>
      <c r="B49" s="48">
        <f>IF(50138.9117="","-",50138.9117)</f>
        <v>50138.911699999997</v>
      </c>
      <c r="C49" s="60">
        <f>IF(OR(53298.79645="",50138.9117=""),"-",50138.9117/53298.79645*100)</f>
        <v>94.071376915678911</v>
      </c>
      <c r="D49" s="48">
        <f>IF(53298.79645="","-",53298.79645/2808282.38613*100)</f>
        <v>1.897914423180544</v>
      </c>
      <c r="E49" s="48">
        <f>IF(50138.9117="","-",50138.9117/2393202.72267*100)</f>
        <v>2.0950549330840653</v>
      </c>
      <c r="F49" s="48">
        <f>IF(OR(2734888.97913="",51150.2081="",53298.79645=""),"-",(53298.79645-51150.2081)/2734888.97913*100)</f>
        <v>7.856217807727936E-2</v>
      </c>
      <c r="G49" s="48">
        <f>IF(OR(2808282.38613="",50138.9117="",53298.79645=""),"-",(50138.9117-53298.79645)/2808282.38613*100)</f>
        <v>-0.11252019261334101</v>
      </c>
    </row>
    <row r="50" spans="1:7" s="9" customFormat="1" x14ac:dyDescent="0.25">
      <c r="A50" s="47" t="s">
        <v>238</v>
      </c>
      <c r="B50" s="48">
        <f>IF(89161.31057="","-",89161.31057)</f>
        <v>89161.310570000001</v>
      </c>
      <c r="C50" s="60">
        <f>IF(OR(85963.38198="",89161.31057=""),"-",89161.31057/85963.38198*100)</f>
        <v>103.72010560350455</v>
      </c>
      <c r="D50" s="48">
        <f>IF(85963.38198="","-",85963.38198/2808282.38613*100)</f>
        <v>3.0610661664428722</v>
      </c>
      <c r="E50" s="48">
        <f>IF(89161.31057="","-",89161.31057/2393202.72267*100)</f>
        <v>3.725606265002336</v>
      </c>
      <c r="F50" s="48">
        <f>IF(OR(2734888.97913="",88997.07955="",85963.38198=""),"-",(85963.38198-88997.07955)/2734888.97913*100)</f>
        <v>-0.11092580331963033</v>
      </c>
      <c r="G50" s="48">
        <f>IF(OR(2808282.38613="",89161.31057="",85963.38198=""),"-",(89161.31057-85963.38198)/2808282.38613*100)</f>
        <v>0.11387489398482302</v>
      </c>
    </row>
    <row r="51" spans="1:7" s="9" customFormat="1" ht="25.5" x14ac:dyDescent="0.25">
      <c r="A51" s="55" t="s">
        <v>303</v>
      </c>
      <c r="B51" s="46">
        <f>IF(446237.08551="","-",446237.08551)</f>
        <v>446237.08551</v>
      </c>
      <c r="C51" s="59">
        <f>IF(525763.46523="","-",446237.08551/525763.46523*100)</f>
        <v>84.874114505995507</v>
      </c>
      <c r="D51" s="46">
        <f>IF(525763.46523="","-",525763.46523/2808282.38613*100)</f>
        <v>18.721887365270877</v>
      </c>
      <c r="E51" s="46">
        <f>IF(446237.08551="","-",446237.08551/2393202.72267*100)</f>
        <v>18.646021136569292</v>
      </c>
      <c r="F51" s="46">
        <f>IF(2734888.97913="","-",(525763.46523-545049.99174)/2734888.97913*100)</f>
        <v>-0.70520326993804572</v>
      </c>
      <c r="G51" s="46">
        <f>IF(2808282.38613="","-",(446237.08551-525763.46523)/2808282.38613*100)</f>
        <v>-2.831851245187369</v>
      </c>
    </row>
    <row r="52" spans="1:7" s="9" customFormat="1" x14ac:dyDescent="0.25">
      <c r="A52" s="47" t="s">
        <v>239</v>
      </c>
      <c r="B52" s="48">
        <f>IF(18552.03806="","-",18552.03806)</f>
        <v>18552.038059999999</v>
      </c>
      <c r="C52" s="60">
        <f>IF(OR(25655.8899="",18552.03806=""),"-",18552.03806/25655.8899*100)</f>
        <v>72.311029289223754</v>
      </c>
      <c r="D52" s="48">
        <f>IF(25655.8899="","-",25655.8899/2808282.38613*100)</f>
        <v>0.91357941874768234</v>
      </c>
      <c r="E52" s="48">
        <f>IF(18552.03806="","-",18552.03806/2393202.72267*100)</f>
        <v>0.7751970981924271</v>
      </c>
      <c r="F52" s="48">
        <f>IF(OR(2734888.97913="",30464.73899="",25655.8899=""),"-",(25655.8899-30464.73899)/2734888.97913*100)</f>
        <v>-0.17583342968202514</v>
      </c>
      <c r="G52" s="48">
        <f>IF(OR(2808282.38613="",18552.03806="",25655.8899=""),"-",(18552.03806-25655.8899)/2808282.38613*100)</f>
        <v>-0.25296073767672561</v>
      </c>
    </row>
    <row r="53" spans="1:7" s="9" customFormat="1" x14ac:dyDescent="0.25">
      <c r="A53" s="47" t="s">
        <v>30</v>
      </c>
      <c r="B53" s="48">
        <f>IF(24557.01474="","-",24557.01474)</f>
        <v>24557.014739999999</v>
      </c>
      <c r="C53" s="60">
        <f>IF(OR(28661.84327="",24557.01474=""),"-",24557.01474/28661.84327*100)</f>
        <v>85.678420988727979</v>
      </c>
      <c r="D53" s="48">
        <f>IF(28661.84327="","-",28661.84327/2808282.38613*100)</f>
        <v>1.020618275838632</v>
      </c>
      <c r="E53" s="48">
        <f>IF(24557.01474="","-",24557.01474/2393202.72267*100)</f>
        <v>1.026115109571776</v>
      </c>
      <c r="F53" s="48">
        <f>IF(OR(2734888.97913="",30148.57462="",28661.84327=""),"-",(28661.84327-30148.57462)/2734888.97913*100)</f>
        <v>-5.4361671034739587E-2</v>
      </c>
      <c r="G53" s="48">
        <f>IF(OR(2808282.38613="",24557.01474="",28661.84327=""),"-",(24557.01474-28661.84327)/2808282.38613*100)</f>
        <v>-0.1461686527777119</v>
      </c>
    </row>
    <row r="54" spans="1:7" s="9" customFormat="1" x14ac:dyDescent="0.25">
      <c r="A54" s="47" t="s">
        <v>240</v>
      </c>
      <c r="B54" s="48">
        <f>IF(33919.35039="","-",33919.35039)</f>
        <v>33919.35039</v>
      </c>
      <c r="C54" s="60">
        <f>IF(OR(39920.95491="",33919.35039=""),"-",33919.35039/39920.95491*100)</f>
        <v>84.966280156548493</v>
      </c>
      <c r="D54" s="48">
        <f>IF(39920.95491="","-",39920.95491/2808282.38613*100)</f>
        <v>1.4215434710970691</v>
      </c>
      <c r="E54" s="48">
        <f>IF(33919.35039="","-",33919.35039/2393202.72267*100)</f>
        <v>1.4173203995087196</v>
      </c>
      <c r="F54" s="48">
        <f>IF(OR(2734888.97913="",37015.62153="",39920.95491=""),"-",(39920.95491-37015.62153)/2734888.97913*100)</f>
        <v>0.1062322237637677</v>
      </c>
      <c r="G54" s="48">
        <f>IF(OR(2808282.38613="",33919.35039="",39920.95491=""),"-",(33919.35039-39920.95491)/2808282.38613*100)</f>
        <v>-0.21371086289760952</v>
      </c>
    </row>
    <row r="55" spans="1:7" s="9" customFormat="1" ht="25.5" x14ac:dyDescent="0.25">
      <c r="A55" s="47" t="s">
        <v>241</v>
      </c>
      <c r="B55" s="48">
        <f>IF(42872.3035099999="","-",42872.3035099999)</f>
        <v>42872.303509999903</v>
      </c>
      <c r="C55" s="60">
        <f>IF(OR(50615.86993="",42872.3035099999=""),"-",42872.3035099999/50615.86993*100)</f>
        <v>84.70130725657944</v>
      </c>
      <c r="D55" s="48">
        <f>IF(50615.86993="","-",50615.86993/2808282.38613*100)</f>
        <v>1.8023782145267817</v>
      </c>
      <c r="E55" s="48">
        <f>IF(42872.3035099999="","-",42872.3035099999/2393202.72267*100)</f>
        <v>1.7914196362842594</v>
      </c>
      <c r="F55" s="48">
        <f>IF(OR(2734888.97913="",47841.1973="",50615.86993=""),"-",(50615.86993-47841.1973)/2734888.97913*100)</f>
        <v>0.10145467151221096</v>
      </c>
      <c r="G55" s="48">
        <f>IF(OR(2808282.38613="",42872.3035099999="",50615.86993=""),"-",(42872.3035099999-50615.86993)/2808282.38613*100)</f>
        <v>-0.27574030511480174</v>
      </c>
    </row>
    <row r="56" spans="1:7" s="9" customFormat="1" ht="25.5" x14ac:dyDescent="0.25">
      <c r="A56" s="47" t="s">
        <v>242</v>
      </c>
      <c r="B56" s="48">
        <f>IF(114964.8992="","-",114964.8992)</f>
        <v>114964.8992</v>
      </c>
      <c r="C56" s="60">
        <f>IF(OR(136962.65796="",114964.8992=""),"-",114964.8992/136962.65796*100)</f>
        <v>83.938864003044927</v>
      </c>
      <c r="D56" s="48">
        <f>IF(136962.65796="","-",136962.65796/2808282.38613*100)</f>
        <v>4.8770970695986051</v>
      </c>
      <c r="E56" s="48">
        <f>IF(114964.8992="","-",114964.8992/2393202.72267*100)</f>
        <v>4.8038094771903941</v>
      </c>
      <c r="F56" s="48">
        <f>IF(OR(2734888.97913="",152902.27305="",136962.65796=""),"-",(136962.65796-152902.27305)/2734888.97913*100)</f>
        <v>-0.58282494140111518</v>
      </c>
      <c r="G56" s="48">
        <f>IF(OR(2808282.38613="",114964.8992="",136962.65796=""),"-",(114964.8992-136962.65796)/2808282.38613*100)</f>
        <v>-0.78331719305174252</v>
      </c>
    </row>
    <row r="57" spans="1:7" s="9" customFormat="1" x14ac:dyDescent="0.25">
      <c r="A57" s="47" t="s">
        <v>31</v>
      </c>
      <c r="B57" s="48">
        <f>IF(57326.41145="","-",57326.41145)</f>
        <v>57326.41145</v>
      </c>
      <c r="C57" s="60">
        <f>IF(OR(59365.33963="",57326.41145=""),"-",57326.41145/59365.33963*100)</f>
        <v>96.565456893352561</v>
      </c>
      <c r="D57" s="48">
        <f>IF(59365.33963="","-",59365.33963/2808282.38613*100)</f>
        <v>2.1139376838740702</v>
      </c>
      <c r="E57" s="48">
        <f>IF(57326.41145="","-",57326.41145/2393202.72267*100)</f>
        <v>2.3953846829174266</v>
      </c>
      <c r="F57" s="48">
        <f>IF(OR(2734888.97913="",55397.58553="",59365.33963=""),"-",(59365.33963-55397.58553)/2734888.97913*100)</f>
        <v>0.14507916519749164</v>
      </c>
      <c r="G57" s="48">
        <f>IF(OR(2808282.38613="",57326.41145="",59365.33963=""),"-",(57326.41145-59365.33963)/2808282.38613*100)</f>
        <v>-7.2604101000319318E-2</v>
      </c>
    </row>
    <row r="58" spans="1:7" s="9" customFormat="1" ht="16.5" customHeight="1" x14ac:dyDescent="0.25">
      <c r="A58" s="47" t="s">
        <v>243</v>
      </c>
      <c r="B58" s="48">
        <f>IF(58001.11481="","-",58001.11481)</f>
        <v>58001.114809999999</v>
      </c>
      <c r="C58" s="60">
        <f>IF(OR(61419.66162="",58001.11481=""),"-",58001.11481/61419.66162*100)</f>
        <v>94.434116503033906</v>
      </c>
      <c r="D58" s="48">
        <f>IF(61419.66162="","-",61419.66162/2808282.38613*100)</f>
        <v>2.1870899423558461</v>
      </c>
      <c r="E58" s="48">
        <f>IF(58001.11481="","-",58001.11481/2393202.72267*100)</f>
        <v>2.4235771696469777</v>
      </c>
      <c r="F58" s="48">
        <f>IF(OR(2734888.97913="",60943.9549="",61419.66162=""),"-",(61419.66162-60943.9549)/2734888.97913*100)</f>
        <v>1.7394004788864586E-2</v>
      </c>
      <c r="G58" s="48">
        <f>IF(OR(2808282.38613="",58001.11481="",61419.66162=""),"-",(58001.11481-61419.66162)/2808282.38613*100)</f>
        <v>-0.12173087816538938</v>
      </c>
    </row>
    <row r="59" spans="1:7" s="9" customFormat="1" ht="16.5" customHeight="1" x14ac:dyDescent="0.25">
      <c r="A59" s="47" t="s">
        <v>32</v>
      </c>
      <c r="B59" s="48">
        <f>IF(29913.38079="","-",29913.38079)</f>
        <v>29913.380789999999</v>
      </c>
      <c r="C59" s="60">
        <f>IF(OR(45232.8400499999="",29913.38079=""),"-",29913.38079/45232.8400499999*100)</f>
        <v>66.131997807199525</v>
      </c>
      <c r="D59" s="48">
        <f>IF(45232.8400499999="","-",45232.8400499999/2808282.38613*100)</f>
        <v>1.6106941479034722</v>
      </c>
      <c r="E59" s="48">
        <f>IF(29913.38079="","-",29913.38079/2393202.72267*100)</f>
        <v>1.249930919208835</v>
      </c>
      <c r="F59" s="48">
        <f>IF(OR(2734888.97913="",52663.0709="",45232.8400499999=""),"-",(45232.8400499999-52663.0709)/2734888.97913*100)</f>
        <v>-0.2716830886628438</v>
      </c>
      <c r="G59" s="48">
        <f>IF(OR(2808282.38613="",29913.38079="",45232.8400499999=""),"-",(29913.38079-45232.8400499999)/2808282.38613*100)</f>
        <v>-0.54550992933125697</v>
      </c>
    </row>
    <row r="60" spans="1:7" s="9" customFormat="1" ht="16.5" customHeight="1" x14ac:dyDescent="0.25">
      <c r="A60" s="47" t="s">
        <v>33</v>
      </c>
      <c r="B60" s="48">
        <f>IF(66130.57256="","-",66130.57256)</f>
        <v>66130.572560000001</v>
      </c>
      <c r="C60" s="60">
        <f>IF(OR(77928.40796="",66130.57256=""),"-",66130.57256/77928.40796*100)</f>
        <v>84.86067442048126</v>
      </c>
      <c r="D60" s="48">
        <f>IF(77928.40796="","-",77928.40796/2808282.38613*100)</f>
        <v>2.7749491413287157</v>
      </c>
      <c r="E60" s="48">
        <f>IF(66130.57256="","-",66130.57256/2393202.72267*100)</f>
        <v>2.763266644048473</v>
      </c>
      <c r="F60" s="48">
        <f>IF(OR(2734888.97913="",77672.97492="",77928.40796=""),"-",(77928.40796-77672.97492)/2734888.97913*100)</f>
        <v>9.3397955803405149E-3</v>
      </c>
      <c r="G60" s="48">
        <f>IF(OR(2808282.38613="",66130.57256="",77928.40796=""),"-",(66130.57256-77928.40796)/2808282.38613*100)</f>
        <v>-0.42010858517181382</v>
      </c>
    </row>
    <row r="61" spans="1:7" s="9" customFormat="1" ht="15.75" customHeight="1" x14ac:dyDescent="0.25">
      <c r="A61" s="55" t="s">
        <v>244</v>
      </c>
      <c r="B61" s="46">
        <f>IF(552794.9119="","-",552794.9119)</f>
        <v>552794.91189999995</v>
      </c>
      <c r="C61" s="59">
        <f>IF(666845.29436="","-",552794.9119/666845.29436*100)</f>
        <v>82.897025228398874</v>
      </c>
      <c r="D61" s="46">
        <f>IF(666845.29436="","-",666845.29436/2808282.38613*100)</f>
        <v>23.745663814063846</v>
      </c>
      <c r="E61" s="46">
        <f>IF(552794.9119="","-",552794.9119/2393202.72267*100)</f>
        <v>23.098540991264997</v>
      </c>
      <c r="F61" s="46">
        <f>IF(2734888.97913="","-",(666845.29436-653592.2988)/2734888.97913*100)</f>
        <v>0.48458989235519179</v>
      </c>
      <c r="G61" s="46">
        <f>IF(2808282.38613="","-",(552794.9119-666845.29436)/2808282.38613*100)</f>
        <v>-4.0612148914685582</v>
      </c>
    </row>
    <row r="62" spans="1:7" s="9" customFormat="1" ht="25.5" x14ac:dyDescent="0.25">
      <c r="A62" s="47" t="s">
        <v>245</v>
      </c>
      <c r="B62" s="48">
        <f>IF(7565.09157="","-",7565.09157)</f>
        <v>7565.0915699999996</v>
      </c>
      <c r="C62" s="60">
        <f>IF(OR(8770.17993="",7565.09157=""),"-",7565.09157/8770.17993*100)</f>
        <v>86.259251581854372</v>
      </c>
      <c r="D62" s="48">
        <f>IF(8770.17993="","-",8770.17993/2808282.38613*100)</f>
        <v>0.31229693898717542</v>
      </c>
      <c r="E62" s="48">
        <f>IF(7565.09157="","-",7565.09157/2393202.72267*100)</f>
        <v>0.31610742785550283</v>
      </c>
      <c r="F62" s="48">
        <f>IF(OR(2734888.97913="",14445.46524="",8770.17993=""),"-",(8770.17993-14445.46524)/2734888.97913*100)</f>
        <v>-0.20751428497859442</v>
      </c>
      <c r="G62" s="48">
        <f>IF(OR(2808282.38613="",7565.09157="",8770.17993=""),"-",(7565.09157-8770.17993)/2808282.38613*100)</f>
        <v>-4.2911936703797532E-2</v>
      </c>
    </row>
    <row r="63" spans="1:7" s="9" customFormat="1" ht="25.5" x14ac:dyDescent="0.25">
      <c r="A63" s="47" t="s">
        <v>246</v>
      </c>
      <c r="B63" s="48">
        <f>IF(78228.2952="","-",78228.2952)</f>
        <v>78228.295199999993</v>
      </c>
      <c r="C63" s="60">
        <f>IF(OR(98997.53451="",78228.2952=""),"-",78228.2952/98997.53451*100)</f>
        <v>79.020447920445889</v>
      </c>
      <c r="D63" s="48">
        <f>IF(98997.53451="","-",98997.53451/2808282.38613*100)</f>
        <v>3.5251987121717199</v>
      </c>
      <c r="E63" s="48">
        <f>IF(78228.2952="","-",78228.2952/2393202.72267*100)</f>
        <v>3.2687701070607105</v>
      </c>
      <c r="F63" s="48">
        <f>IF(OR(2734888.97913="",109193.53111="",98997.53451=""),"-",(98997.53451-109193.53111)/2734888.97913*100)</f>
        <v>-0.37281208406651534</v>
      </c>
      <c r="G63" s="48">
        <f>IF(OR(2808282.38613="",78228.2952="",98997.53451=""),"-",(78228.2952-98997.53451)/2808282.38613*100)</f>
        <v>-0.73957089972783674</v>
      </c>
    </row>
    <row r="64" spans="1:7" s="9" customFormat="1" ht="25.5" x14ac:dyDescent="0.25">
      <c r="A64" s="47" t="s">
        <v>247</v>
      </c>
      <c r="B64" s="48">
        <f>IF(6739.02872="","-",6739.02872)</f>
        <v>6739.0287200000002</v>
      </c>
      <c r="C64" s="60">
        <f>IF(OR(4864.78195="",6739.02872=""),"-",6739.02872/4864.78195*100)</f>
        <v>138.52684024203802</v>
      </c>
      <c r="D64" s="48">
        <f>IF(4864.78195="","-",4864.78195/2808282.38613*100)</f>
        <v>0.17322979961085727</v>
      </c>
      <c r="E64" s="48">
        <f>IF(6739.02872="","-",6739.02872/2393202.72267*100)</f>
        <v>0.28159038330365666</v>
      </c>
      <c r="F64" s="48">
        <f>IF(OR(2734888.97913="",5974.94259="",4864.78195=""),"-",(4864.78195-5974.94259)/2734888.97913*100)</f>
        <v>-4.059253039050803E-2</v>
      </c>
      <c r="G64" s="48">
        <f>IF(OR(2808282.38613="",6739.02872="",4864.78195=""),"-",(6739.02872-4864.78195)/2808282.38613*100)</f>
        <v>6.6739968147677534E-2</v>
      </c>
    </row>
    <row r="65" spans="1:7" s="9" customFormat="1" ht="27" customHeight="1" x14ac:dyDescent="0.25">
      <c r="A65" s="47" t="s">
        <v>248</v>
      </c>
      <c r="B65" s="48">
        <f>IF(91769.84935="","-",91769.84935)</f>
        <v>91769.849350000004</v>
      </c>
      <c r="C65" s="60">
        <f>IF(OR(92613.51564="",91769.84935=""),"-",91769.84935/92613.51564*100)</f>
        <v>99.089046254026869</v>
      </c>
      <c r="D65" s="48">
        <f>IF(92613.51564="","-",92613.51564/2808282.38613*100)</f>
        <v>3.297870474045439</v>
      </c>
      <c r="E65" s="48">
        <f>IF(91769.84935="","-",91769.84935/2393202.72267*100)</f>
        <v>3.8346040843383324</v>
      </c>
      <c r="F65" s="48">
        <f>IF(OR(2734888.97913="",82265.79407="",92613.51564=""),"-",(92613.51564-82265.79407)/2734888.97913*100)</f>
        <v>0.37835984016037555</v>
      </c>
      <c r="G65" s="48">
        <f>IF(OR(2808282.38613="",91769.84935="",92613.51564=""),"-",(91769.84935-92613.51564)/2808282.38613*100)</f>
        <v>-3.0042074620658856E-2</v>
      </c>
    </row>
    <row r="66" spans="1:7" s="9" customFormat="1" ht="25.5" x14ac:dyDescent="0.25">
      <c r="A66" s="47" t="s">
        <v>249</v>
      </c>
      <c r="B66" s="48">
        <f>IF(20530.59668="","-",20530.59668)</f>
        <v>20530.596679999999</v>
      </c>
      <c r="C66" s="60">
        <f>IF(OR(22105.35623="",20530.59668=""),"-",20530.59668/22105.35623*100)</f>
        <v>92.876117744427773</v>
      </c>
      <c r="D66" s="48">
        <f>IF(22105.35623="","-",22105.35623/2808282.38613*100)</f>
        <v>0.78714862647636563</v>
      </c>
      <c r="E66" s="48">
        <f>IF(20530.59668="","-",20530.59668/2393202.72267*100)</f>
        <v>0.85787119016373337</v>
      </c>
      <c r="F66" s="48">
        <f>IF(OR(2734888.97913="",24813.31729="",22105.35623=""),"-",(22105.35623-24813.31729)/2734888.97913*100)</f>
        <v>-9.9015392605129871E-2</v>
      </c>
      <c r="G66" s="48">
        <f>IF(OR(2808282.38613="",20530.59668="",22105.35623=""),"-",(20530.59668-22105.35623)/2808282.38613*100)</f>
        <v>-5.6075541326530413E-2</v>
      </c>
    </row>
    <row r="67" spans="1:7" s="9" customFormat="1" ht="38.25" x14ac:dyDescent="0.25">
      <c r="A67" s="47" t="s">
        <v>250</v>
      </c>
      <c r="B67" s="48">
        <f>IF(65237.62219="","-",65237.62219)</f>
        <v>65237.622190000002</v>
      </c>
      <c r="C67" s="60">
        <f>IF(OR(71313.83309="",65237.62219=""),"-",65237.62219/71313.83309*100)</f>
        <v>91.479618137575557</v>
      </c>
      <c r="D67" s="48">
        <f>IF(71313.83309="","-",71313.83309/2808282.38613*100)</f>
        <v>2.5394110450649947</v>
      </c>
      <c r="E67" s="48">
        <f>IF(65237.62219="","-",65237.62219/2393202.72267*100)</f>
        <v>2.7259547037961336</v>
      </c>
      <c r="F67" s="48">
        <f>IF(OR(2734888.97913="",68217.59816="",71313.83309=""),"-",(71313.83309-68217.59816)/2734888.97913*100)</f>
        <v>0.11321245409329025</v>
      </c>
      <c r="G67" s="48">
        <f>IF(OR(2808282.38613="",65237.62219="",71313.83309=""),"-",(65237.62219-71313.83309)/2808282.38613*100)</f>
        <v>-0.21636751809612073</v>
      </c>
    </row>
    <row r="68" spans="1:7" s="9" customFormat="1" ht="51" x14ac:dyDescent="0.25">
      <c r="A68" s="47" t="s">
        <v>251</v>
      </c>
      <c r="B68" s="48">
        <f>IF(163411.49021="","-",163411.49021)</f>
        <v>163411.49020999999</v>
      </c>
      <c r="C68" s="60">
        <f>IF(OR(206779.80816="",163411.49021=""),"-",163411.49021/206779.80816*100)</f>
        <v>79.026811981350278</v>
      </c>
      <c r="D68" s="48">
        <f>IF(206779.80816="","-",206779.80816/2808282.38613*100)</f>
        <v>7.363212801578559</v>
      </c>
      <c r="E68" s="48">
        <f>IF(163411.49021="","-",163411.49021/2393202.72267*100)</f>
        <v>6.8281507731066071</v>
      </c>
      <c r="F68" s="48">
        <f>IF(OR(2734888.97913="",201808.14116="",206779.80816=""),"-",(206779.80816-201808.14116)/2734888.97913*100)</f>
        <v>0.18178679419672575</v>
      </c>
      <c r="G68" s="48">
        <f>IF(OR(2808282.38613="",163411.49021="",206779.80816=""),"-",(163411.49021-206779.80816)/2808282.38613*100)</f>
        <v>-1.5443004650883569</v>
      </c>
    </row>
    <row r="69" spans="1:7" s="9" customFormat="1" ht="25.5" x14ac:dyDescent="0.25">
      <c r="A69" s="47" t="s">
        <v>252</v>
      </c>
      <c r="B69" s="48">
        <f>IF(115464.88492="","-",115464.88492)</f>
        <v>115464.88492</v>
      </c>
      <c r="C69" s="60">
        <f>IF(OR(158393.76015="",115464.88492=""),"-",115464.88492/158393.76015*100)</f>
        <v>72.897369701087939</v>
      </c>
      <c r="D69" s="48">
        <f>IF(158393.76015="","-",158393.76015/2808282.38613*100)</f>
        <v>5.6402362145737461</v>
      </c>
      <c r="E69" s="48">
        <f>IF(115464.88492="","-",115464.88492/2393202.72267*100)</f>
        <v>4.8247013855633787</v>
      </c>
      <c r="F69" s="48">
        <f>IF(OR(2734888.97913="",145507.75361="",158393.76015=""),"-",(158393.76015-145507.75361)/2734888.97913*100)</f>
        <v>0.47117110194722278</v>
      </c>
      <c r="G69" s="48">
        <f>IF(OR(2808282.38613="",115464.88492="",158393.76015=""),"-",(115464.88492-158393.76015)/2808282.38613*100)</f>
        <v>-1.5286523692212748</v>
      </c>
    </row>
    <row r="70" spans="1:7" s="9" customFormat="1" x14ac:dyDescent="0.25">
      <c r="A70" s="47" t="s">
        <v>34</v>
      </c>
      <c r="B70" s="48">
        <f>IF(3848.05306="","-",3848.05306)</f>
        <v>3848.0530600000002</v>
      </c>
      <c r="C70" s="60">
        <f>IF(OR(3006.5247="",3848.05306=""),"-",3848.05306/3006.5247*100)</f>
        <v>127.9900697306761</v>
      </c>
      <c r="D70" s="48">
        <f>IF(3006.5247="","-",3006.5247/2808282.38613*100)</f>
        <v>0.1070592015549829</v>
      </c>
      <c r="E70" s="48">
        <f>IF(3848.05306="","-",3848.05306/2393202.72267*100)</f>
        <v>0.16079093607694386</v>
      </c>
      <c r="F70" s="48">
        <f>IF(OR(2734888.97913="",1365.75557="",3006.5247=""),"-",(3006.5247-1365.75557)/2734888.97913*100)</f>
        <v>5.9993993998321192E-2</v>
      </c>
      <c r="G70" s="48">
        <f>IF(OR(2808282.38613="",3848.05306="",3006.5247=""),"-",(3848.05306-3006.5247)/2808282.38613*100)</f>
        <v>2.9965945168344783E-2</v>
      </c>
    </row>
    <row r="71" spans="1:7" s="9" customFormat="1" x14ac:dyDescent="0.25">
      <c r="A71" s="55" t="s">
        <v>35</v>
      </c>
      <c r="B71" s="46">
        <f>IF(236128.09588="","-",236128.09588)</f>
        <v>236128.09588000001</v>
      </c>
      <c r="C71" s="59">
        <f>IF(293128.63324="","-",236128.09588/293128.63324*100)</f>
        <v>80.554428705935862</v>
      </c>
      <c r="D71" s="46">
        <f>IF(293128.63324="","-",293128.63324/2808282.38613*100)</f>
        <v>10.438004193871356</v>
      </c>
      <c r="E71" s="46">
        <f>IF(236128.09588="","-",236128.09588/2393202.72267*100)</f>
        <v>9.8666148773456772</v>
      </c>
      <c r="F71" s="46">
        <f>IF(2734888.97913="","-",(293128.63324-272453.73011)/2734888.97913*100)</f>
        <v>0.75596864398411234</v>
      </c>
      <c r="G71" s="46">
        <f>IF(2808282.38613="","-",(236128.09588-293128.63324)/2808282.38613*100)</f>
        <v>-2.0297295471966592</v>
      </c>
    </row>
    <row r="72" spans="1:7" s="9" customFormat="1" ht="38.25" x14ac:dyDescent="0.25">
      <c r="A72" s="47" t="s">
        <v>253</v>
      </c>
      <c r="B72" s="48">
        <f>IF(17930.52908="","-",17930.52908)</f>
        <v>17930.52908</v>
      </c>
      <c r="C72" s="60">
        <f>IF(OR(20190.55228="",17930.52908=""),"-",17930.52908/20190.55228*100)</f>
        <v>88.806531051462656</v>
      </c>
      <c r="D72" s="48">
        <f>IF(20190.55228="","-",20190.55228/2808282.38613*100)</f>
        <v>0.71896445954724386</v>
      </c>
      <c r="E72" s="48">
        <f>IF(17930.52908="","-",17930.52908/2393202.72267*100)</f>
        <v>0.74922733916981465</v>
      </c>
      <c r="F72" s="48">
        <f>IF(OR(2734888.97913="",17918.03501="",20190.55228=""),"-",(20190.55228-17918.03501)/2734888.97913*100)</f>
        <v>8.3093583956849126E-2</v>
      </c>
      <c r="G72" s="48">
        <f>IF(OR(2808282.38613="",17930.52908="",20190.55228=""),"-",(17930.52908-20190.55228)/2808282.38613*100)</f>
        <v>-8.047706353044011E-2</v>
      </c>
    </row>
    <row r="73" spans="1:7" s="9" customFormat="1" x14ac:dyDescent="0.25">
      <c r="A73" s="47" t="s">
        <v>254</v>
      </c>
      <c r="B73" s="48">
        <f>IF(20798.77945="","-",20798.77945)</f>
        <v>20798.779450000002</v>
      </c>
      <c r="C73" s="60">
        <f>IF(OR(25173.37021="",20798.77945=""),"-",20798.77945/25173.37021*100)</f>
        <v>82.622149026902193</v>
      </c>
      <c r="D73" s="48">
        <f>IF(25173.37021="","-",25173.37021/2808282.38613*100)</f>
        <v>0.89639739701143728</v>
      </c>
      <c r="E73" s="48">
        <f>IF(20798.77945="","-",20798.77945/2393202.72267*100)</f>
        <v>0.86907720992376436</v>
      </c>
      <c r="F73" s="48">
        <f>IF(OR(2734888.97913="",25016.45401="",25173.37021=""),"-",(25173.37021-25016.45401)/2734888.97913*100)</f>
        <v>5.737571111567261E-3</v>
      </c>
      <c r="G73" s="48">
        <f>IF(OR(2808282.38613="",20798.77945="",25173.37021=""),"-",(20798.77945-25173.37021)/2808282.38613*100)</f>
        <v>-0.15577460377937549</v>
      </c>
    </row>
    <row r="74" spans="1:7" x14ac:dyDescent="0.25">
      <c r="A74" s="47" t="s">
        <v>255</v>
      </c>
      <c r="B74" s="48">
        <f>IF(3609.74162="","-",3609.74162)</f>
        <v>3609.7416199999998</v>
      </c>
      <c r="C74" s="60">
        <f>IF(OR(4782.11778="",3609.74162=""),"-",3609.74162/4782.11778*100)</f>
        <v>75.484163838390444</v>
      </c>
      <c r="D74" s="48">
        <f>IF(4782.11778="","-",4782.11778/2808282.38613*100)</f>
        <v>0.17028621493403576</v>
      </c>
      <c r="E74" s="48">
        <f>IF(3609.74162="","-",3609.74162/2393202.72267*100)</f>
        <v>0.15083309014343574</v>
      </c>
      <c r="F74" s="48">
        <f>IF(OR(2734888.97913="",3773.67589="",4782.11778=""),"-",(4782.11778-3773.67589)/2734888.97913*100)</f>
        <v>3.6873229505674364E-2</v>
      </c>
      <c r="G74" s="48">
        <f>IF(OR(2808282.38613="",3609.74162="",4782.11778=""),"-",(3609.74162-4782.11778)/2808282.38613*100)</f>
        <v>-4.1747089459034506E-2</v>
      </c>
    </row>
    <row r="75" spans="1:7" x14ac:dyDescent="0.25">
      <c r="A75" s="47" t="s">
        <v>256</v>
      </c>
      <c r="B75" s="48">
        <f>IF(53225.96636="","-",53225.96636)</f>
        <v>53225.966359999999</v>
      </c>
      <c r="C75" s="60">
        <f>IF(OR(67873.84571="",53225.96636=""),"-",53225.96636/67873.84571*100)</f>
        <v>78.418963598165618</v>
      </c>
      <c r="D75" s="48">
        <f>IF(67873.84571="","-",67873.84571/2808282.38613*100)</f>
        <v>2.4169166906158135</v>
      </c>
      <c r="E75" s="48">
        <f>IF(53225.96636="","-",53225.96636/2393202.72267*100)</f>
        <v>2.2240475433112463</v>
      </c>
      <c r="F75" s="48">
        <f>IF(OR(2734888.97913="",68390.92738="",67873.84571=""),"-",(67873.84571-68390.92738)/2734888.97913*100)</f>
        <v>-1.8906861446510683E-2</v>
      </c>
      <c r="G75" s="48">
        <f>IF(OR(2808282.38613="",53225.96636="",67873.84571=""),"-",(53225.96636-67873.84571)/2808282.38613*100)</f>
        <v>-0.52159567080380931</v>
      </c>
    </row>
    <row r="76" spans="1:7" x14ac:dyDescent="0.25">
      <c r="A76" s="47" t="s">
        <v>257</v>
      </c>
      <c r="B76" s="48">
        <f>IF(18096.56023="","-",18096.56023)</f>
        <v>18096.560229999999</v>
      </c>
      <c r="C76" s="60">
        <f>IF(OR(23580.79112="",18096.56023=""),"-",18096.56023/23580.79112*100)</f>
        <v>76.742803657047105</v>
      </c>
      <c r="D76" s="48">
        <f>IF(23580.79112="","-",23580.79112/2808282.38613*100)</f>
        <v>0.83968732049400141</v>
      </c>
      <c r="E76" s="48">
        <f>IF(18096.56023="","-",18096.56023/2393202.72267*100)</f>
        <v>0.75616495245377269</v>
      </c>
      <c r="F76" s="48">
        <f>IF(OR(2734888.97913="",20708.77462="",23580.79112=""),"-",(23580.79112-20708.77462)/2734888.97913*100)</f>
        <v>0.10501400685426082</v>
      </c>
      <c r="G76" s="48">
        <f>IF(OR(2808282.38613="",18096.56023="",23580.79112=""),"-",(18096.56023-23580.79112)/2808282.38613*100)</f>
        <v>-0.19528772879417008</v>
      </c>
    </row>
    <row r="77" spans="1:7" ht="25.5" x14ac:dyDescent="0.25">
      <c r="A77" s="47" t="s">
        <v>258</v>
      </c>
      <c r="B77" s="48">
        <f>IF(24669.29959="","-",24669.29959)</f>
        <v>24669.299589999999</v>
      </c>
      <c r="C77" s="60">
        <f>IF(OR(28981.79877="",24669.29959=""),"-",24669.29959/28981.79877*100)</f>
        <v>85.119974042246099</v>
      </c>
      <c r="D77" s="48">
        <f>IF(28981.79877="","-",28981.79877/2808282.38613*100)</f>
        <v>1.0320115567130999</v>
      </c>
      <c r="E77" s="48">
        <f>IF(24669.29959="","-",24669.29959/2393202.72267*100)</f>
        <v>1.0308069331660068</v>
      </c>
      <c r="F77" s="48">
        <f>IF(OR(2734888.97913="",27064.4999="",28981.79877=""),"-",(28981.79877-27064.4999)/2734888.97913*100)</f>
        <v>7.0105181037729641E-2</v>
      </c>
      <c r="G77" s="48">
        <f>IF(OR(2808282.38613="",24669.29959="",28981.79877=""),"-",(24669.29959-28981.79877)/2808282.38613*100)</f>
        <v>-0.15356358752592947</v>
      </c>
    </row>
    <row r="78" spans="1:7" ht="25.5" x14ac:dyDescent="0.25">
      <c r="A78" s="47" t="s">
        <v>259</v>
      </c>
      <c r="B78" s="48">
        <f>IF(5007.19363="","-",5007.19363)</f>
        <v>5007.1936299999998</v>
      </c>
      <c r="C78" s="60">
        <f>IF(OR(5743.50752="",5007.19363=""),"-",5007.19363/5743.50752*100)</f>
        <v>87.180065710090688</v>
      </c>
      <c r="D78" s="48">
        <f>IF(5743.50752="","-",5743.50752/2808282.38613*100)</f>
        <v>0.20452029854144885</v>
      </c>
      <c r="E78" s="48">
        <f>IF(5007.19363="","-",5007.19363/2393202.72267*100)</f>
        <v>0.20922563653168816</v>
      </c>
      <c r="F78" s="48">
        <f>IF(OR(2734888.97913="",6417.20522="",5743.50752=""),"-",(5743.50752-6417.20522)/2734888.97913*100)</f>
        <v>-2.4633456975438572E-2</v>
      </c>
      <c r="G78" s="48">
        <f>IF(OR(2808282.38613="",5007.19363="",5743.50752=""),"-",(5007.19363-5743.50752)/2808282.38613*100)</f>
        <v>-2.6219367882540114E-2</v>
      </c>
    </row>
    <row r="79" spans="1:7" x14ac:dyDescent="0.25">
      <c r="A79" s="50" t="s">
        <v>36</v>
      </c>
      <c r="B79" s="48">
        <f>IF(92790.02592="","-",92790.02592)</f>
        <v>92790.02592</v>
      </c>
      <c r="C79" s="60">
        <f>IF(OR(116802.64985="",92790.02592=""),"-",92790.02592/116802.64985*100)</f>
        <v>79.441713042608683</v>
      </c>
      <c r="D79" s="48">
        <f>IF(116802.64985="","-",116802.64985/2808282.38613*100)</f>
        <v>4.1592202560142759</v>
      </c>
      <c r="E79" s="48">
        <f>IF(92790.02592="","-",92790.02592/2393202.72267*100)</f>
        <v>3.8772321726459467</v>
      </c>
      <c r="F79" s="48">
        <f>IF(OR(2734888.97913="",103164.15808="",116802.64985=""),"-",(116802.64985-103164.15808)/2734888.97913*100)</f>
        <v>0.49868538993998113</v>
      </c>
      <c r="G79" s="48">
        <f>IF(OR(2808282.38613="",92790.02592="",116802.64985=""),"-",(92790.02592-116802.64985)/2808282.38613*100)</f>
        <v>-0.85506443542136079</v>
      </c>
    </row>
    <row r="80" spans="1:7" ht="25.5" x14ac:dyDescent="0.25">
      <c r="A80" s="56" t="s">
        <v>260</v>
      </c>
      <c r="B80" s="57">
        <f>IF(177.52041="","-",177.52041)</f>
        <v>177.52041</v>
      </c>
      <c r="C80" s="61">
        <f>IF(140.81538="","-",177.52041/140.81538*100)</f>
        <v>126.06606607886155</v>
      </c>
      <c r="D80" s="57">
        <f>IF(140.81538="","-",140.81538/2808282.38613*100)</f>
        <v>5.0142884738187945E-3</v>
      </c>
      <c r="E80" s="57">
        <f>IF(177.52041="","-",177.52041/2393202.72267*100)</f>
        <v>7.4176921293966939E-3</v>
      </c>
      <c r="F80" s="57">
        <f>IF(2734888.97913="","-",(140.81538-274.11022)/2734888.97913*100)</f>
        <v>-4.873866581684887E-3</v>
      </c>
      <c r="G80" s="57">
        <f>IF(2808282.38613="","-",(177.52041-140.81538)/2808282.38613*100)</f>
        <v>1.3070277469703453E-3</v>
      </c>
    </row>
    <row r="81" spans="1:1" x14ac:dyDescent="0.25">
      <c r="A81" s="26" t="s">
        <v>21</v>
      </c>
    </row>
  </sheetData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1"/>
  <sheetViews>
    <sheetView zoomScale="99" zoomScaleNormal="99" workbookViewId="0">
      <selection activeCell="D13" sqref="D13"/>
    </sheetView>
  </sheetViews>
  <sheetFormatPr defaultRowHeight="15.75" x14ac:dyDescent="0.25"/>
  <cols>
    <col min="1" max="1" width="42.125" customWidth="1"/>
    <col min="2" max="2" width="13.75" customWidth="1"/>
    <col min="3" max="3" width="13.875" customWidth="1"/>
    <col min="4" max="4" width="16.75" customWidth="1"/>
    <col min="6" max="6" width="12.125" bestFit="1" customWidth="1"/>
  </cols>
  <sheetData>
    <row r="1" spans="1:6" x14ac:dyDescent="0.25">
      <c r="A1" s="95" t="s">
        <v>169</v>
      </c>
      <c r="B1" s="95"/>
      <c r="C1" s="95"/>
      <c r="D1" s="95"/>
    </row>
    <row r="2" spans="1:6" x14ac:dyDescent="0.25">
      <c r="A2" s="95" t="s">
        <v>23</v>
      </c>
      <c r="B2" s="95"/>
      <c r="C2" s="95"/>
      <c r="D2" s="95"/>
    </row>
    <row r="3" spans="1:6" x14ac:dyDescent="0.25">
      <c r="A3" s="5"/>
    </row>
    <row r="4" spans="1:6" ht="25.5" customHeight="1" x14ac:dyDescent="0.25">
      <c r="A4" s="96"/>
      <c r="B4" s="100" t="s">
        <v>285</v>
      </c>
      <c r="C4" s="101"/>
      <c r="D4" s="98" t="s">
        <v>288</v>
      </c>
      <c r="E4" s="1"/>
    </row>
    <row r="5" spans="1:6" ht="27" customHeight="1" x14ac:dyDescent="0.25">
      <c r="A5" s="97"/>
      <c r="B5" s="21">
        <v>2019</v>
      </c>
      <c r="C5" s="20">
        <v>2020</v>
      </c>
      <c r="D5" s="99"/>
      <c r="E5" s="1"/>
    </row>
    <row r="6" spans="1:6" ht="14.25" customHeight="1" x14ac:dyDescent="0.25">
      <c r="A6" s="49" t="s">
        <v>143</v>
      </c>
      <c r="B6" s="45">
        <f>IF(-1447068.90834="","-",-1447068.90834)</f>
        <v>-1447068.9083400001</v>
      </c>
      <c r="C6" s="45">
        <f>IF(-1222971.52503="","-",-1222971.52503)</f>
        <v>-1222971.5250299999</v>
      </c>
      <c r="D6" s="65">
        <f>IF(-1447068.90834="","-",-1222971.52503/-1447068.90834*100)</f>
        <v>84.513703389075459</v>
      </c>
      <c r="F6" s="18"/>
    </row>
    <row r="7" spans="1:6" x14ac:dyDescent="0.25">
      <c r="A7" s="64" t="s">
        <v>141</v>
      </c>
      <c r="B7" s="38"/>
      <c r="C7" s="38"/>
      <c r="D7" s="66"/>
    </row>
    <row r="8" spans="1:6" x14ac:dyDescent="0.25">
      <c r="A8" s="55" t="s">
        <v>261</v>
      </c>
      <c r="B8" s="46">
        <f>IF(-13589.00533="","-",-13589.00533)</f>
        <v>-13589.00533</v>
      </c>
      <c r="C8" s="46">
        <f>IF(3350.42845="","-",3350.42845)</f>
        <v>3350.4284499999999</v>
      </c>
      <c r="D8" s="67" t="s">
        <v>22</v>
      </c>
    </row>
    <row r="9" spans="1:6" x14ac:dyDescent="0.25">
      <c r="A9" s="47" t="s">
        <v>24</v>
      </c>
      <c r="B9" s="48">
        <f>IF(OR(2481.70194="",2481.70194=0),"-",2481.70194)</f>
        <v>2481.7019399999999</v>
      </c>
      <c r="C9" s="48">
        <f>IF(OR(2831.44739="",2831.44739=0),"-",2831.44739)</f>
        <v>2831.4473899999998</v>
      </c>
      <c r="D9" s="68">
        <f>IF(OR(2481.70194="",2831.44739="",2481.70194=0,2831.44739=0),"-",2831.44739/2481.70194*100)</f>
        <v>114.092967586591</v>
      </c>
    </row>
    <row r="10" spans="1:6" x14ac:dyDescent="0.25">
      <c r="A10" s="47" t="s">
        <v>262</v>
      </c>
      <c r="B10" s="48">
        <f>IF(OR(-19332.70625="",-19332.70625=0),"-",-19332.70625)</f>
        <v>-19332.706249999999</v>
      </c>
      <c r="C10" s="48">
        <f>IF(OR(-16126.70956="",-16126.70956=0),"-",-16126.70956)</f>
        <v>-16126.709559999999</v>
      </c>
      <c r="D10" s="68">
        <f>IF(OR(-19332.70625="",-16126.70956="",-19332.70625=0,-16126.70956=0),"-",-16126.70956/-19332.70625*100)</f>
        <v>83.416720615614793</v>
      </c>
    </row>
    <row r="11" spans="1:6" x14ac:dyDescent="0.25">
      <c r="A11" s="47" t="s">
        <v>263</v>
      </c>
      <c r="B11" s="48">
        <f>IF(OR(-21399.82463="",-21399.82463=0),"-",-21399.82463)</f>
        <v>-21399.824629999999</v>
      </c>
      <c r="C11" s="48">
        <f>IF(OR(-34626.72842="",-34626.72842=0),"-",-34626.72842)</f>
        <v>-34626.728419999999</v>
      </c>
      <c r="D11" s="68" t="s">
        <v>107</v>
      </c>
    </row>
    <row r="12" spans="1:6" x14ac:dyDescent="0.25">
      <c r="A12" s="47" t="s">
        <v>264</v>
      </c>
      <c r="B12" s="48">
        <f>IF(OR(-25402.95594="",-25402.95594=0),"-",-25402.95594)</f>
        <v>-25402.95594</v>
      </c>
      <c r="C12" s="48">
        <f>IF(OR(-25678.27595="",-25678.27595=0),"-",-25678.27595)</f>
        <v>-25678.275949999999</v>
      </c>
      <c r="D12" s="68">
        <f>IF(OR(-25402.95594="",-25678.27595="",-25402.95594=0,-25678.27595=0),"-",-25678.27595/-25402.95594*100)</f>
        <v>101.08381091810845</v>
      </c>
    </row>
    <row r="13" spans="1:6" x14ac:dyDescent="0.25">
      <c r="A13" s="47" t="s">
        <v>265</v>
      </c>
      <c r="B13" s="48">
        <f>IF(OR(67928.91774="",67928.91774=0),"-",67928.91774)</f>
        <v>67928.917740000004</v>
      </c>
      <c r="C13" s="48">
        <f>IF(OR(62227.24349="",62227.24349=0),"-",62227.24349)</f>
        <v>62227.243490000001</v>
      </c>
      <c r="D13" s="68">
        <f>IF(OR(67928.91774="",62227.24349="",67928.91774=0,62227.24349=0),"-",62227.24349/67928.91774*100)</f>
        <v>91.606410878172184</v>
      </c>
    </row>
    <row r="14" spans="1:6" x14ac:dyDescent="0.25">
      <c r="A14" s="47" t="s">
        <v>266</v>
      </c>
      <c r="B14" s="48">
        <f>IF(OR(41718.31366="",41718.31366=0),"-",41718.31366)</f>
        <v>41718.31366</v>
      </c>
      <c r="C14" s="48">
        <f>IF(OR(71255.69845="",71255.69845=0),"-",71255.69845)</f>
        <v>71255.698449999996</v>
      </c>
      <c r="D14" s="68" t="s">
        <v>106</v>
      </c>
    </row>
    <row r="15" spans="1:6" x14ac:dyDescent="0.25">
      <c r="A15" s="47" t="s">
        <v>212</v>
      </c>
      <c r="B15" s="48">
        <f>IF(OR(-2281.74233="",-2281.74233=0),"-",-2281.74233)</f>
        <v>-2281.74233</v>
      </c>
      <c r="C15" s="48">
        <f>IF(OR(1849.27076="",1849.27076=0),"-",1849.27076)</f>
        <v>1849.2707600000001</v>
      </c>
      <c r="D15" s="68" t="s">
        <v>22</v>
      </c>
    </row>
    <row r="16" spans="1:6" x14ac:dyDescent="0.25">
      <c r="A16" s="47" t="s">
        <v>267</v>
      </c>
      <c r="B16" s="48">
        <f>IF(OR(-19168.46938="",-19168.46938=0),"-",-19168.46938)</f>
        <v>-19168.469379999999</v>
      </c>
      <c r="C16" s="48">
        <f>IF(OR(-20374.41613="",-20374.41613=0),"-",-20374.41613)</f>
        <v>-20374.416130000001</v>
      </c>
      <c r="D16" s="68">
        <f>IF(OR(-19168.46938="",-20374.41613="",-19168.46938=0,-20374.41613=0),"-",-20374.41613/-19168.46938*100)</f>
        <v>106.29130436078668</v>
      </c>
    </row>
    <row r="17" spans="1:4" x14ac:dyDescent="0.25">
      <c r="A17" s="47" t="s">
        <v>214</v>
      </c>
      <c r="B17" s="48">
        <f>IF(OR(-5154.02455="",-5154.02455=0),"-",-5154.02455)</f>
        <v>-5154.0245500000001</v>
      </c>
      <c r="C17" s="48">
        <f>IF(OR(-2069.32184="",-2069.32184=0),"-",-2069.32184)</f>
        <v>-2069.3218400000001</v>
      </c>
      <c r="D17" s="68">
        <f>IF(OR(-5154.02455="",-2069.32184="",-5154.02455=0,-2069.32184=0),"-",-2069.32184/-5154.02455*100)</f>
        <v>40.149631029599966</v>
      </c>
    </row>
    <row r="18" spans="1:4" x14ac:dyDescent="0.25">
      <c r="A18" s="47" t="s">
        <v>268</v>
      </c>
      <c r="B18" s="48">
        <f>IF(OR(-32978.21559="",-32978.21559=0),"-",-32978.21559)</f>
        <v>-32978.21559</v>
      </c>
      <c r="C18" s="48">
        <f>IF(OR(-35937.77974="",-35937.77974=0),"-",-35937.77974)</f>
        <v>-35937.779739999998</v>
      </c>
      <c r="D18" s="68">
        <f>IF(OR(-32978.21559="",-35937.77974="",-32978.21559=0,-35937.77974=0),"-",-35937.77974/-32978.21559*100)</f>
        <v>108.97430044971091</v>
      </c>
    </row>
    <row r="19" spans="1:4" x14ac:dyDescent="0.25">
      <c r="A19" s="55" t="s">
        <v>269</v>
      </c>
      <c r="B19" s="46">
        <f>IF(47051.31561="","-",47051.31561)</f>
        <v>47051.315609999998</v>
      </c>
      <c r="C19" s="46">
        <f>IF(37577.56297="","-",37577.56297)</f>
        <v>37577.562969999999</v>
      </c>
      <c r="D19" s="67">
        <f>IF(47051.31561="","-",37577.56297/47051.31561*100)</f>
        <v>79.865063245996666</v>
      </c>
    </row>
    <row r="20" spans="1:4" x14ac:dyDescent="0.25">
      <c r="A20" s="47" t="s">
        <v>270</v>
      </c>
      <c r="B20" s="48">
        <f>IF(OR(60741.04308="",60741.04308=0),"-",60741.04308)</f>
        <v>60741.043080000003</v>
      </c>
      <c r="C20" s="48">
        <f>IF(OR(55842.43126="",55842.43126=0),"-",55842.43126)</f>
        <v>55842.431259999998</v>
      </c>
      <c r="D20" s="68">
        <f>IF(OR(60741.04308="",55842.43126="",60741.04308=0,55842.43126=0),"-",55842.43126/60741.04308*100)</f>
        <v>91.935252390137251</v>
      </c>
    </row>
    <row r="21" spans="1:4" x14ac:dyDescent="0.25">
      <c r="A21" s="47" t="s">
        <v>271</v>
      </c>
      <c r="B21" s="48">
        <f>IF(OR(-13689.72747="",-13689.72747=0),"-",-13689.72747)</f>
        <v>-13689.72747</v>
      </c>
      <c r="C21" s="48">
        <f>IF(OR(-18264.86829="",-18264.86829=0),"-",-18264.86829)</f>
        <v>-18264.868289999999</v>
      </c>
      <c r="D21" s="68">
        <f>IF(OR(-13689.72747="",-18264.86829="",-13689.72747=0,-18264.86829=0),"-",-18264.86829/-13689.72747*100)</f>
        <v>133.42024762747158</v>
      </c>
    </row>
    <row r="22" spans="1:4" x14ac:dyDescent="0.25">
      <c r="A22" s="55" t="s">
        <v>25</v>
      </c>
      <c r="B22" s="46">
        <f>IF(64644.48441="","-",64644.48441)</f>
        <v>64644.484409999997</v>
      </c>
      <c r="C22" s="46">
        <f>IF(26722.3400499999="","-",26722.3400499999)</f>
        <v>26722.340049999901</v>
      </c>
      <c r="D22" s="67">
        <f>IF(64644.48441="","-",26722.3400499999/64644.48441*100)</f>
        <v>41.337386002673668</v>
      </c>
    </row>
    <row r="23" spans="1:4" x14ac:dyDescent="0.25">
      <c r="A23" s="47" t="s">
        <v>278</v>
      </c>
      <c r="B23" s="48">
        <f>IF(OR(834.78578="",834.78578=0),"-",834.78578)</f>
        <v>834.78578000000005</v>
      </c>
      <c r="C23" s="48">
        <f>IF(OR(709.12761="",709.12761=0),"-",709.12761)</f>
        <v>709.12761</v>
      </c>
      <c r="D23" s="68">
        <f>IF(OR(834.78578="",709.12761="",834.78578=0,709.12761=0),"-",709.12761/834.78578*100)</f>
        <v>84.947255570165552</v>
      </c>
    </row>
    <row r="24" spans="1:4" x14ac:dyDescent="0.25">
      <c r="A24" s="47" t="s">
        <v>272</v>
      </c>
      <c r="B24" s="48">
        <f>IF(OR(103172.93645="",103172.93645=0),"-",103172.93645)</f>
        <v>103172.93644999999</v>
      </c>
      <c r="C24" s="48">
        <f>IF(OR(59679.50432="",59679.50432=0),"-",59679.50432)</f>
        <v>59679.50432</v>
      </c>
      <c r="D24" s="68">
        <f>IF(OR(103172.93645="",59679.50432="",103172.93645=0,59679.50432=0),"-",59679.50432/103172.93645*100)</f>
        <v>57.844146317306844</v>
      </c>
    </row>
    <row r="25" spans="1:4" x14ac:dyDescent="0.25">
      <c r="A25" s="47" t="s">
        <v>273</v>
      </c>
      <c r="B25" s="48">
        <f>IF(OR(-706.55007="",-706.55007=0),"-",-706.55007)</f>
        <v>-706.55007000000001</v>
      </c>
      <c r="C25" s="48">
        <f>IF(OR(-652.5244="",-652.5244=0),"-",-652.5244)</f>
        <v>-652.52440000000001</v>
      </c>
      <c r="D25" s="68">
        <f>IF(OR(-706.55007="",-652.5244="",-706.55007=0,-652.5244=0),"-",-652.5244/-706.55007*100)</f>
        <v>92.353596398341594</v>
      </c>
    </row>
    <row r="26" spans="1:4" x14ac:dyDescent="0.25">
      <c r="A26" s="47" t="s">
        <v>274</v>
      </c>
      <c r="B26" s="48">
        <f>IF(OR(-16833.787="",-16833.787=0),"-",-16833.787)</f>
        <v>-16833.787</v>
      </c>
      <c r="C26" s="48">
        <f>IF(OR(-14892.93025="",-14892.93025=0),"-",-14892.93025)</f>
        <v>-14892.930249999999</v>
      </c>
      <c r="D26" s="68">
        <f>IF(OR(-16833.787="",-14892.93025="",-16833.787=0,-14892.93025=0),"-",-14892.93025/-16833.787*100)</f>
        <v>88.470468647369714</v>
      </c>
    </row>
    <row r="27" spans="1:4" x14ac:dyDescent="0.25">
      <c r="A27" s="47" t="s">
        <v>223</v>
      </c>
      <c r="B27" s="48">
        <f>IF(OR(1035.23003="",1035.23003=0),"-",1035.23003)</f>
        <v>1035.2300299999999</v>
      </c>
      <c r="C27" s="48">
        <f>IF(OR(668.01366="",668.01366=0),"-",668.01366)</f>
        <v>668.01365999999996</v>
      </c>
      <c r="D27" s="68">
        <f>IF(OR(1035.23003="",668.01366="",1035.23003=0,668.01366=0),"-",668.01366/1035.23003*100)</f>
        <v>64.528041173612408</v>
      </c>
    </row>
    <row r="28" spans="1:4" ht="25.5" x14ac:dyDescent="0.25">
      <c r="A28" s="47" t="s">
        <v>224</v>
      </c>
      <c r="B28" s="48">
        <f>IF(OR(-3489.51806="",-3489.51806=0),"-",-3489.51806)</f>
        <v>-3489.5180599999999</v>
      </c>
      <c r="C28" s="48">
        <f>IF(OR(-3096.67166="",-3096.67166=0),"-",-3096.67166)</f>
        <v>-3096.67166</v>
      </c>
      <c r="D28" s="68">
        <f>IF(OR(-3489.51806="",-3096.67166="",-3489.51806=0,-3096.67166=0),"-",-3096.67166/-3489.51806*100)</f>
        <v>88.742101538227885</v>
      </c>
    </row>
    <row r="29" spans="1:4" ht="25.5" x14ac:dyDescent="0.25">
      <c r="A29" s="47" t="s">
        <v>225</v>
      </c>
      <c r="B29" s="48">
        <f>IF(OR(-8772.30559="",-8772.30559=0),"-",-8772.30559)</f>
        <v>-8772.3055899999999</v>
      </c>
      <c r="C29" s="48">
        <f>IF(OR(-2831.16969="",-2831.16969=0),"-",-2831.16969)</f>
        <v>-2831.1696900000002</v>
      </c>
      <c r="D29" s="68">
        <f>IF(OR(-8772.30559="",-2831.16969="",-8772.30559=0,-2831.16969=0),"-",-2831.16969/-8772.30559*100)</f>
        <v>32.273951938329596</v>
      </c>
    </row>
    <row r="30" spans="1:4" x14ac:dyDescent="0.25">
      <c r="A30" s="47" t="s">
        <v>226</v>
      </c>
      <c r="B30" s="48">
        <f>IF(OR(8267.09362="",8267.09362=0),"-",8267.09362)</f>
        <v>8267.0936199999996</v>
      </c>
      <c r="C30" s="48">
        <f>IF(OR(5506.49117="",5506.49117=0),"-",5506.49117)</f>
        <v>5506.4911700000002</v>
      </c>
      <c r="D30" s="68">
        <f>IF(OR(8267.09362="",5506.49117="",8267.09362=0,5506.49117=0),"-",5506.49117/8267.09362*100)</f>
        <v>66.607340174284857</v>
      </c>
    </row>
    <row r="31" spans="1:4" x14ac:dyDescent="0.25">
      <c r="A31" s="47" t="s">
        <v>227</v>
      </c>
      <c r="B31" s="48">
        <f>IF(OR(-18863.40075="",-18863.40075=0),"-",-18863.40075)</f>
        <v>-18863.400750000001</v>
      </c>
      <c r="C31" s="48">
        <f>IF(OR(-18367.50071="",-18367.50071=0),"-",-18367.50071)</f>
        <v>-18367.50071</v>
      </c>
      <c r="D31" s="68">
        <f>IF(OR(-18863.40075="",-18367.50071="",-18863.40075=0,-18367.50071=0),"-",-18367.50071/-18863.40075*100)</f>
        <v>97.371099482154605</v>
      </c>
    </row>
    <row r="32" spans="1:4" x14ac:dyDescent="0.25">
      <c r="A32" s="55" t="s">
        <v>228</v>
      </c>
      <c r="B32" s="46">
        <f>IF(-448311.55362="","-",-448311.55362)</f>
        <v>-448311.55362000002</v>
      </c>
      <c r="C32" s="46">
        <f>IF(-303890.33788="","-",-303890.33788)</f>
        <v>-303890.33788000001</v>
      </c>
      <c r="D32" s="67">
        <f>IF(-448311.55362="","-",-303890.33788/-448311.55362*100)</f>
        <v>67.785524469794282</v>
      </c>
    </row>
    <row r="33" spans="1:4" x14ac:dyDescent="0.25">
      <c r="A33" s="47" t="s">
        <v>275</v>
      </c>
      <c r="B33" s="48">
        <f>IF(OR(-8557.1419="",-8557.1419=0),"-",-8557.1419)</f>
        <v>-8557.1419000000005</v>
      </c>
      <c r="C33" s="48">
        <f>IF(OR(-6696.47277="",-6696.47277=0),"-",-6696.47277)</f>
        <v>-6696.4727700000003</v>
      </c>
      <c r="D33" s="68">
        <f>IF(OR(-8557.1419="",-6696.47277="",-8557.1419=0,-6696.47277=0),"-",-6696.47277/-8557.1419*100)</f>
        <v>78.255950973537082</v>
      </c>
    </row>
    <row r="34" spans="1:4" x14ac:dyDescent="0.25">
      <c r="A34" s="47" t="s">
        <v>229</v>
      </c>
      <c r="B34" s="48">
        <f>IF(OR(-259300.17984="",-259300.17984=0),"-",-259300.17984)</f>
        <v>-259300.17984</v>
      </c>
      <c r="C34" s="48">
        <f>IF(OR(-175627.41574="",-175627.41574=0),"-",-175627.41574)</f>
        <v>-175627.41574</v>
      </c>
      <c r="D34" s="68">
        <f>IF(OR(-259300.17984="",-175627.41574="",-259300.17984=0,-175627.41574=0),"-",-175627.41574/-259300.17984*100)</f>
        <v>67.731312738915221</v>
      </c>
    </row>
    <row r="35" spans="1:4" x14ac:dyDescent="0.25">
      <c r="A35" s="47" t="s">
        <v>276</v>
      </c>
      <c r="B35" s="48">
        <f>IF(OR(-158696.34334="",-158696.34334=0),"-",-158696.34334)</f>
        <v>-158696.34333999999</v>
      </c>
      <c r="C35" s="48">
        <f>IF(OR(-113459.83733="",-113459.83733=0),"-",-113459.83733)</f>
        <v>-113459.83732999999</v>
      </c>
      <c r="D35" s="68">
        <f>IF(OR(-158696.34334="",-113459.83733="",-158696.34334=0,-113459.83733=0),"-",-113459.83733/-158696.34334*100)</f>
        <v>71.494928579997108</v>
      </c>
    </row>
    <row r="36" spans="1:4" x14ac:dyDescent="0.25">
      <c r="A36" s="47" t="s">
        <v>230</v>
      </c>
      <c r="B36" s="48">
        <f>IF(OR(-21757.88854="",-21757.88854=0),"-",-21757.88854)</f>
        <v>-21757.88854</v>
      </c>
      <c r="C36" s="48">
        <f>IF(OR(-8106.61204="",-8106.61204=0),"-",-8106.61204)</f>
        <v>-8106.61204</v>
      </c>
      <c r="D36" s="68">
        <f>IF(OR(-21757.88854="",-8106.61204="",-21757.88854=0,-8106.61204=0),"-",-8106.61204/-21757.88854*100)</f>
        <v>37.258266237997745</v>
      </c>
    </row>
    <row r="37" spans="1:4" x14ac:dyDescent="0.25">
      <c r="A37" s="55" t="s">
        <v>231</v>
      </c>
      <c r="B37" s="46">
        <f>IF(28937.12626="","-",28937.12626)</f>
        <v>28937.126260000001</v>
      </c>
      <c r="C37" s="46">
        <f>IF(56614.37161="","-",56614.37161)</f>
        <v>56614.371610000002</v>
      </c>
      <c r="D37" s="67" t="s">
        <v>20</v>
      </c>
    </row>
    <row r="38" spans="1:4" x14ac:dyDescent="0.25">
      <c r="A38" s="47" t="s">
        <v>279</v>
      </c>
      <c r="B38" s="48">
        <f>IF(OR(-677.82758="",-677.82758=0),"-",-677.82758)</f>
        <v>-677.82758000000001</v>
      </c>
      <c r="C38" s="48">
        <f>IF(OR(-717.25901="",-717.25901=0),"-",-717.25901)</f>
        <v>-717.25900999999999</v>
      </c>
      <c r="D38" s="68">
        <f>IF(OR(-677.82758="",-717.25901="",-677.82758=0,-717.25901=0),"-",-717.25901/-677.82758*100)</f>
        <v>105.81732451783681</v>
      </c>
    </row>
    <row r="39" spans="1:4" ht="14.25" customHeight="1" x14ac:dyDescent="0.25">
      <c r="A39" s="47" t="s">
        <v>232</v>
      </c>
      <c r="B39" s="48">
        <f>IF(OR(30909.49401="",30909.49401=0),"-",30909.49401)</f>
        <v>30909.494009999999</v>
      </c>
      <c r="C39" s="48">
        <f>IF(OR(58068.49617="",58068.49617=0),"-",58068.49617)</f>
        <v>58068.496169999999</v>
      </c>
      <c r="D39" s="68" t="s">
        <v>108</v>
      </c>
    </row>
    <row r="40" spans="1:4" ht="38.25" x14ac:dyDescent="0.25">
      <c r="A40" s="47" t="s">
        <v>277</v>
      </c>
      <c r="B40" s="48">
        <f>IF(OR(-1294.54017="",-1294.54017=0),"-",-1294.54017)</f>
        <v>-1294.54017</v>
      </c>
      <c r="C40" s="48">
        <f>IF(OR(-736.86555="",-736.86555=0),"-",-736.86555)</f>
        <v>-736.86554999999998</v>
      </c>
      <c r="D40" s="68">
        <f>IF(OR(-1294.54017="",-736.86555="",-1294.54017=0,-736.86555=0),"-",-736.86555/-1294.54017*100)</f>
        <v>56.921026251352245</v>
      </c>
    </row>
    <row r="41" spans="1:4" ht="15" customHeight="1" x14ac:dyDescent="0.25">
      <c r="A41" s="55" t="s">
        <v>233</v>
      </c>
      <c r="B41" s="46">
        <f>IF(-363811.26809="","-",-363811.26809)</f>
        <v>-363811.26809000003</v>
      </c>
      <c r="C41" s="46">
        <f>IF(-343392.22276="","-",-343392.22276)</f>
        <v>-343392.22275999998</v>
      </c>
      <c r="D41" s="67">
        <f>IF(-363811.26809="","-",-343392.22276/-363811.26809*100)</f>
        <v>94.387462093409169</v>
      </c>
    </row>
    <row r="42" spans="1:4" x14ac:dyDescent="0.25">
      <c r="A42" s="47" t="s">
        <v>26</v>
      </c>
      <c r="B42" s="48">
        <f>IF(OR(-2003.14075="",-2003.14075=0),"-",-2003.14075)</f>
        <v>-2003.14075</v>
      </c>
      <c r="C42" s="48">
        <f>IF(OR(19519.88153="",19519.88153=0),"-",19519.88153)</f>
        <v>19519.881529999999</v>
      </c>
      <c r="D42" s="68" t="s">
        <v>22</v>
      </c>
    </row>
    <row r="43" spans="1:4" x14ac:dyDescent="0.25">
      <c r="A43" s="47" t="s">
        <v>27</v>
      </c>
      <c r="B43" s="48">
        <f>IF(OR(-7502.67448="",-7502.67448=0),"-",-7502.67448)</f>
        <v>-7502.6744799999997</v>
      </c>
      <c r="C43" s="48">
        <f>IF(OR(-7239.73169="",-7239.73169=0),"-",-7239.73169)</f>
        <v>-7239.7316899999996</v>
      </c>
      <c r="D43" s="68">
        <f>IF(OR(-7502.67448="",-7239.73169="",-7502.67448=0,-7239.73169=0),"-",-7239.73169/-7502.67448*100)</f>
        <v>96.495345883645484</v>
      </c>
    </row>
    <row r="44" spans="1:4" x14ac:dyDescent="0.25">
      <c r="A44" s="47" t="s">
        <v>234</v>
      </c>
      <c r="B44" s="48">
        <f>IF(OR(-16647.60877="",-16647.60877=0),"-",-16647.60877)</f>
        <v>-16647.608769999999</v>
      </c>
      <c r="C44" s="48">
        <f>IF(OR(-16332.01542="",-16332.01542=0),"-",-16332.01542)</f>
        <v>-16332.01542</v>
      </c>
      <c r="D44" s="68">
        <f>IF(OR(-16647.60877="",-16332.01542="",-16647.60877=0,-16332.01542=0),"-",-16332.01542/-16647.60877*100)</f>
        <v>98.104272184911522</v>
      </c>
    </row>
    <row r="45" spans="1:4" x14ac:dyDescent="0.25">
      <c r="A45" s="47" t="s">
        <v>235</v>
      </c>
      <c r="B45" s="48">
        <f>IF(OR(-83767.73247="",-83767.73247=0),"-",-83767.73247)</f>
        <v>-83767.732470000003</v>
      </c>
      <c r="C45" s="48">
        <f>IF(OR(-88015.03108="",-88015.03108=0),"-",-88015.03108)</f>
        <v>-88015.031080000001</v>
      </c>
      <c r="D45" s="68">
        <f>IF(OR(-83767.73247="",-88015.03108="",-83767.73247=0,-88015.03108=0),"-",-88015.03108/-83767.73247*100)</f>
        <v>105.07032777987763</v>
      </c>
    </row>
    <row r="46" spans="1:4" ht="25.5" x14ac:dyDescent="0.25">
      <c r="A46" s="47" t="s">
        <v>236</v>
      </c>
      <c r="B46" s="48">
        <f>IF(OR(-47460.51444="",-47460.51444=0),"-",-47460.51444)</f>
        <v>-47460.514439999999</v>
      </c>
      <c r="C46" s="48">
        <f>IF(OR(-45641.23113="",-45641.23113=0),"-",-45641.23113)</f>
        <v>-45641.23113</v>
      </c>
      <c r="D46" s="68">
        <f>IF(OR(-47460.51444="",-45641.23113="",-47460.51444=0,-45641.23113=0),"-",-45641.23113/-47460.51444*100)</f>
        <v>96.166743383492076</v>
      </c>
    </row>
    <row r="47" spans="1:4" x14ac:dyDescent="0.25">
      <c r="A47" s="47" t="s">
        <v>237</v>
      </c>
      <c r="B47" s="48">
        <f>IF(OR(-45320.28138="",-45320.28138=0),"-",-45320.28138)</f>
        <v>-45320.28138</v>
      </c>
      <c r="C47" s="48">
        <f>IF(OR(-47771.45826="",-47771.45826=0),"-",-47771.45826)</f>
        <v>-47771.458259999999</v>
      </c>
      <c r="D47" s="68">
        <f>IF(OR(-45320.28138="",-47771.45826="",-45320.28138=0,-47771.45826=0),"-",-47771.45826/-45320.28138*100)</f>
        <v>105.40856500745758</v>
      </c>
    </row>
    <row r="48" spans="1:4" x14ac:dyDescent="0.25">
      <c r="A48" s="47" t="s">
        <v>28</v>
      </c>
      <c r="B48" s="48">
        <f>IF(OR(-24245.50869="",-24245.50869=0),"-",-24245.50869)</f>
        <v>-24245.508689999999</v>
      </c>
      <c r="C48" s="48">
        <f>IF(OR(-20733.24951="",-20733.24951=0),"-",-20733.24951)</f>
        <v>-20733.249510000001</v>
      </c>
      <c r="D48" s="68">
        <f>IF(OR(-24245.50869="",-20733.24951="",-24245.50869=0,-20733.24951=0),"-",-20733.24951/-24245.50869*100)</f>
        <v>85.51377401519062</v>
      </c>
    </row>
    <row r="49" spans="1:4" x14ac:dyDescent="0.25">
      <c r="A49" s="47" t="s">
        <v>29</v>
      </c>
      <c r="B49" s="48">
        <f>IF(OR(-51993.5739="",-51993.5739=0),"-",-51993.5739)</f>
        <v>-51993.573900000003</v>
      </c>
      <c r="C49" s="48">
        <f>IF(OR(-49153.81372="",-49153.81372=0),"-",-49153.81372)</f>
        <v>-49153.813719999998</v>
      </c>
      <c r="D49" s="68">
        <f>IF(OR(-51993.5739="",-49153.81372="",-51993.5739=0,-49153.81372=0),"-",-49153.81372/-51993.5739*100)</f>
        <v>94.538247773731115</v>
      </c>
    </row>
    <row r="50" spans="1:4" x14ac:dyDescent="0.25">
      <c r="A50" s="47" t="s">
        <v>238</v>
      </c>
      <c r="B50" s="48">
        <f>IF(OR(-84870.23321="",-84870.23321=0),"-",-84870.23321)</f>
        <v>-84870.233210000006</v>
      </c>
      <c r="C50" s="48">
        <f>IF(OR(-88025.57348="",-88025.57348=0),"-",-88025.57348)</f>
        <v>-88025.573480000006</v>
      </c>
      <c r="D50" s="68">
        <f>IF(OR(-84870.23321="",-88025.57348="",-84870.23321=0,-88025.57348=0),"-",-88025.57348/-84870.23321*100)</f>
        <v>103.71784093274792</v>
      </c>
    </row>
    <row r="51" spans="1:4" ht="25.5" x14ac:dyDescent="0.25">
      <c r="A51" s="55" t="s">
        <v>303</v>
      </c>
      <c r="B51" s="46">
        <f>IF(-439821.45669="","-",-439821.45669)</f>
        <v>-439821.45669000002</v>
      </c>
      <c r="C51" s="46">
        <f>IF(-371493.70665="","-",-371493.70665)</f>
        <v>-371493.70665000001</v>
      </c>
      <c r="D51" s="67">
        <f>IF(-439821.45669="","-",-371493.70665/-439821.45669*100)</f>
        <v>84.46466196664899</v>
      </c>
    </row>
    <row r="52" spans="1:4" x14ac:dyDescent="0.25">
      <c r="A52" s="47" t="s">
        <v>239</v>
      </c>
      <c r="B52" s="48">
        <f>IF(OR(-25503.14386="",-25503.14386=0),"-",-25503.14386)</f>
        <v>-25503.14386</v>
      </c>
      <c r="C52" s="48">
        <f>IF(OR(-18262.51552="",-18262.51552=0),"-",-18262.51552)</f>
        <v>-18262.515520000001</v>
      </c>
      <c r="D52" s="68">
        <f>IF(OR(-25503.14386="",-18262.51552="",-25503.14386=0,-18262.51552=0),"-",-18262.51552/-25503.14386*100)</f>
        <v>71.608879361118895</v>
      </c>
    </row>
    <row r="53" spans="1:4" x14ac:dyDescent="0.25">
      <c r="A53" s="47" t="s">
        <v>30</v>
      </c>
      <c r="B53" s="48">
        <f>IF(OR(-27854.11077="",-27854.11077=0),"-",-27854.11077)</f>
        <v>-27854.110769999999</v>
      </c>
      <c r="C53" s="48">
        <f>IF(OR(-23992.8283999999="",-23992.8283999999=0),"-",-23992.8283999999)</f>
        <v>-23992.8283999999</v>
      </c>
      <c r="D53" s="68">
        <f>IF(OR(-27854.11077="",-23992.8283999999="",-27854.11077=0,-23992.8283999999=0),"-",-23992.8283999999/-27854.11077*100)</f>
        <v>86.137477509571568</v>
      </c>
    </row>
    <row r="54" spans="1:4" x14ac:dyDescent="0.25">
      <c r="A54" s="47" t="s">
        <v>240</v>
      </c>
      <c r="B54" s="48">
        <f>IF(OR(-29603.86609="",-29603.86609=0),"-",-29603.86609)</f>
        <v>-29603.86609</v>
      </c>
      <c r="C54" s="48">
        <f>IF(OR(-25145.97397="",-25145.97397=0),"-",-25145.97397)</f>
        <v>-25145.973969999999</v>
      </c>
      <c r="D54" s="68">
        <f>IF(OR(-29603.86609="",-25145.97397="",-29603.86609=0,-25145.97397=0),"-",-25145.97397/-29603.86609*100)</f>
        <v>84.941520453959058</v>
      </c>
    </row>
    <row r="55" spans="1:4" ht="25.5" x14ac:dyDescent="0.25">
      <c r="A55" s="47" t="s">
        <v>241</v>
      </c>
      <c r="B55" s="48">
        <f>IF(OR(-45583.15387="",-45583.15387=0),"-",-45583.15387)</f>
        <v>-45583.153870000002</v>
      </c>
      <c r="C55" s="48">
        <f>IF(OR(-38669.57978="",-38669.57978=0),"-",-38669.57978)</f>
        <v>-38669.57978</v>
      </c>
      <c r="D55" s="68">
        <f>IF(OR(-45583.15387="",-38669.57978="",-45583.15387=0,-38669.57978=0),"-",-38669.57978/-45583.15387*100)</f>
        <v>84.833050144540152</v>
      </c>
    </row>
    <row r="56" spans="1:4" ht="25.5" x14ac:dyDescent="0.25">
      <c r="A56" s="47" t="s">
        <v>242</v>
      </c>
      <c r="B56" s="48">
        <f>IF(OR(-104721.86198="",-104721.86198=0),"-",-104721.86198)</f>
        <v>-104721.86198</v>
      </c>
      <c r="C56" s="48">
        <f>IF(OR(-88457.47483="",-88457.47483=0),"-",-88457.47483)</f>
        <v>-88457.474830000006</v>
      </c>
      <c r="D56" s="68">
        <f>IF(OR(-104721.86198="",-88457.47483="",-104721.86198=0,-88457.47483=0),"-",-88457.47483/-104721.86198*100)</f>
        <v>84.468966801692076</v>
      </c>
    </row>
    <row r="57" spans="1:4" x14ac:dyDescent="0.25">
      <c r="A57" s="47" t="s">
        <v>31</v>
      </c>
      <c r="B57" s="48">
        <f>IF(OR(-35079.75095="",-35079.75095=0),"-",-35079.75095)</f>
        <v>-35079.750950000001</v>
      </c>
      <c r="C57" s="48">
        <f>IF(OR(-35851.01635="",-35851.01635=0),"-",-35851.01635)</f>
        <v>-35851.016349999998</v>
      </c>
      <c r="D57" s="68">
        <f>IF(OR(-35079.75095="",-35851.01635="",-35079.75095=0,-35851.01635=0),"-",-35851.01635/-35079.75095*100)</f>
        <v>102.1986056887898</v>
      </c>
    </row>
    <row r="58" spans="1:4" x14ac:dyDescent="0.25">
      <c r="A58" s="47" t="s">
        <v>243</v>
      </c>
      <c r="B58" s="48">
        <f>IF(OR(-59895.63269="",-59895.63269=0),"-",-59895.63269)</f>
        <v>-59895.632689999999</v>
      </c>
      <c r="C58" s="48">
        <f>IF(OR(-57243.08925="",-57243.08925=0),"-",-57243.08925)</f>
        <v>-57243.089249999997</v>
      </c>
      <c r="D58" s="68">
        <f>IF(OR(-59895.63269="",-57243.08925="",-59895.63269=0,-57243.08925=0),"-",-57243.08925/-59895.63269*100)</f>
        <v>95.571390899685966</v>
      </c>
    </row>
    <row r="59" spans="1:4" x14ac:dyDescent="0.25">
      <c r="A59" s="47" t="s">
        <v>32</v>
      </c>
      <c r="B59" s="48">
        <f>IF(OR(-44808.62891="",-44808.62891=0),"-",-44808.62891)</f>
        <v>-44808.628909999999</v>
      </c>
      <c r="C59" s="48">
        <f>IF(OR(-29053.84084="",-29053.84084=0),"-",-29053.84084)</f>
        <v>-29053.840840000001</v>
      </c>
      <c r="D59" s="68">
        <f>IF(OR(-44808.62891="",-29053.84084="",-44808.62891=0,-29053.84084=0),"-",-29053.84084/-44808.62891*100)</f>
        <v>64.839834529094503</v>
      </c>
    </row>
    <row r="60" spans="1:4" x14ac:dyDescent="0.25">
      <c r="A60" s="47" t="s">
        <v>33</v>
      </c>
      <c r="B60" s="48">
        <f>IF(OR(-66771.30757="",-66771.30757=0),"-",-66771.30757)</f>
        <v>-66771.307570000004</v>
      </c>
      <c r="C60" s="48">
        <f>IF(OR(-54817.38771="",-54817.38771=0),"-",-54817.38771)</f>
        <v>-54817.387710000003</v>
      </c>
      <c r="D60" s="68">
        <f>IF(OR(-66771.30757="",-54817.38771="",-66771.30757=0,-54817.38771=0),"-",-54817.38771/-66771.30757*100)</f>
        <v>82.097220655042506</v>
      </c>
    </row>
    <row r="61" spans="1:4" x14ac:dyDescent="0.25">
      <c r="A61" s="55" t="s">
        <v>244</v>
      </c>
      <c r="B61" s="46">
        <f>IF(-315363.78371="","-",-315363.78371)</f>
        <v>-315363.78370999999</v>
      </c>
      <c r="C61" s="46">
        <f>IF(-314673.10224="","-",-314673.10224)</f>
        <v>-314673.10223999998</v>
      </c>
      <c r="D61" s="67">
        <f>IF(-315363.78371="","-",-314673.10224/-315363.78371*100)</f>
        <v>99.780988970301308</v>
      </c>
    </row>
    <row r="62" spans="1:4" x14ac:dyDescent="0.25">
      <c r="A62" s="47" t="s">
        <v>245</v>
      </c>
      <c r="B62" s="48">
        <f>IF(OR(-7018.94606="",-7018.94606=0),"-",-7018.94606)</f>
        <v>-7018.9460600000002</v>
      </c>
      <c r="C62" s="48">
        <f>IF(OR(-6572.47456="",-6572.47456=0),"-",-6572.47456)</f>
        <v>-6572.4745599999997</v>
      </c>
      <c r="D62" s="68">
        <f>IF(OR(-7018.94606="",-6572.47456="",-7018.94606=0,-6572.47456=0),"-",-6572.47456/-7018.94606*100)</f>
        <v>93.639052128575557</v>
      </c>
    </row>
    <row r="63" spans="1:4" x14ac:dyDescent="0.25">
      <c r="A63" s="47" t="s">
        <v>246</v>
      </c>
      <c r="B63" s="48">
        <f>IF(OR(-91804.81094="",-91804.81094=0),"-",-91804.81094)</f>
        <v>-91804.810939999996</v>
      </c>
      <c r="C63" s="48">
        <f>IF(OR(-73213.60586="",-73213.60586=0),"-",-73213.60586)</f>
        <v>-73213.605859999996</v>
      </c>
      <c r="D63" s="68">
        <f>IF(OR(-91804.81094="",-73213.60586="",-91804.81094=0,-73213.60586=0),"-",-73213.60586/-91804.81094*100)</f>
        <v>79.749203892865182</v>
      </c>
    </row>
    <row r="64" spans="1:4" x14ac:dyDescent="0.25">
      <c r="A64" s="47" t="s">
        <v>247</v>
      </c>
      <c r="B64" s="48">
        <f>IF(OR(-3630.19737="",-3630.19737=0),"-",-3630.19737)</f>
        <v>-3630.1973699999999</v>
      </c>
      <c r="C64" s="48">
        <f>IF(OR(-5111.23876="",-5111.23876=0),"-",-5111.23876)</f>
        <v>-5111.2387600000002</v>
      </c>
      <c r="D64" s="68">
        <f>IF(OR(-3630.19737="",-5111.23876="",-3630.19737=0,-5111.23876=0),"-",-5111.23876/-3630.19737*100)</f>
        <v>140.79782003698605</v>
      </c>
    </row>
    <row r="65" spans="1:4" ht="25.5" x14ac:dyDescent="0.25">
      <c r="A65" s="47" t="s">
        <v>248</v>
      </c>
      <c r="B65" s="48">
        <f>IF(OR(-80896.18756="",-80896.18756=0),"-",-80896.18756)</f>
        <v>-80896.187560000006</v>
      </c>
      <c r="C65" s="48">
        <f>IF(OR(-82121.95367="",-82121.95367=0),"-",-82121.95367)</f>
        <v>-82121.953670000003</v>
      </c>
      <c r="D65" s="68">
        <f>IF(OR(-80896.18756="",-82121.95367="",-80896.18756=0,-82121.95367=0),"-",-82121.95367/-80896.18756*100)</f>
        <v>101.51523347016922</v>
      </c>
    </row>
    <row r="66" spans="1:4" ht="25.5" x14ac:dyDescent="0.25">
      <c r="A66" s="47" t="s">
        <v>249</v>
      </c>
      <c r="B66" s="48">
        <f>IF(OR(-21673.97999="",-21673.97999=0),"-",-21673.97999)</f>
        <v>-21673.97999</v>
      </c>
      <c r="C66" s="48">
        <f>IF(OR(-19882.44258="",-19882.44258=0),"-",-19882.44258)</f>
        <v>-19882.442579999999</v>
      </c>
      <c r="D66" s="68">
        <f>IF(OR(-21673.97999="",-19882.44258="",-21673.97999=0,-19882.44258=0),"-",-19882.44258/-21673.97999*100)</f>
        <v>91.734155836507256</v>
      </c>
    </row>
    <row r="67" spans="1:4" ht="25.5" x14ac:dyDescent="0.25">
      <c r="A67" s="47" t="s">
        <v>250</v>
      </c>
      <c r="B67" s="48">
        <f>IF(OR(-69631.28442="",-69631.28442=0),"-",-69631.28442)</f>
        <v>-69631.284419999996</v>
      </c>
      <c r="C67" s="48">
        <f>IF(OR(-63968.5269="",-63968.5269=0),"-",-63968.5269)</f>
        <v>-63968.526899999997</v>
      </c>
      <c r="D67" s="68">
        <f>IF(OR(-69631.28442="",-63968.5269="",-69631.28442=0,-63968.5269=0),"-",-63968.5269/-69631.28442*100)</f>
        <v>91.867509601225308</v>
      </c>
    </row>
    <row r="68" spans="1:4" ht="26.25" customHeight="1" x14ac:dyDescent="0.25">
      <c r="A68" s="47" t="s">
        <v>251</v>
      </c>
      <c r="B68" s="48">
        <f>IF(OR(104749.07099="",104749.07099=0),"-",104749.07099)</f>
        <v>104749.07098999999</v>
      </c>
      <c r="C68" s="48">
        <f>IF(OR(44206.05967="",44206.05967=0),"-",44206.05967)</f>
        <v>44206.059670000002</v>
      </c>
      <c r="D68" s="68">
        <f>IF(OR(104749.07099="",44206.05967="",104749.07099=0,44206.05967=0),"-",44206.05967/104749.07099*100)</f>
        <v>42.201863226281205</v>
      </c>
    </row>
    <row r="69" spans="1:4" x14ac:dyDescent="0.25">
      <c r="A69" s="47" t="s">
        <v>252</v>
      </c>
      <c r="B69" s="48">
        <f>IF(OR(-145213.99383="",-145213.99383=0),"-",-145213.99383)</f>
        <v>-145213.99382999999</v>
      </c>
      <c r="C69" s="48">
        <f>IF(OR(-104421.35176="",-104421.35176=0),"-",-104421.35176)</f>
        <v>-104421.35176000001</v>
      </c>
      <c r="D69" s="68">
        <f>IF(OR(-145213.99383="",-104421.35176="",-145213.99383=0,-104421.35176=0),"-",-104421.35176/-145213.99383*100)</f>
        <v>71.908601234564657</v>
      </c>
    </row>
    <row r="70" spans="1:4" x14ac:dyDescent="0.25">
      <c r="A70" s="47" t="s">
        <v>34</v>
      </c>
      <c r="B70" s="48">
        <f>IF(OR(-243.45453="",-243.45453=0),"-",-243.45453)</f>
        <v>-243.45453000000001</v>
      </c>
      <c r="C70" s="48">
        <f>IF(OR(-3587.56782="",-3587.56782=0),"-",-3587.56782)</f>
        <v>-3587.5678200000002</v>
      </c>
      <c r="D70" s="68" t="s">
        <v>305</v>
      </c>
    </row>
    <row r="71" spans="1:4" x14ac:dyDescent="0.25">
      <c r="A71" s="55" t="s">
        <v>35</v>
      </c>
      <c r="B71" s="46">
        <f>IF(-7126.93921="","-",-7126.93921)</f>
        <v>-7126.9392099999995</v>
      </c>
      <c r="C71" s="46">
        <f>IF(-13796.55304="","-",-13796.55304)</f>
        <v>-13796.553040000001</v>
      </c>
      <c r="D71" s="67">
        <f>IF(-7126.93921="","-",-13796.55304/-7126.93921*100)</f>
        <v>193.58314464983351</v>
      </c>
    </row>
    <row r="72" spans="1:4" ht="25.5" x14ac:dyDescent="0.25">
      <c r="A72" s="47" t="s">
        <v>280</v>
      </c>
      <c r="B72" s="48">
        <f>IF(OR(-16105.02568="",-16105.02568=0),"-",-16105.02568)</f>
        <v>-16105.025680000001</v>
      </c>
      <c r="C72" s="48">
        <f>IF(OR(-12539.57697="",-12539.57697=0),"-",-12539.57697)</f>
        <v>-12539.57697</v>
      </c>
      <c r="D72" s="68">
        <f>IF(OR(-16105.02568="",-12539.57697="",-16105.02568=0,-12539.57697=0),"-",-12539.57697/-16105.02568*100)</f>
        <v>77.861266533540856</v>
      </c>
    </row>
    <row r="73" spans="1:4" x14ac:dyDescent="0.25">
      <c r="A73" s="47" t="s">
        <v>254</v>
      </c>
      <c r="B73" s="48">
        <f>IF(OR(46863.11407="",46863.11407=0),"-",46863.11407)</f>
        <v>46863.114070000003</v>
      </c>
      <c r="C73" s="48">
        <f>IF(OR(32696.61345="",32696.61345=0),"-",32696.61345)</f>
        <v>32696.613450000001</v>
      </c>
      <c r="D73" s="68">
        <f>IF(OR(46863.11407="",32696.61345="",46863.11407=0,32696.61345=0),"-",32696.61345/46863.11407*100)</f>
        <v>69.770466813538405</v>
      </c>
    </row>
    <row r="74" spans="1:4" x14ac:dyDescent="0.25">
      <c r="A74" s="47" t="s">
        <v>255</v>
      </c>
      <c r="B74" s="48">
        <f>IF(OR(1846.49738="",1846.49738=0),"-",1846.49738)</f>
        <v>1846.49738</v>
      </c>
      <c r="C74" s="48">
        <f>IF(OR(2612.01157="",2612.01157=0),"-",2612.01157)</f>
        <v>2612.0115700000001</v>
      </c>
      <c r="D74" s="68">
        <f>IF(OR(1846.49738="",2612.01157="",1846.49738=0,2612.01157=0),"-",2612.01157/1846.49738*100)</f>
        <v>141.45763748660181</v>
      </c>
    </row>
    <row r="75" spans="1:4" x14ac:dyDescent="0.25">
      <c r="A75" s="47" t="s">
        <v>256</v>
      </c>
      <c r="B75" s="48">
        <f>IF(OR(73861.14432="",73861.14432=0),"-",73861.14432)</f>
        <v>73861.144320000007</v>
      </c>
      <c r="C75" s="48">
        <f>IF(OR(51972.47105="",51972.47105=0),"-",51972.47105)</f>
        <v>51972.47105</v>
      </c>
      <c r="D75" s="68">
        <f>IF(OR(73861.14432="",51972.47105="",73861.14432=0,51972.47105=0),"-",51972.47105/73861.14432*100)</f>
        <v>70.365104045547497</v>
      </c>
    </row>
    <row r="76" spans="1:4" x14ac:dyDescent="0.25">
      <c r="A76" s="47" t="s">
        <v>257</v>
      </c>
      <c r="B76" s="48">
        <f>IF(OR(-6431.47258="",-6431.47258=0),"-",-6431.47258)</f>
        <v>-6431.4725799999997</v>
      </c>
      <c r="C76" s="48">
        <f>IF(OR(-3246.49793="",-3246.49793=0),"-",-3246.49793)</f>
        <v>-3246.49793</v>
      </c>
      <c r="D76" s="68">
        <f>IF(OR(-6431.47258="",-3246.49793="",-6431.47258=0,-3246.49793=0),"-",-3246.49793/-6431.47258*100)</f>
        <v>50.478298548541744</v>
      </c>
    </row>
    <row r="77" spans="1:4" x14ac:dyDescent="0.25">
      <c r="A77" s="47" t="s">
        <v>281</v>
      </c>
      <c r="B77" s="48">
        <f>IF(OR(-18373.92236="",-18373.92236=0),"-",-18373.92236)</f>
        <v>-18373.92236</v>
      </c>
      <c r="C77" s="48">
        <f>IF(OR(-15789.90746="",-15789.90746=0),"-",-15789.90746)</f>
        <v>-15789.90746</v>
      </c>
      <c r="D77" s="68">
        <f>IF(OR(-18373.92236="",-15789.90746="",-18373.92236=0,-15789.90746=0),"-",-15789.90746/-18373.92236*100)</f>
        <v>85.936509094947539</v>
      </c>
    </row>
    <row r="78" spans="1:4" ht="25.5" x14ac:dyDescent="0.25">
      <c r="A78" s="47" t="s">
        <v>259</v>
      </c>
      <c r="B78" s="48">
        <f>IF(OR(-3871.98334="",-3871.98334=0),"-",-3871.98334)</f>
        <v>-3871.9833400000002</v>
      </c>
      <c r="C78" s="48">
        <f>IF(OR(-3523.33372="",-3523.33372=0),"-",-3523.33372)</f>
        <v>-3523.3337200000001</v>
      </c>
      <c r="D78" s="68">
        <f>IF(OR(-3871.98334="",-3523.33372="",-3871.98334=0,-3523.33372=0),"-",-3523.33372/-3871.98334*100)</f>
        <v>90.995580574992857</v>
      </c>
    </row>
    <row r="79" spans="1:4" x14ac:dyDescent="0.25">
      <c r="A79" s="47" t="s">
        <v>36</v>
      </c>
      <c r="B79" s="48">
        <f>IF(OR(-84915.29102="",-84915.29102=0),"-",-84915.29102)</f>
        <v>-84915.291020000004</v>
      </c>
      <c r="C79" s="48">
        <f>IF(OR(-65978.33303="",-65978.33303=0),"-",-65978.33303)</f>
        <v>-65978.333029999994</v>
      </c>
      <c r="D79" s="68">
        <f>IF(OR(-84915.29102="",-65978.33303="",-84915.29102=0,-65978.33303=0),"-",-65978.33303/-84915.29102*100)</f>
        <v>77.69900124873881</v>
      </c>
    </row>
    <row r="80" spans="1:4" x14ac:dyDescent="0.25">
      <c r="A80" s="56" t="s">
        <v>260</v>
      </c>
      <c r="B80" s="57">
        <f>IF(322.17203="","-",322.17203)</f>
        <v>322.17203000000001</v>
      </c>
      <c r="C80" s="57">
        <f>IF(9.69446="","-",9.69446)</f>
        <v>9.6944599999999994</v>
      </c>
      <c r="D80" s="69">
        <f>IF(322.17203="","-",9.69446/322.17203*100)</f>
        <v>3.0090942407384027</v>
      </c>
    </row>
    <row r="81" spans="1:1" x14ac:dyDescent="0.25">
      <c r="A81" s="26" t="s">
        <v>21</v>
      </c>
    </row>
  </sheetData>
  <mergeCells count="5">
    <mergeCell ref="A1:D1"/>
    <mergeCell ref="A2:D2"/>
    <mergeCell ref="A4:A5"/>
    <mergeCell ref="D4:D5"/>
    <mergeCell ref="B4:C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Comerciala_Tari'!Заголовки_для_печати</vt:lpstr>
      <vt:lpstr>Balanta_Comerciala_Gr_Marf_CSCI!Заголовки_для_печати</vt:lpstr>
      <vt:lpstr>Export_Grupe_Marfuri_CSCI!Заголовки_для_печати</vt:lpstr>
      <vt:lpstr>Export_Tari!Заголовки_для_печати</vt:lpstr>
      <vt:lpstr>Import_Grupe_Marfuri_CSCI!Заголовки_для_печати</vt:lpstr>
      <vt:lpstr>Import_Tari!Заголовки_для_печати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Mariana Eni</cp:lastModifiedBy>
  <cp:lastPrinted>2020-08-12T12:49:24Z</cp:lastPrinted>
  <dcterms:created xsi:type="dcterms:W3CDTF">2016-09-01T07:59:47Z</dcterms:created>
  <dcterms:modified xsi:type="dcterms:W3CDTF">2020-08-12T13:16:29Z</dcterms:modified>
</cp:coreProperties>
</file>