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10_2020_Rev\"/>
    </mc:Choice>
  </mc:AlternateContent>
  <bookViews>
    <workbookView xWindow="0" yWindow="0" windowWidth="24000" windowHeight="1087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 iterate="1"/>
</workbook>
</file>

<file path=xl/calcChain.xml><?xml version="1.0" encoding="utf-8"?>
<calcChain xmlns="http://schemas.openxmlformats.org/spreadsheetml/2006/main">
  <c r="D150" i="3" l="1"/>
  <c r="C150" i="3"/>
  <c r="B150" i="3"/>
  <c r="D149" i="3"/>
  <c r="C149" i="3"/>
  <c r="B149" i="3"/>
  <c r="D148" i="3"/>
  <c r="C148" i="3"/>
  <c r="B148" i="3"/>
  <c r="D147" i="3"/>
  <c r="C147" i="3"/>
  <c r="B147" i="3"/>
  <c r="D146" i="3"/>
  <c r="C146" i="3"/>
  <c r="B146" i="3"/>
  <c r="C145" i="3"/>
  <c r="B145" i="3"/>
  <c r="C144" i="3"/>
  <c r="B144" i="3"/>
  <c r="C143" i="3"/>
  <c r="B143" i="3"/>
  <c r="D142" i="3"/>
  <c r="C142" i="3"/>
  <c r="B142" i="3"/>
  <c r="C141" i="3"/>
  <c r="B141" i="3"/>
  <c r="D140" i="3"/>
  <c r="C140" i="3"/>
  <c r="B140" i="3"/>
  <c r="C139" i="3"/>
  <c r="B139" i="3"/>
  <c r="D138" i="3"/>
  <c r="C138" i="3"/>
  <c r="B138" i="3"/>
  <c r="D137" i="3"/>
  <c r="C137" i="3"/>
  <c r="B137" i="3"/>
  <c r="D136" i="3"/>
  <c r="C136" i="3"/>
  <c r="B136" i="3"/>
  <c r="C135" i="3"/>
  <c r="B135" i="3"/>
  <c r="D134" i="3"/>
  <c r="C134" i="3"/>
  <c r="B134" i="3"/>
  <c r="D133" i="3"/>
  <c r="C133" i="3"/>
  <c r="B133" i="3"/>
  <c r="C132" i="3"/>
  <c r="B132" i="3"/>
  <c r="D131" i="3"/>
  <c r="C131" i="3"/>
  <c r="B131" i="3"/>
  <c r="C130" i="3"/>
  <c r="B130" i="3"/>
  <c r="D129" i="3"/>
  <c r="C129" i="3"/>
  <c r="B129" i="3"/>
  <c r="D128" i="3"/>
  <c r="C128" i="3"/>
  <c r="B128" i="3"/>
  <c r="C127" i="3"/>
  <c r="B127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C116" i="3"/>
  <c r="B116" i="3"/>
  <c r="C115" i="3"/>
  <c r="B115" i="3"/>
  <c r="D114" i="3"/>
  <c r="C114" i="3"/>
  <c r="B114" i="3"/>
  <c r="D113" i="3"/>
  <c r="C113" i="3"/>
  <c r="B113" i="3"/>
  <c r="C112" i="3"/>
  <c r="B112" i="3"/>
  <c r="C111" i="3"/>
  <c r="B111" i="3"/>
  <c r="D110" i="3"/>
  <c r="C110" i="3"/>
  <c r="B110" i="3"/>
  <c r="D109" i="3"/>
  <c r="C109" i="3"/>
  <c r="B109" i="3"/>
  <c r="C108" i="3"/>
  <c r="B108" i="3"/>
  <c r="D107" i="3"/>
  <c r="C107" i="3"/>
  <c r="B107" i="3"/>
  <c r="D106" i="3"/>
  <c r="C106" i="3"/>
  <c r="B106" i="3"/>
  <c r="C105" i="3"/>
  <c r="B105" i="3"/>
  <c r="D104" i="3"/>
  <c r="C104" i="3"/>
  <c r="B104" i="3"/>
  <c r="D103" i="3"/>
  <c r="C103" i="3"/>
  <c r="B103" i="3"/>
  <c r="D102" i="3"/>
  <c r="C102" i="3"/>
  <c r="B102" i="3"/>
  <c r="C101" i="3"/>
  <c r="B101" i="3"/>
  <c r="C100" i="3"/>
  <c r="B100" i="3"/>
  <c r="C99" i="3"/>
  <c r="B99" i="3"/>
  <c r="D98" i="3"/>
  <c r="C98" i="3"/>
  <c r="B98" i="3"/>
  <c r="D97" i="3"/>
  <c r="C97" i="3"/>
  <c r="B97" i="3"/>
  <c r="C96" i="3"/>
  <c r="B96" i="3"/>
  <c r="D95" i="3"/>
  <c r="C95" i="3"/>
  <c r="B95" i="3"/>
  <c r="D94" i="3"/>
  <c r="C94" i="3"/>
  <c r="B94" i="3"/>
  <c r="D93" i="3"/>
  <c r="C93" i="3"/>
  <c r="B93" i="3"/>
  <c r="C92" i="3"/>
  <c r="B92" i="3"/>
  <c r="D91" i="3"/>
  <c r="C91" i="3"/>
  <c r="B91" i="3"/>
  <c r="D90" i="3"/>
  <c r="C90" i="3"/>
  <c r="B90" i="3"/>
  <c r="C89" i="3"/>
  <c r="B89" i="3"/>
  <c r="D88" i="3"/>
  <c r="C88" i="3"/>
  <c r="B88" i="3"/>
  <c r="C87" i="3"/>
  <c r="B87" i="3"/>
  <c r="C86" i="3"/>
  <c r="B86" i="3"/>
  <c r="C85" i="3"/>
  <c r="B85" i="3"/>
  <c r="C84" i="3"/>
  <c r="B84" i="3"/>
  <c r="D83" i="3"/>
  <c r="C83" i="3"/>
  <c r="B83" i="3"/>
  <c r="C82" i="3"/>
  <c r="B82" i="3"/>
  <c r="D81" i="3"/>
  <c r="C81" i="3"/>
  <c r="B81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C61" i="3"/>
  <c r="B61" i="3"/>
  <c r="D60" i="3"/>
  <c r="C60" i="3"/>
  <c r="B60" i="3"/>
  <c r="D59" i="3"/>
  <c r="C59" i="3"/>
  <c r="B59" i="3"/>
  <c r="C58" i="3"/>
  <c r="B58" i="3"/>
  <c r="D57" i="3"/>
  <c r="C57" i="3"/>
  <c r="B57" i="3"/>
  <c r="D56" i="3"/>
  <c r="C56" i="3"/>
  <c r="B56" i="3"/>
  <c r="D55" i="3"/>
  <c r="C55" i="3"/>
  <c r="B55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D45" i="3"/>
  <c r="D44" i="3"/>
  <c r="D42" i="3"/>
  <c r="D40" i="3"/>
  <c r="D39" i="3"/>
  <c r="D37" i="3"/>
  <c r="D36" i="3"/>
  <c r="D35" i="3"/>
  <c r="D33" i="3"/>
  <c r="D32" i="3"/>
  <c r="D28" i="3"/>
  <c r="D27" i="3"/>
  <c r="D26" i="3"/>
  <c r="D25" i="3"/>
  <c r="D24" i="3"/>
  <c r="D23" i="3"/>
  <c r="D22" i="3"/>
  <c r="D21" i="3"/>
  <c r="D20" i="3"/>
  <c r="D18" i="3"/>
  <c r="D17" i="3"/>
  <c r="D16" i="3"/>
  <c r="D15" i="3"/>
  <c r="D14" i="3"/>
  <c r="D13" i="3"/>
  <c r="D12" i="3"/>
  <c r="D11" i="3"/>
  <c r="D10" i="3"/>
  <c r="D9" i="3"/>
  <c r="D8" i="3"/>
  <c r="D7" i="3"/>
  <c r="D5" i="3"/>
  <c r="E40" i="8" l="1"/>
  <c r="D40" i="8"/>
  <c r="E39" i="8"/>
  <c r="D39" i="8"/>
  <c r="E38" i="8"/>
  <c r="D38" i="8"/>
  <c r="E37" i="8"/>
  <c r="D37" i="8"/>
  <c r="E36" i="8"/>
  <c r="D36" i="8"/>
  <c r="E35" i="8"/>
  <c r="D35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4" i="8"/>
  <c r="D24" i="8"/>
  <c r="E23" i="8"/>
  <c r="D23" i="8"/>
  <c r="E22" i="8"/>
  <c r="E21" i="8"/>
  <c r="D21" i="8"/>
  <c r="E20" i="8"/>
  <c r="D20" i="8"/>
  <c r="E19" i="8"/>
  <c r="D19" i="8"/>
  <c r="E18" i="8"/>
  <c r="D18" i="8"/>
  <c r="E17" i="8"/>
  <c r="D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D39" i="7" l="1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D80" i="4" l="1"/>
  <c r="D79" i="4"/>
  <c r="D78" i="4"/>
  <c r="D77" i="4"/>
  <c r="D76" i="4"/>
  <c r="D75" i="4"/>
  <c r="D74" i="4"/>
  <c r="D73" i="4"/>
  <c r="D72" i="4"/>
  <c r="D71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1" i="4"/>
  <c r="D40" i="4"/>
  <c r="D38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6" i="4"/>
  <c r="G80" i="6" l="1"/>
  <c r="F80" i="6"/>
  <c r="E80" i="6"/>
  <c r="D80" i="6"/>
  <c r="C80" i="6"/>
  <c r="G79" i="6"/>
  <c r="F79" i="6"/>
  <c r="E79" i="6"/>
  <c r="D79" i="6"/>
  <c r="C79" i="6"/>
  <c r="G78" i="6"/>
  <c r="F78" i="6"/>
  <c r="E78" i="6"/>
  <c r="D78" i="6"/>
  <c r="C78" i="6"/>
  <c r="G77" i="6"/>
  <c r="F77" i="6"/>
  <c r="E77" i="6"/>
  <c r="D77" i="6"/>
  <c r="C77" i="6"/>
  <c r="G76" i="6"/>
  <c r="F76" i="6"/>
  <c r="E76" i="6"/>
  <c r="D76" i="6"/>
  <c r="C76" i="6"/>
  <c r="G75" i="6"/>
  <c r="F75" i="6"/>
  <c r="E75" i="6"/>
  <c r="D75" i="6"/>
  <c r="C75" i="6"/>
  <c r="G74" i="6"/>
  <c r="F74" i="6"/>
  <c r="E74" i="6"/>
  <c r="D74" i="6"/>
  <c r="C74" i="6"/>
  <c r="G73" i="6"/>
  <c r="F73" i="6"/>
  <c r="E73" i="6"/>
  <c r="D73" i="6"/>
  <c r="C73" i="6"/>
  <c r="G72" i="6"/>
  <c r="F72" i="6"/>
  <c r="E72" i="6"/>
  <c r="D72" i="6"/>
  <c r="C72" i="6"/>
  <c r="G71" i="6"/>
  <c r="F71" i="6"/>
  <c r="E71" i="6"/>
  <c r="D71" i="6"/>
  <c r="C71" i="6"/>
  <c r="G70" i="6"/>
  <c r="F70" i="6"/>
  <c r="E70" i="6"/>
  <c r="D70" i="6"/>
  <c r="G69" i="6"/>
  <c r="F69" i="6"/>
  <c r="E69" i="6"/>
  <c r="D69" i="6"/>
  <c r="C69" i="6"/>
  <c r="G68" i="6"/>
  <c r="F68" i="6"/>
  <c r="E68" i="6"/>
  <c r="D68" i="6"/>
  <c r="C68" i="6"/>
  <c r="G67" i="6"/>
  <c r="F67" i="6"/>
  <c r="E67" i="6"/>
  <c r="D67" i="6"/>
  <c r="C67" i="6"/>
  <c r="G66" i="6"/>
  <c r="F66" i="6"/>
  <c r="E66" i="6"/>
  <c r="D66" i="6"/>
  <c r="C66" i="6"/>
  <c r="G65" i="6"/>
  <c r="F65" i="6"/>
  <c r="E65" i="6"/>
  <c r="D65" i="6"/>
  <c r="C65" i="6"/>
  <c r="G64" i="6"/>
  <c r="F64" i="6"/>
  <c r="E64" i="6"/>
  <c r="D64" i="6"/>
  <c r="C64" i="6"/>
  <c r="G63" i="6"/>
  <c r="F63" i="6"/>
  <c r="E63" i="6"/>
  <c r="D63" i="6"/>
  <c r="C63" i="6"/>
  <c r="G62" i="6"/>
  <c r="F62" i="6"/>
  <c r="E62" i="6"/>
  <c r="D62" i="6"/>
  <c r="C62" i="6"/>
  <c r="G61" i="6"/>
  <c r="F61" i="6"/>
  <c r="E61" i="6"/>
  <c r="D61" i="6"/>
  <c r="C61" i="6"/>
  <c r="G60" i="6"/>
  <c r="F60" i="6"/>
  <c r="E60" i="6"/>
  <c r="D60" i="6"/>
  <c r="C60" i="6"/>
  <c r="G59" i="6"/>
  <c r="F59" i="6"/>
  <c r="E59" i="6"/>
  <c r="D59" i="6"/>
  <c r="C59" i="6"/>
  <c r="G58" i="6"/>
  <c r="F58" i="6"/>
  <c r="E58" i="6"/>
  <c r="D58" i="6"/>
  <c r="C58" i="6"/>
  <c r="G57" i="6"/>
  <c r="F57" i="6"/>
  <c r="E57" i="6"/>
  <c r="D57" i="6"/>
  <c r="C57" i="6"/>
  <c r="G56" i="6"/>
  <c r="F56" i="6"/>
  <c r="E56" i="6"/>
  <c r="D56" i="6"/>
  <c r="C56" i="6"/>
  <c r="G55" i="6"/>
  <c r="F55" i="6"/>
  <c r="E55" i="6"/>
  <c r="D55" i="6"/>
  <c r="C55" i="6"/>
  <c r="G54" i="6"/>
  <c r="F54" i="6"/>
  <c r="E54" i="6"/>
  <c r="D54" i="6"/>
  <c r="C54" i="6"/>
  <c r="G53" i="6"/>
  <c r="F53" i="6"/>
  <c r="E53" i="6"/>
  <c r="D53" i="6"/>
  <c r="C53" i="6"/>
  <c r="G52" i="6"/>
  <c r="F52" i="6"/>
  <c r="E52" i="6"/>
  <c r="D52" i="6"/>
  <c r="C52" i="6"/>
  <c r="G51" i="6"/>
  <c r="F51" i="6"/>
  <c r="E51" i="6"/>
  <c r="D51" i="6"/>
  <c r="C51" i="6"/>
  <c r="G50" i="6"/>
  <c r="F50" i="6"/>
  <c r="E50" i="6"/>
  <c r="D50" i="6"/>
  <c r="C50" i="6"/>
  <c r="G49" i="6"/>
  <c r="F49" i="6"/>
  <c r="E49" i="6"/>
  <c r="D49" i="6"/>
  <c r="C49" i="6"/>
  <c r="G48" i="6"/>
  <c r="F48" i="6"/>
  <c r="E48" i="6"/>
  <c r="D48" i="6"/>
  <c r="C48" i="6"/>
  <c r="G47" i="6"/>
  <c r="F47" i="6"/>
  <c r="E47" i="6"/>
  <c r="D47" i="6"/>
  <c r="C47" i="6"/>
  <c r="G46" i="6"/>
  <c r="F46" i="6"/>
  <c r="E46" i="6"/>
  <c r="D46" i="6"/>
  <c r="C46" i="6"/>
  <c r="G45" i="6"/>
  <c r="F45" i="6"/>
  <c r="E45" i="6"/>
  <c r="D45" i="6"/>
  <c r="C45" i="6"/>
  <c r="G44" i="6"/>
  <c r="F44" i="6"/>
  <c r="E44" i="6"/>
  <c r="D44" i="6"/>
  <c r="C44" i="6"/>
  <c r="G43" i="6"/>
  <c r="F43" i="6"/>
  <c r="E43" i="6"/>
  <c r="D43" i="6"/>
  <c r="C43" i="6"/>
  <c r="G42" i="6"/>
  <c r="F42" i="6"/>
  <c r="E42" i="6"/>
  <c r="D42" i="6"/>
  <c r="C42" i="6"/>
  <c r="G41" i="6"/>
  <c r="F41" i="6"/>
  <c r="E41" i="6"/>
  <c r="D41" i="6"/>
  <c r="C41" i="6"/>
  <c r="G40" i="6"/>
  <c r="F40" i="6"/>
  <c r="E40" i="6"/>
  <c r="D40" i="6"/>
  <c r="C40" i="6"/>
  <c r="G39" i="6"/>
  <c r="F39" i="6"/>
  <c r="E39" i="6"/>
  <c r="D39" i="6"/>
  <c r="C39" i="6"/>
  <c r="G38" i="6"/>
  <c r="F38" i="6"/>
  <c r="E38" i="6"/>
  <c r="D38" i="6"/>
  <c r="C38" i="6"/>
  <c r="G37" i="6"/>
  <c r="F37" i="6"/>
  <c r="E37" i="6"/>
  <c r="D37" i="6"/>
  <c r="C37" i="6"/>
  <c r="G36" i="6"/>
  <c r="F36" i="6"/>
  <c r="E36" i="6"/>
  <c r="D36" i="6"/>
  <c r="C36" i="6"/>
  <c r="G35" i="6"/>
  <c r="F35" i="6"/>
  <c r="E35" i="6"/>
  <c r="D35" i="6"/>
  <c r="C35" i="6"/>
  <c r="G34" i="6"/>
  <c r="F34" i="6"/>
  <c r="E34" i="6"/>
  <c r="D34" i="6"/>
  <c r="C34" i="6"/>
  <c r="G33" i="6"/>
  <c r="F33" i="6"/>
  <c r="E33" i="6"/>
  <c r="D33" i="6"/>
  <c r="C33" i="6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4" i="6"/>
  <c r="F24" i="6"/>
  <c r="E24" i="6"/>
  <c r="D24" i="6"/>
  <c r="C24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20" i="6"/>
  <c r="F20" i="6"/>
  <c r="E20" i="6"/>
  <c r="D20" i="6"/>
  <c r="C20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G9" i="6"/>
  <c r="F9" i="6"/>
  <c r="E9" i="6"/>
  <c r="D9" i="6"/>
  <c r="C9" i="6"/>
  <c r="G7" i="6"/>
  <c r="F7" i="6"/>
  <c r="C7" i="6"/>
  <c r="B7" i="6"/>
  <c r="G81" i="5" l="1"/>
  <c r="F81" i="5"/>
  <c r="E81" i="5"/>
  <c r="D81" i="5"/>
  <c r="C81" i="5"/>
  <c r="G80" i="5"/>
  <c r="F80" i="5"/>
  <c r="E80" i="5"/>
  <c r="D80" i="5"/>
  <c r="C80" i="5"/>
  <c r="G79" i="5"/>
  <c r="F79" i="5"/>
  <c r="E79" i="5"/>
  <c r="D79" i="5"/>
  <c r="C79" i="5"/>
  <c r="G78" i="5"/>
  <c r="F78" i="5"/>
  <c r="E78" i="5"/>
  <c r="D78" i="5"/>
  <c r="C78" i="5"/>
  <c r="G77" i="5"/>
  <c r="F77" i="5"/>
  <c r="E77" i="5"/>
  <c r="D77" i="5"/>
  <c r="C77" i="5"/>
  <c r="G76" i="5"/>
  <c r="F76" i="5"/>
  <c r="E76" i="5"/>
  <c r="D76" i="5"/>
  <c r="C76" i="5"/>
  <c r="G75" i="5"/>
  <c r="F75" i="5"/>
  <c r="E75" i="5"/>
  <c r="D75" i="5"/>
  <c r="C75" i="5"/>
  <c r="G74" i="5"/>
  <c r="F74" i="5"/>
  <c r="E74" i="5"/>
  <c r="D74" i="5"/>
  <c r="C74" i="5"/>
  <c r="G73" i="5"/>
  <c r="F73" i="5"/>
  <c r="E73" i="5"/>
  <c r="D73" i="5"/>
  <c r="C73" i="5"/>
  <c r="G72" i="5"/>
  <c r="F72" i="5"/>
  <c r="E72" i="5"/>
  <c r="D72" i="5"/>
  <c r="C72" i="5"/>
  <c r="G71" i="5"/>
  <c r="F71" i="5"/>
  <c r="E71" i="5"/>
  <c r="D71" i="5"/>
  <c r="G70" i="5"/>
  <c r="F70" i="5"/>
  <c r="E70" i="5"/>
  <c r="D70" i="5"/>
  <c r="C70" i="5"/>
  <c r="G69" i="5"/>
  <c r="F69" i="5"/>
  <c r="E69" i="5"/>
  <c r="D69" i="5"/>
  <c r="C69" i="5"/>
  <c r="G68" i="5"/>
  <c r="F68" i="5"/>
  <c r="E68" i="5"/>
  <c r="D68" i="5"/>
  <c r="C68" i="5"/>
  <c r="G67" i="5"/>
  <c r="F67" i="5"/>
  <c r="E67" i="5"/>
  <c r="D67" i="5"/>
  <c r="G66" i="5"/>
  <c r="F66" i="5"/>
  <c r="E66" i="5"/>
  <c r="D66" i="5"/>
  <c r="C66" i="5"/>
  <c r="G65" i="5"/>
  <c r="F65" i="5"/>
  <c r="E65" i="5"/>
  <c r="D65" i="5"/>
  <c r="C65" i="5"/>
  <c r="G64" i="5"/>
  <c r="F64" i="5"/>
  <c r="E64" i="5"/>
  <c r="D64" i="5"/>
  <c r="C64" i="5"/>
  <c r="G63" i="5"/>
  <c r="F63" i="5"/>
  <c r="E63" i="5"/>
  <c r="D63" i="5"/>
  <c r="C63" i="5"/>
  <c r="G62" i="5"/>
  <c r="F62" i="5"/>
  <c r="E62" i="5"/>
  <c r="D62" i="5"/>
  <c r="C62" i="5"/>
  <c r="G61" i="5"/>
  <c r="F61" i="5"/>
  <c r="E61" i="5"/>
  <c r="D61" i="5"/>
  <c r="C61" i="5"/>
  <c r="G60" i="5"/>
  <c r="F60" i="5"/>
  <c r="E60" i="5"/>
  <c r="D60" i="5"/>
  <c r="C60" i="5"/>
  <c r="G59" i="5"/>
  <c r="F59" i="5"/>
  <c r="E59" i="5"/>
  <c r="D59" i="5"/>
  <c r="C59" i="5"/>
  <c r="G58" i="5"/>
  <c r="F58" i="5"/>
  <c r="E58" i="5"/>
  <c r="D58" i="5"/>
  <c r="C58" i="5"/>
  <c r="G57" i="5"/>
  <c r="F57" i="5"/>
  <c r="E57" i="5"/>
  <c r="D57" i="5"/>
  <c r="C57" i="5"/>
  <c r="G56" i="5"/>
  <c r="F56" i="5"/>
  <c r="E56" i="5"/>
  <c r="D56" i="5"/>
  <c r="C56" i="5"/>
  <c r="G55" i="5"/>
  <c r="F55" i="5"/>
  <c r="E55" i="5"/>
  <c r="D55" i="5"/>
  <c r="C55" i="5"/>
  <c r="G54" i="5"/>
  <c r="F54" i="5"/>
  <c r="E54" i="5"/>
  <c r="D54" i="5"/>
  <c r="C54" i="5"/>
  <c r="G53" i="5"/>
  <c r="F53" i="5"/>
  <c r="E53" i="5"/>
  <c r="D53" i="5"/>
  <c r="C53" i="5"/>
  <c r="G52" i="5"/>
  <c r="F52" i="5"/>
  <c r="E52" i="5"/>
  <c r="D52" i="5"/>
  <c r="C52" i="5"/>
  <c r="G51" i="5"/>
  <c r="F51" i="5"/>
  <c r="E51" i="5"/>
  <c r="D51" i="5"/>
  <c r="C51" i="5"/>
  <c r="G50" i="5"/>
  <c r="F50" i="5"/>
  <c r="E50" i="5"/>
  <c r="D50" i="5"/>
  <c r="C50" i="5"/>
  <c r="G49" i="5"/>
  <c r="F49" i="5"/>
  <c r="E49" i="5"/>
  <c r="D49" i="5"/>
  <c r="C49" i="5"/>
  <c r="G48" i="5"/>
  <c r="F48" i="5"/>
  <c r="E48" i="5"/>
  <c r="D48" i="5"/>
  <c r="C48" i="5"/>
  <c r="G47" i="5"/>
  <c r="F47" i="5"/>
  <c r="E47" i="5"/>
  <c r="D47" i="5"/>
  <c r="C47" i="5"/>
  <c r="G46" i="5"/>
  <c r="F46" i="5"/>
  <c r="E46" i="5"/>
  <c r="D46" i="5"/>
  <c r="C46" i="5"/>
  <c r="G45" i="5"/>
  <c r="F45" i="5"/>
  <c r="E45" i="5"/>
  <c r="D45" i="5"/>
  <c r="C45" i="5"/>
  <c r="G44" i="5"/>
  <c r="F44" i="5"/>
  <c r="E44" i="5"/>
  <c r="D44" i="5"/>
  <c r="C44" i="5"/>
  <c r="G43" i="5"/>
  <c r="F43" i="5"/>
  <c r="E43" i="5"/>
  <c r="D43" i="5"/>
  <c r="G42" i="5"/>
  <c r="F42" i="5"/>
  <c r="E42" i="5"/>
  <c r="D42" i="5"/>
  <c r="C42" i="5"/>
  <c r="G41" i="5"/>
  <c r="F41" i="5"/>
  <c r="E41" i="5"/>
  <c r="D41" i="5"/>
  <c r="C41" i="5"/>
  <c r="G40" i="5"/>
  <c r="F40" i="5"/>
  <c r="E40" i="5"/>
  <c r="D40" i="5"/>
  <c r="G39" i="5"/>
  <c r="F39" i="5"/>
  <c r="E39" i="5"/>
  <c r="D39" i="5"/>
  <c r="C39" i="5"/>
  <c r="G38" i="5"/>
  <c r="F38" i="5"/>
  <c r="E38" i="5"/>
  <c r="D38" i="5"/>
  <c r="G37" i="5"/>
  <c r="F37" i="5"/>
  <c r="E37" i="5"/>
  <c r="D37" i="5"/>
  <c r="C37" i="5"/>
  <c r="G36" i="5"/>
  <c r="F36" i="5"/>
  <c r="E36" i="5"/>
  <c r="D36" i="5"/>
  <c r="G35" i="5"/>
  <c r="F35" i="5"/>
  <c r="E35" i="5"/>
  <c r="D35" i="5"/>
  <c r="C35" i="5"/>
  <c r="G34" i="5"/>
  <c r="F34" i="5"/>
  <c r="E34" i="5"/>
  <c r="D34" i="5"/>
  <c r="G33" i="5"/>
  <c r="F33" i="5"/>
  <c r="E33" i="5"/>
  <c r="D33" i="5"/>
  <c r="C33" i="5"/>
  <c r="G32" i="5"/>
  <c r="F32" i="5"/>
  <c r="E32" i="5"/>
  <c r="D32" i="5"/>
  <c r="C32" i="5"/>
  <c r="G31" i="5"/>
  <c r="F31" i="5"/>
  <c r="E31" i="5"/>
  <c r="D31" i="5"/>
  <c r="C31" i="5"/>
  <c r="G30" i="5"/>
  <c r="F30" i="5"/>
  <c r="E30" i="5"/>
  <c r="D30" i="5"/>
  <c r="C30" i="5"/>
  <c r="G29" i="5"/>
  <c r="F29" i="5"/>
  <c r="E29" i="5"/>
  <c r="D29" i="5"/>
  <c r="C29" i="5"/>
  <c r="G28" i="5"/>
  <c r="F28" i="5"/>
  <c r="E28" i="5"/>
  <c r="D28" i="5"/>
  <c r="C28" i="5"/>
  <c r="G27" i="5"/>
  <c r="F27" i="5"/>
  <c r="E27" i="5"/>
  <c r="D27" i="5"/>
  <c r="G26" i="5"/>
  <c r="F26" i="5"/>
  <c r="E26" i="5"/>
  <c r="D26" i="5"/>
  <c r="C26" i="5"/>
  <c r="G25" i="5"/>
  <c r="F25" i="5"/>
  <c r="E25" i="5"/>
  <c r="D25" i="5"/>
  <c r="C25" i="5"/>
  <c r="G24" i="5"/>
  <c r="F24" i="5"/>
  <c r="E24" i="5"/>
  <c r="D24" i="5"/>
  <c r="C24" i="5"/>
  <c r="G23" i="5"/>
  <c r="F23" i="5"/>
  <c r="E23" i="5"/>
  <c r="D23" i="5"/>
  <c r="C23" i="5"/>
  <c r="G22" i="5"/>
  <c r="F22" i="5"/>
  <c r="E22" i="5"/>
  <c r="D22" i="5"/>
  <c r="C22" i="5"/>
  <c r="G21" i="5"/>
  <c r="F21" i="5"/>
  <c r="E21" i="5"/>
  <c r="D21" i="5"/>
  <c r="C21" i="5"/>
  <c r="G20" i="5"/>
  <c r="F20" i="5"/>
  <c r="E20" i="5"/>
  <c r="D20" i="5"/>
  <c r="C20" i="5"/>
  <c r="G19" i="5"/>
  <c r="F19" i="5"/>
  <c r="E19" i="5"/>
  <c r="D19" i="5"/>
  <c r="C19" i="5"/>
  <c r="G18" i="5"/>
  <c r="F18" i="5"/>
  <c r="E18" i="5"/>
  <c r="D18" i="5"/>
  <c r="C18" i="5"/>
  <c r="G17" i="5"/>
  <c r="F17" i="5"/>
  <c r="E17" i="5"/>
  <c r="D17" i="5"/>
  <c r="C17" i="5"/>
  <c r="G16" i="5"/>
  <c r="F16" i="5"/>
  <c r="E16" i="5"/>
  <c r="D16" i="5"/>
  <c r="C16" i="5"/>
  <c r="G15" i="5"/>
  <c r="F15" i="5"/>
  <c r="E15" i="5"/>
  <c r="D15" i="5"/>
  <c r="C15" i="5"/>
  <c r="G14" i="5"/>
  <c r="F14" i="5"/>
  <c r="E14" i="5"/>
  <c r="D14" i="5"/>
  <c r="C14" i="5"/>
  <c r="G13" i="5"/>
  <c r="F13" i="5"/>
  <c r="E13" i="5"/>
  <c r="D13" i="5"/>
  <c r="C13" i="5"/>
  <c r="G12" i="5"/>
  <c r="F12" i="5"/>
  <c r="E12" i="5"/>
  <c r="D12" i="5"/>
  <c r="C12" i="5"/>
  <c r="G11" i="5"/>
  <c r="F11" i="5"/>
  <c r="E11" i="5"/>
  <c r="D11" i="5"/>
  <c r="C11" i="5"/>
  <c r="G10" i="5"/>
  <c r="F10" i="5"/>
  <c r="E10" i="5"/>
  <c r="D10" i="5"/>
  <c r="C10" i="5"/>
  <c r="G9" i="5"/>
  <c r="F9" i="5"/>
  <c r="E9" i="5"/>
  <c r="D9" i="5"/>
  <c r="C9" i="5"/>
  <c r="G7" i="5"/>
  <c r="F7" i="5"/>
  <c r="C7" i="5"/>
  <c r="G122" i="2" l="1"/>
  <c r="F122" i="2"/>
  <c r="E122" i="2"/>
  <c r="D122" i="2"/>
  <c r="C122" i="2"/>
  <c r="G121" i="2"/>
  <c r="F121" i="2"/>
  <c r="E121" i="2"/>
  <c r="D121" i="2"/>
  <c r="C121" i="2"/>
  <c r="G120" i="2"/>
  <c r="F120" i="2"/>
  <c r="E120" i="2"/>
  <c r="D120" i="2"/>
  <c r="C120" i="2"/>
  <c r="G119" i="2"/>
  <c r="F119" i="2"/>
  <c r="E119" i="2"/>
  <c r="D119" i="2"/>
  <c r="C119" i="2"/>
  <c r="G118" i="2"/>
  <c r="F118" i="2"/>
  <c r="E118" i="2"/>
  <c r="D118" i="2"/>
  <c r="C118" i="2"/>
  <c r="G117" i="2"/>
  <c r="F117" i="2"/>
  <c r="E117" i="2"/>
  <c r="D117" i="2"/>
  <c r="C117" i="2"/>
  <c r="G116" i="2"/>
  <c r="F116" i="2"/>
  <c r="E116" i="2"/>
  <c r="D116" i="2"/>
  <c r="C116" i="2"/>
  <c r="G115" i="2"/>
  <c r="F115" i="2"/>
  <c r="E115" i="2"/>
  <c r="D115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C112" i="2"/>
  <c r="G111" i="2"/>
  <c r="F111" i="2"/>
  <c r="E111" i="2"/>
  <c r="D111" i="2"/>
  <c r="C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C106" i="2"/>
  <c r="G105" i="2"/>
  <c r="F105" i="2"/>
  <c r="E105" i="2"/>
  <c r="D105" i="2"/>
  <c r="C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C102" i="2"/>
  <c r="G101" i="2"/>
  <c r="F101" i="2"/>
  <c r="E101" i="2"/>
  <c r="D101" i="2"/>
  <c r="C101" i="2"/>
  <c r="G100" i="2"/>
  <c r="F100" i="2"/>
  <c r="E100" i="2"/>
  <c r="D100" i="2"/>
  <c r="C100" i="2"/>
  <c r="G99" i="2"/>
  <c r="F99" i="2"/>
  <c r="E99" i="2"/>
  <c r="D99" i="2"/>
  <c r="C99" i="2"/>
  <c r="G98" i="2"/>
  <c r="F98" i="2"/>
  <c r="E98" i="2"/>
  <c r="D98" i="2"/>
  <c r="C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C91" i="2"/>
  <c r="G90" i="2"/>
  <c r="F90" i="2"/>
  <c r="E90" i="2"/>
  <c r="D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G41" i="2"/>
  <c r="F41" i="2"/>
  <c r="E41" i="2"/>
  <c r="D41" i="2"/>
  <c r="C41" i="2"/>
  <c r="G40" i="2"/>
  <c r="F40" i="2"/>
  <c r="E40" i="2"/>
  <c r="D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6" i="2"/>
  <c r="F6" i="2"/>
  <c r="C6" i="2"/>
  <c r="G112" i="1" l="1"/>
  <c r="F112" i="1"/>
  <c r="E112" i="1"/>
  <c r="D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G78" i="1"/>
  <c r="F78" i="1"/>
  <c r="E78" i="1"/>
  <c r="D78" i="1"/>
  <c r="C78" i="1"/>
  <c r="G77" i="1"/>
  <c r="F77" i="1"/>
  <c r="E77" i="1"/>
  <c r="D77" i="1"/>
  <c r="G76" i="1"/>
  <c r="F76" i="1"/>
  <c r="E76" i="1"/>
  <c r="D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G62" i="1"/>
  <c r="F62" i="1"/>
  <c r="E62" i="1"/>
  <c r="D62" i="1"/>
  <c r="C62" i="1"/>
  <c r="G61" i="1"/>
  <c r="F61" i="1"/>
  <c r="E61" i="1"/>
  <c r="D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G32" i="1"/>
  <c r="F32" i="1"/>
  <c r="E32" i="1"/>
  <c r="D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G27" i="1"/>
  <c r="F27" i="1"/>
  <c r="E27" i="1"/>
  <c r="D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B8" i="1"/>
  <c r="G6" i="1"/>
  <c r="F6" i="1"/>
  <c r="C6" i="1"/>
</calcChain>
</file>

<file path=xl/sharedStrings.xml><?xml version="1.0" encoding="utf-8"?>
<sst xmlns="http://schemas.openxmlformats.org/spreadsheetml/2006/main" count="827" uniqueCount="303">
  <si>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</si>
  <si>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</si>
  <si>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</si>
  <si>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</si>
  <si>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</si>
  <si>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</si>
  <si>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</si>
  <si>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</si>
  <si>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</si>
  <si>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</si>
  <si>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</si>
  <si>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</si>
  <si>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</si>
  <si>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</si>
  <si>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</si>
  <si>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</si>
  <si>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</si>
  <si>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</si>
  <si>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</si>
  <si>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</si>
  <si>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</si>
  <si>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</si>
  <si>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</si>
  <si>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</si>
  <si>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</si>
  <si>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</si>
  <si>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</si>
  <si>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</si>
  <si>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</si>
  <si>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</si>
  <si>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</si>
  <si>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</si>
  <si>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</si>
  <si>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</si>
  <si>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</si>
  <si>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</si>
  <si>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</si>
  <si>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</si>
  <si>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</si>
  <si>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</si>
  <si>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</si>
  <si>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</si>
  <si>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</si>
  <si>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</si>
  <si>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</si>
  <si>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</si>
  <si>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</si>
  <si>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</si>
  <si>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</si>
  <si>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</si>
  <si>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</si>
  <si>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</si>
  <si>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</si>
  <si>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</si>
  <si>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</si>
  <si>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</si>
  <si>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</si>
  <si>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</si>
  <si>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</si>
  <si>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</si>
  <si>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</si>
  <si>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</si>
  <si>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</si>
  <si>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</si>
  <si>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</si>
  <si>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</si>
  <si>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</si>
  <si>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</si>
  <si>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</si>
  <si>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</si>
  <si>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</si>
  <si>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</si>
  <si>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</si>
  <si>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</si>
  <si>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</si>
  <si>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</si>
  <si>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</si>
  <si>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</si>
  <si>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</si>
  <si>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</si>
  <si>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</si>
  <si>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</si>
  <si>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</si>
  <si>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</si>
  <si>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</si>
  <si>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</si>
  <si>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</si>
  <si>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</si>
  <si>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</si>
  <si>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</si>
  <si>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</si>
  <si>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</si>
  <si>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</si>
  <si>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</si>
  <si>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</si>
  <si>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</si>
  <si>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</si>
  <si>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</si>
  <si>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</si>
  <si>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</si>
  <si>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</si>
  <si>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</si>
  <si>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</si>
  <si>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</si>
  <si>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</si>
  <si>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</si>
  <si>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</si>
  <si>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</si>
  <si>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</si>
  <si>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</si>
  <si>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</si>
  <si>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</si>
  <si>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</si>
  <si>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</si>
  <si>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</si>
  <si>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</si>
  <si>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</si>
  <si>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</si>
  <si>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</si>
  <si>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</si>
  <si>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</si>
  <si>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</si>
  <si>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</si>
  <si>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</si>
  <si>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Regatul Unit al Marii Britanii şi Irlandei de Nord</t>
  </si>
  <si>
    <t>Franţa</t>
  </si>
  <si>
    <t>Croaţia</t>
  </si>
  <si>
    <t>Federaţia Rusă</t>
  </si>
  <si>
    <t>de 1,5 ori</t>
  </si>
  <si>
    <t>Kârgâzstan</t>
  </si>
  <si>
    <t>Elveţia</t>
  </si>
  <si>
    <t>Siria</t>
  </si>
  <si>
    <t>Afganistan</t>
  </si>
  <si>
    <t>IMPORT - total</t>
  </si>
  <si>
    <t>San Marino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</si>
  <si>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</si>
  <si>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</si>
  <si>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</si>
  <si>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</si>
  <si>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</si>
  <si>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</si>
  <si>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2020¹</t>
  </si>
  <si>
    <t>Burkina Faso</t>
  </si>
  <si>
    <t>Macedonia de Nord</t>
  </si>
  <si>
    <t>Andorra</t>
  </si>
  <si>
    <t>Cote D'Ivoire</t>
  </si>
  <si>
    <t>Insulele Feroe</t>
  </si>
  <si>
    <t>Antigua şi Barbuda</t>
  </si>
  <si>
    <t>Insulele Folkland</t>
  </si>
  <si>
    <t>Laos</t>
  </si>
  <si>
    <t xml:space="preserve"> - </t>
  </si>
  <si>
    <t xml:space="preserve">     din care:</t>
  </si>
  <si>
    <t>Republica Yemen</t>
  </si>
  <si>
    <t>Zimbabwe</t>
  </si>
  <si>
    <t>Madagascar</t>
  </si>
  <si>
    <t>Camerun</t>
  </si>
  <si>
    <t xml:space="preserve">EXPORT - total      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</si>
  <si>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</si>
  <si>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</si>
  <si>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</si>
  <si>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</si>
  <si>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</si>
  <si>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</si>
  <si>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</si>
  <si>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Tanzania</t>
  </si>
  <si>
    <t>Sierra Leone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</si>
  <si>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</si>
  <si>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</si>
  <si>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</si>
  <si>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</si>
  <si>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</si>
  <si>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</si>
  <si>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Sri Lanka</t>
  </si>
  <si>
    <t>Cambodgia</t>
  </si>
  <si>
    <t>Mauritius</t>
  </si>
  <si>
    <t>Kosovo</t>
  </si>
  <si>
    <t>Ghana</t>
  </si>
  <si>
    <t>Montenegro</t>
  </si>
  <si>
    <t>Insulele Georgia şi Sandwich de Sud</t>
  </si>
  <si>
    <t>Paraguay</t>
  </si>
  <si>
    <t>Guatemala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</si>
  <si>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</si>
  <si>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</si>
  <si>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</si>
  <si>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</si>
  <si>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</si>
  <si>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</si>
  <si>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</si>
  <si>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</si>
  <si>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</si>
  <si>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Energie electrică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</si>
  <si>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</si>
  <si>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</si>
  <si>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</si>
  <si>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</si>
  <si>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</si>
  <si>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</si>
  <si>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</si>
  <si>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</si>
  <si>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</si>
  <si>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</si>
  <si>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</si>
  <si>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</si>
  <si>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</si>
  <si>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</si>
  <si>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</si>
  <si>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</si>
  <si>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</si>
  <si>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</si>
  <si>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</si>
  <si>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</si>
  <si>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</si>
  <si>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</si>
  <si>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</si>
  <si>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</si>
  <si>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</si>
  <si>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</si>
  <si>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</si>
  <si>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</si>
  <si>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</si>
  <si>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</si>
  <si>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</si>
  <si>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</si>
  <si>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</si>
  <si>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</si>
  <si>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</si>
  <si>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</si>
  <si>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</si>
  <si>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</si>
  <si>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</si>
  <si>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</si>
  <si>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</si>
  <si>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</si>
  <si>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</si>
  <si>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</si>
  <si>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</si>
  <si>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</si>
  <si>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</si>
  <si>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</si>
  <si>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</si>
  <si>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</si>
  <si>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Mărfuri manufacturate, clasificate mai ales după materia primă</t>
  </si>
  <si>
    <t>de 2,2 ori</t>
  </si>
  <si>
    <t>de 1,8 ori</t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</si>
  <si>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pe moduri de transport a mărfurilor și grupe de ţări  </t>
    </r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</si>
  <si>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pe moduri de transport a mărfurilor și grupe de ţări </t>
    </r>
  </si>
  <si>
    <t>Țările CSI - total</t>
  </si>
  <si>
    <t>de 2,3 ori</t>
  </si>
  <si>
    <t>de 141,2 ori</t>
  </si>
  <si>
    <t>Republica Dominicană</t>
  </si>
  <si>
    <t xml:space="preserve"> -</t>
  </si>
  <si>
    <t>Țările Uniunii Europene (UE-27)</t>
  </si>
  <si>
    <t xml:space="preserve">Țările CSI </t>
  </si>
  <si>
    <t xml:space="preserve">Celelalte țări ale lumii </t>
  </si>
  <si>
    <t>Cuba</t>
  </si>
  <si>
    <t>Trinidad Tobago</t>
  </si>
  <si>
    <t>Nepal</t>
  </si>
  <si>
    <t>Algeria</t>
  </si>
  <si>
    <t>de 3,0 ori</t>
  </si>
  <si>
    <t>BALANŢA COMERCIALĂ – total, mii dolari SUA</t>
  </si>
  <si>
    <t>Bosnia şi Hertegovina</t>
  </si>
  <si>
    <t>de 2,5 ori</t>
  </si>
  <si>
    <t>de 3,3 ori</t>
  </si>
  <si>
    <t>de 2,6 ori</t>
  </si>
  <si>
    <t>de 5,7 ori</t>
  </si>
  <si>
    <t>Celelalte țări ale lumii</t>
  </si>
  <si>
    <t>Ţările Uniunii Europene (UE 27) - total</t>
  </si>
  <si>
    <t>Bolivia</t>
  </si>
  <si>
    <t>Congo</t>
  </si>
  <si>
    <t>Angola</t>
  </si>
  <si>
    <t>de 5,5 ori</t>
  </si>
  <si>
    <t>Ianuarie - octombrie 2020</t>
  </si>
  <si>
    <t>în % faţă de ianuarie - octombrie 2019¹</t>
  </si>
  <si>
    <t>ianuarie - octombrie</t>
  </si>
  <si>
    <t>în % faţă de ianuarie-octombrie 2019¹</t>
  </si>
  <si>
    <t>Ianuarie - octombrie</t>
  </si>
  <si>
    <t>Ianuarie - octombrie               2020 în % faţă de                  ianuarie - octombrie 2019¹</t>
  </si>
  <si>
    <t>Ianuarie - octombrie             2020 în % faţă de                       ianuarie - octombrie 2019¹</t>
  </si>
  <si>
    <t>Bosnia şi Herţegovina</t>
  </si>
  <si>
    <t>de 2,4 ori</t>
  </si>
  <si>
    <t>de 16,6 ori</t>
  </si>
  <si>
    <t>de 5,0 ori</t>
  </si>
  <si>
    <t>de 4,1 ori</t>
  </si>
  <si>
    <t>Libia</t>
  </si>
  <si>
    <t>de 6,9 ori</t>
  </si>
  <si>
    <t>de 7,1 ori</t>
  </si>
  <si>
    <t>de 5,1 ori</t>
  </si>
  <si>
    <t>de 5,8 ori</t>
  </si>
  <si>
    <t>de 2,8 ori</t>
  </si>
  <si>
    <t>de 15,6 ori</t>
  </si>
  <si>
    <t>de 20,1 ori</t>
  </si>
  <si>
    <t>de 6,2 ori</t>
  </si>
  <si>
    <t>de 53,6 ori</t>
  </si>
  <si>
    <t>Honduras</t>
  </si>
  <si>
    <t>Nicaragua</t>
  </si>
  <si>
    <t>El Salvador</t>
  </si>
  <si>
    <t>Coreea de Nord</t>
  </si>
  <si>
    <t>Barbados</t>
  </si>
  <si>
    <t>Panama</t>
  </si>
  <si>
    <t>Brunei Darussalam</t>
  </si>
  <si>
    <t>de 3,4 ori</t>
  </si>
  <si>
    <t>de 5,2 ori</t>
  </si>
  <si>
    <t>de 351,0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</si>
</sst>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21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164" fontId="11" fillId="0" borderId="0" xfId="0" applyNumberFormat="1" applyFont="1" applyFill="1" applyAlignment="1" applyProtection="1">
      <alignment horizontal="right"/>
    </xf>
    <xf numFmtId="164" fontId="9" fillId="0" borderId="0" xfId="0" applyNumberFormat="1" applyFont="1" applyFill="1" applyAlignment="1" applyProtection="1">
      <alignment horizontal="right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2" fontId="12" fillId="0" borderId="0" xfId="0" applyNumberFormat="1" applyFont="1" applyFill="1" applyAlignment="1" applyProtection="1">
      <alignment horizontal="right"/>
    </xf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38" fontId="23" fillId="0" borderId="0" xfId="0" applyNumberFormat="1" applyFont="1" applyFill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24" fillId="0" borderId="0" xfId="0" applyNumberFormat="1" applyFont="1" applyFill="1" applyAlignment="1" applyProtection="1">
      <alignment horizontal="right" vertical="top" wrapText="1"/>
    </xf>
    <xf numFmtId="4" fontId="24" fillId="0" borderId="0" xfId="0" applyNumberFormat="1" applyFont="1" applyFill="1" applyAlignment="1" applyProtection="1">
      <alignment horizontal="right" vertical="top"/>
    </xf>
    <xf numFmtId="4" fontId="24" fillId="0" borderId="0" xfId="0" applyNumberFormat="1" applyFont="1" applyFill="1" applyBorder="1" applyAlignment="1" applyProtection="1">
      <alignment horizontal="right" vertical="top" wrapText="1"/>
    </xf>
    <xf numFmtId="4" fontId="22" fillId="0" borderId="0" xfId="0" applyNumberFormat="1" applyFont="1" applyFill="1" applyBorder="1" applyAlignment="1" applyProtection="1">
      <alignment horizontal="right" vertical="top"/>
    </xf>
    <xf numFmtId="4" fontId="24" fillId="0" borderId="0" xfId="0" applyNumberFormat="1" applyFont="1" applyFill="1" applyBorder="1" applyAlignment="1" applyProtection="1">
      <alignment horizontal="righ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Font="1"/>
    <xf numFmtId="38" fontId="11" fillId="0" borderId="0" xfId="0" applyNumberFormat="1" applyFont="1" applyFill="1" applyAlignment="1" applyProtection="1">
      <alignment horizontal="left" vertical="top" wrapText="1"/>
    </xf>
    <xf numFmtId="0" fontId="25" fillId="0" borderId="0" xfId="0" applyFont="1"/>
    <xf numFmtId="4" fontId="26" fillId="0" borderId="0" xfId="0" applyNumberFormat="1" applyFont="1" applyAlignment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Fill="1" applyAlignment="1" applyProtection="1">
      <alignment horizontal="left" vertical="top" wrapText="1"/>
    </xf>
    <xf numFmtId="0" fontId="25" fillId="0" borderId="0" xfId="0" applyFont="1" applyAlignment="1">
      <alignment horizontal="right" vertical="top" indent="1"/>
    </xf>
    <xf numFmtId="4" fontId="22" fillId="0" borderId="0" xfId="0" applyNumberFormat="1" applyFont="1" applyFill="1" applyBorder="1" applyAlignment="1" applyProtection="1">
      <alignment horizontal="right" vertical="top" indent="1"/>
    </xf>
    <xf numFmtId="4" fontId="24" fillId="0" borderId="0" xfId="0" applyNumberFormat="1" applyFont="1" applyFill="1" applyBorder="1" applyAlignment="1" applyProtection="1">
      <alignment horizontal="right" vertical="top" inden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/>
    </xf>
    <xf numFmtId="4" fontId="11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right" vertical="top"/>
    </xf>
    <xf numFmtId="38" fontId="9" fillId="0" borderId="3" xfId="0" applyNumberFormat="1" applyFont="1" applyFill="1" applyBorder="1" applyAlignment="1" applyProtection="1">
      <alignment horizontal="left" vertical="top" wrapText="1"/>
    </xf>
    <xf numFmtId="4" fontId="9" fillId="0" borderId="3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4" fontId="27" fillId="0" borderId="5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indent="1"/>
    </xf>
    <xf numFmtId="4" fontId="11" fillId="0" borderId="3" xfId="0" applyNumberFormat="1" applyFont="1" applyFill="1" applyBorder="1" applyAlignment="1" applyProtection="1">
      <alignment horizontal="right" vertical="top" indent="1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/>
    </xf>
    <xf numFmtId="4" fontId="26" fillId="0" borderId="0" xfId="0" applyNumberFormat="1" applyFont="1" applyAlignment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/>
    </xf>
    <xf numFmtId="4" fontId="27" fillId="0" borderId="0" xfId="0" applyNumberFormat="1" applyFont="1" applyFill="1" applyAlignment="1" applyProtection="1">
      <alignment horizontal="right" vertical="top" wrapText="1"/>
    </xf>
    <xf numFmtId="4" fontId="28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Fill="1" applyAlignment="1" applyProtection="1">
      <alignment horizontal="right" vertical="center"/>
    </xf>
    <xf numFmtId="4" fontId="11" fillId="0" borderId="0" xfId="0" applyNumberFormat="1" applyFont="1" applyFill="1" applyAlignment="1" applyProtection="1">
      <alignment horizontal="right" vertical="center"/>
    </xf>
    <xf numFmtId="4" fontId="9" fillId="0" borderId="0" xfId="0" applyNumberFormat="1" applyFont="1" applyBorder="1" applyAlignment="1">
      <alignment horizontal="right" vertical="top" wrapText="1" indent="1"/>
    </xf>
    <xf numFmtId="4" fontId="9" fillId="0" borderId="0" xfId="0" applyNumberFormat="1" applyFont="1" applyFill="1" applyAlignment="1" applyProtection="1">
      <alignment horizontal="right" vertical="top" wrapText="1" indent="1"/>
    </xf>
    <xf numFmtId="4" fontId="9" fillId="0" borderId="3" xfId="0" applyNumberFormat="1" applyFont="1" applyBorder="1" applyAlignment="1">
      <alignment horizontal="right" vertical="top" wrapText="1" indent="1"/>
    </xf>
    <xf numFmtId="4" fontId="9" fillId="0" borderId="3" xfId="0" applyNumberFormat="1" applyFont="1" applyFill="1" applyBorder="1" applyAlignment="1" applyProtection="1">
      <alignment horizontal="right" vertical="center"/>
    </xf>
    <xf numFmtId="4" fontId="27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Alignment="1" applyProtection="1">
      <alignment horizontal="right" vertical="top" wrapTex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Fill="1" applyBorder="1" applyAlignment="1" applyProtection="1">
      <alignment horizontal="right" vertical="top" wrapText="1"/>
    </xf>
    <xf numFmtId="4" fontId="9" fillId="0" borderId="0" xfId="0" applyNumberFormat="1" applyFont="1" applyFill="1" applyBorder="1" applyAlignment="1" applyProtection="1">
      <alignment horizontal="right" vertical="center"/>
    </xf>
    <xf numFmtId="4" fontId="9" fillId="0" borderId="0" xfId="0" applyNumberFormat="1" applyFont="1" applyBorder="1" applyAlignment="1">
      <alignment horizontal="right" vertical="top" indent="1"/>
    </xf>
    <xf numFmtId="4" fontId="9" fillId="0" borderId="3" xfId="0" applyNumberFormat="1" applyFont="1" applyBorder="1" applyAlignment="1">
      <alignment horizontal="right" vertical="top" indent="1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3"/>
  <sheetViews>
    <sheetView tabSelected="1" zoomScaleNormal="100" workbookViewId="0">
      <selection activeCell="B34" sqref="B34"/>
    </sheetView>
  </sheetViews>
  <sheetFormatPr defaultRowHeight="15.75" x14ac:dyDescent="0.25"/>
  <cols>
    <col min="1" max="1" width="28" style="9" customWidth="1"/>
    <col min="2" max="2" width="13.125" style="9" customWidth="1"/>
    <col min="3" max="3" width="11.25" style="9" customWidth="1"/>
    <col min="4" max="4" width="8.875" style="9" customWidth="1"/>
    <col min="5" max="5" width="9" style="9" customWidth="1"/>
    <col min="6" max="6" width="9.75" style="9" customWidth="1"/>
    <col min="7" max="7" width="10" style="9" customWidth="1"/>
  </cols>
  <sheetData>
    <row r="1" spans="1:7" x14ac:dyDescent="0.25">
      <c r="A1" s="90" t="s">
        <v>157</v>
      </c>
      <c r="B1" s="90"/>
      <c r="C1" s="90"/>
      <c r="D1" s="90"/>
      <c r="E1" s="90"/>
      <c r="F1" s="90"/>
      <c r="G1" s="90"/>
    </row>
    <row r="3" spans="1:7" ht="54" customHeight="1" x14ac:dyDescent="0.25">
      <c r="A3" s="91"/>
      <c r="B3" s="94" t="s">
        <v>271</v>
      </c>
      <c r="C3" s="95"/>
      <c r="D3" s="94" t="s">
        <v>109</v>
      </c>
      <c r="E3" s="95"/>
      <c r="F3" s="96" t="s">
        <v>1</v>
      </c>
      <c r="G3" s="97"/>
    </row>
    <row r="4" spans="1:7" ht="18.75" customHeight="1" x14ac:dyDescent="0.25">
      <c r="A4" s="92"/>
      <c r="B4" s="98" t="s">
        <v>100</v>
      </c>
      <c r="C4" s="100" t="s">
        <v>272</v>
      </c>
      <c r="D4" s="102" t="s">
        <v>273</v>
      </c>
      <c r="E4" s="102"/>
      <c r="F4" s="102" t="s">
        <v>273</v>
      </c>
      <c r="G4" s="94"/>
    </row>
    <row r="5" spans="1:7" ht="38.25" customHeight="1" x14ac:dyDescent="0.25">
      <c r="A5" s="93"/>
      <c r="B5" s="99"/>
      <c r="C5" s="101"/>
      <c r="D5" s="23">
        <v>2019</v>
      </c>
      <c r="E5" s="23">
        <v>2020</v>
      </c>
      <c r="F5" s="23" t="s">
        <v>122</v>
      </c>
      <c r="G5" s="19" t="s">
        <v>141</v>
      </c>
    </row>
    <row r="6" spans="1:7" ht="15.75" customHeight="1" x14ac:dyDescent="0.25">
      <c r="A6" s="49" t="s">
        <v>101</v>
      </c>
      <c r="B6" s="50">
        <v>2004915.5342600001</v>
      </c>
      <c r="C6" s="61">
        <f>IF(2294320.13289="","-",2004915.53426/2294320.13289*100)</f>
        <v>87.386041098569081</v>
      </c>
      <c r="D6" s="50">
        <v>100</v>
      </c>
      <c r="E6" s="50">
        <v>100</v>
      </c>
      <c r="F6" s="61">
        <f>IF(2218501.69139="","-",(2294320.13289-2218501.69139)/2218501.69139*100)</f>
        <v>3.4175516653537561</v>
      </c>
      <c r="G6" s="61">
        <f>IF(2294320.13289="","-",(2004915.53426-2294320.13289)/2294320.13289*100)</f>
        <v>-12.613958901430921</v>
      </c>
    </row>
    <row r="7" spans="1:7" ht="15.75" customHeight="1" x14ac:dyDescent="0.25">
      <c r="A7" s="41" t="s">
        <v>138</v>
      </c>
      <c r="B7" s="34"/>
      <c r="C7" s="47"/>
      <c r="D7" s="34"/>
      <c r="E7" s="34"/>
      <c r="F7" s="47"/>
      <c r="G7" s="47"/>
    </row>
    <row r="8" spans="1:7" ht="15.75" customHeight="1" x14ac:dyDescent="0.25">
      <c r="A8" s="42" t="s">
        <v>167</v>
      </c>
      <c r="B8" s="51">
        <f>IF(1340531.73472="","-",1340531.73472)</f>
        <v>1340531.7347200001</v>
      </c>
      <c r="C8" s="62">
        <f>IF(1461288.11025="","-",1340531.73472/1461288.11025*100)</f>
        <v>91.736306161463219</v>
      </c>
      <c r="D8" s="51">
        <f>IF(1461288.11025="","-",1461288.11025/2294320.13289*100)</f>
        <v>63.691552425568176</v>
      </c>
      <c r="E8" s="51">
        <f>IF(1340531.73472="","-",1340531.73472/2004915.53426*100)</f>
        <v>66.862254883709141</v>
      </c>
      <c r="F8" s="62">
        <f>IF(2218501.69139="","-",(1461288.11025-1473064.41765)/2218501.69139*100)</f>
        <v>-0.53082255675999135</v>
      </c>
      <c r="G8" s="62">
        <f>IF(2294320.13289="","-",(1340531.73472-1461288.11025)/2294320.13289*100)</f>
        <v>-5.2632748934601032</v>
      </c>
    </row>
    <row r="9" spans="1:7" ht="15.75" customHeight="1" x14ac:dyDescent="0.25">
      <c r="A9" s="52" t="s">
        <v>2</v>
      </c>
      <c r="B9" s="53">
        <v>565499.80059</v>
      </c>
      <c r="C9" s="63">
        <f>IF(OR(642132.56087="",565499.80059=""),"-",565499.80059/642132.56087*100)</f>
        <v>88.065897144948806</v>
      </c>
      <c r="D9" s="53">
        <f>IF(642132.56087="","-",642132.56087/2294320.13289*100)</f>
        <v>27.98792337933892</v>
      </c>
      <c r="E9" s="53">
        <f>IF(565499.80059="","-",565499.80059/2004915.53426*100)</f>
        <v>28.205667068100297</v>
      </c>
      <c r="F9" s="63">
        <f>IF(OR(2218501.69139="",646563.95293="",642132.56087=""),"-",(642132.56087-646563.95293)/2218501.69139*100)</f>
        <v>-0.19974706700464584</v>
      </c>
      <c r="G9" s="63">
        <f>IF(OR(2294320.13289="",565499.80059="",642132.56087=""),"-",(565499.80059-642132.56087)/2294320.13289*100)</f>
        <v>-3.3401075630832278</v>
      </c>
    </row>
    <row r="10" spans="1:7" ht="15.75" customHeight="1" x14ac:dyDescent="0.25">
      <c r="A10" s="52" t="s">
        <v>4</v>
      </c>
      <c r="B10" s="53">
        <v>186320.83243000001</v>
      </c>
      <c r="C10" s="63">
        <f>IF(OR(204422.82528="",186320.83243=""),"-",186320.83243/204422.82528*100)</f>
        <v>91.144827968596218</v>
      </c>
      <c r="D10" s="53">
        <f>IF(204422.82528="","-",204422.82528/2294320.13289*100)</f>
        <v>8.9099521182557186</v>
      </c>
      <c r="E10" s="53">
        <f>IF(186320.83243="","-",186320.83243/2004915.53426*100)</f>
        <v>9.2932010973105506</v>
      </c>
      <c r="F10" s="63">
        <f>IF(OR(2218501.69139="",184024.93483="",204422.82528=""),"-",(204422.82528-184024.93483)/2218501.69139*100)</f>
        <v>0.91944443987417923</v>
      </c>
      <c r="G10" s="63">
        <f>IF(OR(2294320.13289="",186320.83243="",204422.82528=""),"-",(186320.83243-204422.82528)/2294320.13289*100)</f>
        <v>-0.78899158798724933</v>
      </c>
    </row>
    <row r="11" spans="1:7" ht="13.5" customHeight="1" x14ac:dyDescent="0.25">
      <c r="A11" s="52" t="s">
        <v>3</v>
      </c>
      <c r="B11" s="53">
        <v>169951.48639999999</v>
      </c>
      <c r="C11" s="63">
        <f>IF(OR(225728.96592="",169951.4864=""),"-",169951.4864/225728.96592*100)</f>
        <v>75.290065547118161</v>
      </c>
      <c r="D11" s="53">
        <f>IF(225728.96592="","-",225728.96592/2294320.13289*100)</f>
        <v>9.8385993603980832</v>
      </c>
      <c r="E11" s="53">
        <f>IF(169951.4864="","-",169951.4864/2004915.53426*100)</f>
        <v>8.4767404659133359</v>
      </c>
      <c r="F11" s="63">
        <f>IF(OR(2218501.69139="",259018.64449="",225728.96592=""),"-",(225728.96592-259018.64449)/2218501.69139*100)</f>
        <v>-1.500547811128438</v>
      </c>
      <c r="G11" s="63">
        <f>IF(OR(2294320.13289="",169951.4864="",225728.96592=""),"-",(169951.4864-225728.96592)/2294320.13289*100)</f>
        <v>-2.4311114530360189</v>
      </c>
    </row>
    <row r="12" spans="1:7" ht="15.75" customHeight="1" x14ac:dyDescent="0.25">
      <c r="A12" s="52" t="s">
        <v>5</v>
      </c>
      <c r="B12" s="53">
        <v>86475.625220000002</v>
      </c>
      <c r="C12" s="63">
        <f>IF(OR(92876.82889="",86475.62522=""),"-",86475.62522/92876.82889*100)</f>
        <v>93.107857205610074</v>
      </c>
      <c r="D12" s="53">
        <f>IF(92876.82889="","-",92876.82889/2294320.13289*100)</f>
        <v>4.0481198573195334</v>
      </c>
      <c r="E12" s="53">
        <f>IF(86475.62522="","-",86475.62522/2004915.53426*100)</f>
        <v>4.3131804678204331</v>
      </c>
      <c r="F12" s="63">
        <f>IF(OR(2218501.69139="",79646.62893="",92876.82889=""),"-",(92876.82889-79646.62893)/2218501.69139*100)</f>
        <v>0.59635744301419169</v>
      </c>
      <c r="G12" s="63">
        <f>IF(OR(2294320.13289="",86475.62522="",92876.82889=""),"-",(86475.62522-92876.82889)/2294320.13289*100)</f>
        <v>-0.27900220105451623</v>
      </c>
    </row>
    <row r="13" spans="1:7" s="14" customFormat="1" x14ac:dyDescent="0.25">
      <c r="A13" s="52" t="s">
        <v>7</v>
      </c>
      <c r="B13" s="53">
        <v>66553.237229999999</v>
      </c>
      <c r="C13" s="63">
        <f>IF(OR(50085.46665="",66553.23723=""),"-",66553.23723/50085.46665*100)</f>
        <v>132.87933942011099</v>
      </c>
      <c r="D13" s="53">
        <f>IF(50085.46665="","-",50085.46665/2294320.13289*100)</f>
        <v>2.1830199688354179</v>
      </c>
      <c r="E13" s="53">
        <f>IF(66553.23723="","-",66553.23723/2004915.53426*100)</f>
        <v>3.3195032954126082</v>
      </c>
      <c r="F13" s="63">
        <f>IF(OR(2218501.69139="",34526.6271399999="",50085.46665=""),"-",(50085.46665-34526.6271399999)/2218501.69139*100)</f>
        <v>0.70132195843635914</v>
      </c>
      <c r="G13" s="63">
        <f>IF(OR(2294320.13289="",66553.23723="",50085.46665=""),"-",(66553.23723-50085.46665)/2294320.13289*100)</f>
        <v>0.7177625451621984</v>
      </c>
    </row>
    <row r="14" spans="1:7" s="14" customFormat="1" x14ac:dyDescent="0.25">
      <c r="A14" s="52" t="s">
        <v>10</v>
      </c>
      <c r="B14" s="53">
        <v>48070.624900000003</v>
      </c>
      <c r="C14" s="63" t="s">
        <v>105</v>
      </c>
      <c r="D14" s="53">
        <f>IF(29750.475="","-",29750.475/2294320.13289*100)</f>
        <v>1.2967011261207622</v>
      </c>
      <c r="E14" s="53">
        <f>IF(48070.6249="","-",48070.6249/2004915.53426*100)</f>
        <v>2.3976384081308701</v>
      </c>
      <c r="F14" s="63">
        <f>IF(OR(2218501.69139="",30724.00627="",29750.475=""),"-",(29750.475-30724.00627)/2218501.69139*100)</f>
        <v>-4.388237673102869E-2</v>
      </c>
      <c r="G14" s="63">
        <f>IF(OR(2294320.13289="",48070.6249="",29750.475=""),"-",(48070.6249-29750.475)/2294320.13289*100)</f>
        <v>0.79850015860355761</v>
      </c>
    </row>
    <row r="15" spans="1:7" s="14" customFormat="1" x14ac:dyDescent="0.25">
      <c r="A15" s="52" t="s">
        <v>6</v>
      </c>
      <c r="B15" s="53">
        <v>41550.284630000002</v>
      </c>
      <c r="C15" s="63">
        <f>IF(OR(44700.18474="",41550.28463=""),"-",41550.28463/44700.18474*100)</f>
        <v>92.953272725109557</v>
      </c>
      <c r="D15" s="53">
        <f>IF(44700.18474="","-",44700.18474/2294320.13289*100)</f>
        <v>1.9482976285307751</v>
      </c>
      <c r="E15" s="53">
        <f>IF(41550.28463="","-",41550.28463/2004915.53426*100)</f>
        <v>2.0724207040141427</v>
      </c>
      <c r="F15" s="63">
        <f>IF(OR(2218501.69139="",42469.73951="",44700.18474=""),"-",(44700.18474-42469.73951)/2218501.69139*100)</f>
        <v>0.10053836058166422</v>
      </c>
      <c r="G15" s="63">
        <f>IF(OR(2294320.13289="",41550.28463="",44700.18474=""),"-",(41550.28463-44700.18474)/2294320.13289*100)</f>
        <v>-0.13729122038572181</v>
      </c>
    </row>
    <row r="16" spans="1:7" s="14" customFormat="1" x14ac:dyDescent="0.25">
      <c r="A16" s="52" t="s">
        <v>41</v>
      </c>
      <c r="B16" s="53">
        <v>28926.042079999999</v>
      </c>
      <c r="C16" s="63">
        <f>IF(OR(28064.78003="",28926.04208=""),"-",28926.04208/28064.78003*100)</f>
        <v>103.06883591846916</v>
      </c>
      <c r="D16" s="53">
        <f>IF(28064.78003="","-",28064.78003/2294320.13289*100)</f>
        <v>1.22322859951757</v>
      </c>
      <c r="E16" s="53">
        <f>IF(28926.04208="","-",28926.04208/2004915.53426*100)</f>
        <v>1.4427561453693056</v>
      </c>
      <c r="F16" s="63">
        <f>IF(OR(2218501.69139="",20402.43149="",28064.78003=""),"-",(28064.78003-20402.43149)/2218501.69139*100)</f>
        <v>0.34538393951816942</v>
      </c>
      <c r="G16" s="63">
        <f>IF(OR(2294320.13289="",28926.04208="",28064.78003=""),"-",(28926.04208-28064.78003)/2294320.13289*100)</f>
        <v>3.753887862698236E-2</v>
      </c>
    </row>
    <row r="17" spans="1:7" s="14" customFormat="1" x14ac:dyDescent="0.25">
      <c r="A17" s="52" t="s">
        <v>125</v>
      </c>
      <c r="B17" s="53">
        <v>24939.334139999999</v>
      </c>
      <c r="C17" s="63">
        <f>IF(OR(26663.91259="",24939.33414=""),"-",24939.33414/26663.91259*100)</f>
        <v>93.532162828021029</v>
      </c>
      <c r="D17" s="53">
        <f>IF(26663.91259="","-",26663.91259/2294320.13289*100)</f>
        <v>1.1621705361759291</v>
      </c>
      <c r="E17" s="53">
        <f>IF(24939.33414="","-",24939.33414/2004915.53426*100)</f>
        <v>1.2439094671988229</v>
      </c>
      <c r="F17" s="63">
        <f>IF(OR(2218501.69139="",41654.66366="",26663.91259=""),"-",(26663.91259-41654.66366)/2218501.69139*100)</f>
        <v>-0.67571510664963974</v>
      </c>
      <c r="G17" s="63">
        <f>IF(OR(2294320.13289="",24939.33414="",26663.91259=""),"-",(24939.33414-26663.91259)/2294320.13289*100)</f>
        <v>-7.5167297940574057E-2</v>
      </c>
    </row>
    <row r="18" spans="1:7" s="14" customFormat="1" x14ac:dyDescent="0.25">
      <c r="A18" s="52" t="s">
        <v>9</v>
      </c>
      <c r="B18" s="53">
        <v>24444.208739999998</v>
      </c>
      <c r="C18" s="63">
        <f>IF(OR(27688.09767="",24444.20874=""),"-",24444.20874/27688.09767*100)</f>
        <v>88.284175501465569</v>
      </c>
      <c r="D18" s="53">
        <f>IF(27688.09767="","-",27688.09767/2294320.13289*100)</f>
        <v>1.2068105611366089</v>
      </c>
      <c r="E18" s="53">
        <f>IF(24444.20874="","-",24444.20874/2004915.53426*100)</f>
        <v>1.2192138931689298</v>
      </c>
      <c r="F18" s="63">
        <f>IF(OR(2218501.69139="",30096.55625="",27688.09767=""),"-",(27688.09767-30096.55625)/2218501.69139*100)</f>
        <v>-0.10856239548282631</v>
      </c>
      <c r="G18" s="63">
        <f>IF(OR(2294320.13289="",24444.20874="",27688.09767=""),"-",(24444.20874-27688.09767)/2294320.13289*100)</f>
        <v>-0.14138780737254367</v>
      </c>
    </row>
    <row r="19" spans="1:7" s="16" customFormat="1" x14ac:dyDescent="0.25">
      <c r="A19" s="52" t="s">
        <v>43</v>
      </c>
      <c r="B19" s="53">
        <v>20889.233909999999</v>
      </c>
      <c r="C19" s="63" t="s">
        <v>261</v>
      </c>
      <c r="D19" s="53">
        <f>IF(8455.41692="","-",8455.41692/2294320.13289*100)</f>
        <v>0.36853692729223808</v>
      </c>
      <c r="E19" s="53">
        <f>IF(20889.23391="","-",20889.23391/2004915.53426*100)</f>
        <v>1.0419009456031805</v>
      </c>
      <c r="F19" s="63">
        <f>IF(OR(2218501.69139="",6640.06499="",8455.41692=""),"-",(8455.41692-6640.06499)/2218501.69139*100)</f>
        <v>8.1827836194372838E-2</v>
      </c>
      <c r="G19" s="63">
        <f>IF(OR(2294320.13289="",20889.23391="",8455.41692=""),"-",(20889.23391-8455.41692)/2294320.13289*100)</f>
        <v>0.54193906123893709</v>
      </c>
    </row>
    <row r="20" spans="1:7" s="14" customFormat="1" x14ac:dyDescent="0.25">
      <c r="A20" s="52" t="s">
        <v>8</v>
      </c>
      <c r="B20" s="53">
        <v>18557.14315</v>
      </c>
      <c r="C20" s="63">
        <f>IF(OR(25232.13799="",18557.14315=""),"-",18557.14315/25232.13799*100)</f>
        <v>73.545662905595108</v>
      </c>
      <c r="D20" s="53">
        <f>IF(25232.13799="","-",25232.13799/2294320.13289*100)</f>
        <v>1.0997653565553984</v>
      </c>
      <c r="E20" s="53">
        <f>IF(18557.14315="","-",18557.14315/2004915.53426*100)</f>
        <v>0.92558229176718454</v>
      </c>
      <c r="F20" s="63">
        <f>IF(OR(2218501.69139="",33767.9496="",25232.13799=""),"-",(25232.13799-33767.9496)/2218501.69139*100)</f>
        <v>-0.38475569539241133</v>
      </c>
      <c r="G20" s="63">
        <f>IF(OR(2294320.13289="",18557.14315="",25232.13799=""),"-",(18557.14315-25232.13799)/2294320.13289*100)</f>
        <v>-0.29093563467064898</v>
      </c>
    </row>
    <row r="21" spans="1:7" s="14" customFormat="1" x14ac:dyDescent="0.25">
      <c r="A21" s="52" t="s">
        <v>48</v>
      </c>
      <c r="B21" s="53">
        <v>10082.09339</v>
      </c>
      <c r="C21" s="63">
        <f>IF(OR(9406.37675="",10082.09339=""),"-",10082.09339/9406.37675*100)</f>
        <v>107.18360169870935</v>
      </c>
      <c r="D21" s="53">
        <f>IF(9406.37675="","-",9406.37675/2294320.13289*100)</f>
        <v>0.40998536408044428</v>
      </c>
      <c r="E21" s="53">
        <f>IF(10082.09339="","-",10082.09339/2004915.53426*100)</f>
        <v>0.50286873525179343</v>
      </c>
      <c r="F21" s="63">
        <f>IF(OR(2218501.69139="",6922.02227="",9406.37675=""),"-",(9406.37675-6922.02227)/2218501.69139*100)</f>
        <v>0.11198343862624821</v>
      </c>
      <c r="G21" s="63">
        <f>IF(OR(2294320.13289="",10082.09339="",9406.37675=""),"-",(10082.09339-9406.37675)/2294320.13289*100)</f>
        <v>2.9451715578542478E-2</v>
      </c>
    </row>
    <row r="22" spans="1:7" s="14" customFormat="1" x14ac:dyDescent="0.25">
      <c r="A22" s="52" t="s">
        <v>42</v>
      </c>
      <c r="B22" s="53">
        <v>9784.6973699999999</v>
      </c>
      <c r="C22" s="63">
        <f>IF(OR(11408.17969="",9784.69737=""),"-",9784.69737/11408.17969*100)</f>
        <v>85.769137898282864</v>
      </c>
      <c r="D22" s="53">
        <f>IF(11408.17969="","-",11408.17969/2294320.13289*100)</f>
        <v>0.49723573996754711</v>
      </c>
      <c r="E22" s="53">
        <f>IF(9784.69737="","-",9784.69737/2004915.53426*100)</f>
        <v>0.48803539115733674</v>
      </c>
      <c r="F22" s="63">
        <f>IF(OR(2218501.69139="",12202.91975="",11408.17969=""),"-",(11408.17969-12202.91975)/2218501.69139*100)</f>
        <v>-3.5823279427028731E-2</v>
      </c>
      <c r="G22" s="63">
        <f>IF(OR(2294320.13289="",9784.69737="",11408.17969=""),"-",(9784.69737-11408.17969)/2294320.13289*100)</f>
        <v>-7.0760932475234392E-2</v>
      </c>
    </row>
    <row r="23" spans="1:7" s="14" customFormat="1" x14ac:dyDescent="0.25">
      <c r="A23" s="52" t="s">
        <v>52</v>
      </c>
      <c r="B23" s="53">
        <v>9159.9018199999991</v>
      </c>
      <c r="C23" s="63" t="s">
        <v>247</v>
      </c>
      <c r="D23" s="53">
        <f>IF(3971.71629="","-",3971.71629/2294320.13289*100)</f>
        <v>0.17311081540295328</v>
      </c>
      <c r="E23" s="53">
        <f>IF(9159.90182="","-",9159.90182/2004915.53426*100)</f>
        <v>0.45687220551068514</v>
      </c>
      <c r="F23" s="63">
        <f>IF(OR(2218501.69139="",9350.49588="",3971.71629=""),"-",(3971.71629-9350.49588)/2218501.69139*100)</f>
        <v>-0.24245100244345233</v>
      </c>
      <c r="G23" s="63">
        <f>IF(OR(2294320.13289="",9159.90182="",3971.71629=""),"-",(9159.90182-3971.71629)/2294320.13289*100)</f>
        <v>0.22613171787255307</v>
      </c>
    </row>
    <row r="24" spans="1:7" s="14" customFormat="1" x14ac:dyDescent="0.25">
      <c r="A24" s="52" t="s">
        <v>45</v>
      </c>
      <c r="B24" s="53">
        <v>7875.6026899999997</v>
      </c>
      <c r="C24" s="63">
        <f>IF(OR(10638.31462="",7875.60269=""),"-",7875.60269/10638.31462*100)</f>
        <v>74.030548741187729</v>
      </c>
      <c r="D24" s="53">
        <f>IF(10638.31462="","-",10638.31462/2294320.13289*100)</f>
        <v>0.46368048065723216</v>
      </c>
      <c r="E24" s="53">
        <f>IF(7875.60269="","-",7875.60269/2004915.53426*100)</f>
        <v>0.39281468747294779</v>
      </c>
      <c r="F24" s="63">
        <f>IF(OR(2218501.69139="",16002.99729="",10638.31462=""),"-",(10638.31462-16002.99729)/2218501.69139*100)</f>
        <v>-0.24181557718979085</v>
      </c>
      <c r="G24" s="63">
        <f>IF(OR(2294320.13289="",7875.60269="",10638.31462=""),"-",(7875.60269-10638.31462)/2294320.13289*100)</f>
        <v>-0.12041527642090634</v>
      </c>
    </row>
    <row r="25" spans="1:7" s="14" customFormat="1" x14ac:dyDescent="0.25">
      <c r="A25" s="52" t="s">
        <v>46</v>
      </c>
      <c r="B25" s="53">
        <v>6236.9199500000004</v>
      </c>
      <c r="C25" s="63">
        <f>IF(OR(6336.04084="",6236.91995=""),"-",6236.91995/6336.04084*100)</f>
        <v>98.435602097539515</v>
      </c>
      <c r="D25" s="53">
        <f>IF(6336.04084="","-",6336.04084/2294320.13289*100)</f>
        <v>0.27616202068622908</v>
      </c>
      <c r="E25" s="53">
        <f>IF(6236.91995="","-",6236.91995/2004915.53426*100)</f>
        <v>0.31108143178221237</v>
      </c>
      <c r="F25" s="63">
        <f>IF(OR(2218501.69139="",4866.6653="",6336.04084=""),"-",(6336.04084-4866.6653)/2218501.69139*100)</f>
        <v>6.6232788809791915E-2</v>
      </c>
      <c r="G25" s="63">
        <f>IF(OR(2294320.13289="",6236.91995="",6336.04084=""),"-",(6236.91995-6336.04084)/2294320.13289*100)</f>
        <v>-4.320272859007838E-3</v>
      </c>
    </row>
    <row r="26" spans="1:7" s="9" customFormat="1" x14ac:dyDescent="0.25">
      <c r="A26" s="52" t="s">
        <v>44</v>
      </c>
      <c r="B26" s="53">
        <v>6042.6794</v>
      </c>
      <c r="C26" s="63">
        <f>IF(OR(7125.90825="",6042.6794=""),"-",6042.6794/7125.90825*100)</f>
        <v>84.798725832598237</v>
      </c>
      <c r="D26" s="53">
        <f>IF(7125.90825="","-",7125.90825/2294320.13289*100)</f>
        <v>0.31058909991884942</v>
      </c>
      <c r="E26" s="53">
        <f>IF(6042.6794="","-",6042.6794/2004915.53426*100)</f>
        <v>0.30139321566134253</v>
      </c>
      <c r="F26" s="63">
        <f>IF(OR(2218501.69139="",7344.78759="",7125.90825=""),"-",(7125.90825-7344.78759)/2218501.69139*100)</f>
        <v>-9.8660884888873319E-3</v>
      </c>
      <c r="G26" s="63">
        <f>IF(OR(2294320.13289="",6042.6794="",7125.90825=""),"-",(6042.6794-7125.90825)/2294320.13289*100)</f>
        <v>-4.7213500612729671E-2</v>
      </c>
    </row>
    <row r="27" spans="1:7" s="9" customFormat="1" x14ac:dyDescent="0.25">
      <c r="A27" s="52" t="s">
        <v>47</v>
      </c>
      <c r="B27" s="53">
        <v>4390.2287100000003</v>
      </c>
      <c r="C27" s="63" t="s">
        <v>128</v>
      </c>
      <c r="D27" s="53">
        <f>IF(2899.42463="","-",2899.42463/2294320.13289*100)</f>
        <v>0.12637402202227946</v>
      </c>
      <c r="E27" s="53">
        <f>IF(4390.22871="","-",4390.22871/2004915.53426*100)</f>
        <v>0.21897325024320297</v>
      </c>
      <c r="F27" s="63">
        <f>IF(OR(2218501.69139="",2581.53379="",2899.42463=""),"-",(2899.42463-2581.53379)/2218501.69139*100)</f>
        <v>1.4329078099590083E-2</v>
      </c>
      <c r="G27" s="63">
        <f>IF(OR(2294320.13289="",4390.22871="",2899.42463=""),"-",(4390.22871-2899.42463)/2294320.13289*100)</f>
        <v>6.4978032430118432E-2</v>
      </c>
    </row>
    <row r="28" spans="1:7" s="14" customFormat="1" x14ac:dyDescent="0.25">
      <c r="A28" s="52" t="s">
        <v>126</v>
      </c>
      <c r="B28" s="53">
        <v>2059.4747200000002</v>
      </c>
      <c r="C28" s="63" t="s">
        <v>247</v>
      </c>
      <c r="D28" s="53">
        <f>IF(902.66121="","-",902.66121/2294320.13289*100)</f>
        <v>3.9343298132635859E-2</v>
      </c>
      <c r="E28" s="53">
        <f>IF(2059.47472="","-",2059.47472/2004915.53426*100)</f>
        <v>0.10272127103649467</v>
      </c>
      <c r="F28" s="63">
        <f>IF(OR(2218501.69139="",896.62975="",902.66121=""),"-",(902.66121-896.62975)/2218501.69139*100)</f>
        <v>2.7187087679076923E-4</v>
      </c>
      <c r="G28" s="63">
        <f>IF(OR(2294320.13289="",2059.47472="",902.66121=""),"-",(2059.47472-902.66121)/2294320.13289*100)</f>
        <v>5.0420753992287917E-2</v>
      </c>
    </row>
    <row r="29" spans="1:7" s="14" customFormat="1" x14ac:dyDescent="0.25">
      <c r="A29" s="52" t="s">
        <v>50</v>
      </c>
      <c r="B29" s="53">
        <v>1077.12607</v>
      </c>
      <c r="C29" s="63">
        <f>IF(OR(888.74537="",1077.12607=""),"-",1077.12607/888.74537*100)</f>
        <v>121.19625107020249</v>
      </c>
      <c r="D29" s="53">
        <f>IF(888.74537="","-",888.74537/2294320.13289*100)</f>
        <v>3.8736763769775563E-2</v>
      </c>
      <c r="E29" s="53">
        <f>IF(1077.12607="","-",1077.12607/2004915.53426*100)</f>
        <v>5.3724261775325084E-2</v>
      </c>
      <c r="F29" s="63">
        <f>IF(OR(2218501.69139="",275.12532="",888.74537=""),"-",(888.74537-275.12532)/2218501.69139*100)</f>
        <v>2.7659210375248218E-2</v>
      </c>
      <c r="G29" s="63">
        <f>IF(OR(2294320.13289="",1077.12607="",888.74537=""),"-",(1077.12607-888.74537)/2294320.13289*100)</f>
        <v>8.210741705112861E-3</v>
      </c>
    </row>
    <row r="30" spans="1:7" s="9" customFormat="1" x14ac:dyDescent="0.25">
      <c r="A30" s="52" t="s">
        <v>49</v>
      </c>
      <c r="B30" s="53">
        <v>693.97313999999994</v>
      </c>
      <c r="C30" s="63">
        <f>IF(OR(619.34915="",693.97314=""),"-",693.97314/619.34915*100)</f>
        <v>112.04877571883323</v>
      </c>
      <c r="D30" s="53">
        <f>IF(619.34915="","-",619.34915/2294320.13289*100)</f>
        <v>2.6994887989752664E-2</v>
      </c>
      <c r="E30" s="53">
        <f>IF(693.97314="","-",693.97314/2004915.53426*100)</f>
        <v>3.461358486885785E-2</v>
      </c>
      <c r="F30" s="63">
        <f>IF(OR(2218501.69139="",1475.37991="",619.34915=""),"-",(619.34915-1475.37991)/2218501.69139*100)</f>
        <v>-3.8585986358372119E-2</v>
      </c>
      <c r="G30" s="63">
        <f>IF(OR(2294320.13289="",693.97314="",619.34915=""),"-",(693.97314-619.34915)/2294320.13289*100)</f>
        <v>3.2525535094355441E-3</v>
      </c>
    </row>
    <row r="31" spans="1:7" s="9" customFormat="1" x14ac:dyDescent="0.25">
      <c r="A31" s="52" t="s">
        <v>51</v>
      </c>
      <c r="B31" s="53">
        <v>369.52722999999997</v>
      </c>
      <c r="C31" s="63">
        <f>IF(OR(561.45356="",369.52723=""),"-",369.52723/561.45356*100)</f>
        <v>65.816170085376243</v>
      </c>
      <c r="D31" s="53">
        <f>IF(561.45356="","-",561.45356/2294320.13289*100)</f>
        <v>2.4471456792421332E-2</v>
      </c>
      <c r="E31" s="53">
        <f>IF(369.52723="","-",369.52723/2004915.53426*100)</f>
        <v>1.8431062241052953E-2</v>
      </c>
      <c r="F31" s="63">
        <f>IF(OR(2218501.69139="",659.03762="",561.45356=""),"-",(561.45356-659.03762)/2218501.69139*100)</f>
        <v>-4.3986470859464942E-3</v>
      </c>
      <c r="G31" s="63">
        <f>IF(OR(2294320.13289="",369.52723="",561.45356=""),"-",(369.52723-561.45356)/2294320.13289*100)</f>
        <v>-8.3652811675519519E-3</v>
      </c>
    </row>
    <row r="32" spans="1:7" s="9" customFormat="1" x14ac:dyDescent="0.25">
      <c r="A32" s="52" t="s">
        <v>54</v>
      </c>
      <c r="B32" s="53">
        <v>339.12162000000001</v>
      </c>
      <c r="C32" s="63" t="s">
        <v>279</v>
      </c>
      <c r="D32" s="53">
        <f>IF(141.6943="","-",141.6943/2294320.13289*100)</f>
        <v>6.1758731037031556E-3</v>
      </c>
      <c r="E32" s="53">
        <f>IF(339.12162="","-",339.12162/2004915.53426*100)</f>
        <v>1.6914509075573968E-2</v>
      </c>
      <c r="F32" s="63">
        <f>IF(OR(2218501.69139="",326.34669="",141.6943=""),"-",(141.6943-326.34669)/2218501.69139*100)</f>
        <v>-8.3232927302528351E-3</v>
      </c>
      <c r="G32" s="63">
        <f>IF(OR(2294320.13289="",339.12162="",141.6943=""),"-",(339.12162-141.6943)/2294320.13289*100)</f>
        <v>8.6050467486991078E-3</v>
      </c>
    </row>
    <row r="33" spans="1:7" s="9" customFormat="1" x14ac:dyDescent="0.25">
      <c r="A33" s="52" t="s">
        <v>53</v>
      </c>
      <c r="B33" s="53">
        <v>209.66290000000001</v>
      </c>
      <c r="C33" s="63" t="s">
        <v>262</v>
      </c>
      <c r="D33" s="53">
        <f>IF(63.81918="","-",63.81918/2294320.13289*100)</f>
        <v>2.7816161783670219E-3</v>
      </c>
      <c r="E33" s="53">
        <f>IF(209.6629="","-",209.6629/2004915.53426*100)</f>
        <v>1.045744304023187E-2</v>
      </c>
      <c r="F33" s="63">
        <f>IF(OR(2218501.69139="",7.42765="",63.81918=""),"-",(63.81918-7.42765)/2218501.69139*100)</f>
        <v>2.5418745551944091E-3</v>
      </c>
      <c r="G33" s="63">
        <f>IF(OR(2294320.13289="",209.6629="",63.81918=""),"-",(209.6629-63.81918)/2294320.13289*100)</f>
        <v>6.3567292946294521E-3</v>
      </c>
    </row>
    <row r="34" spans="1:7" s="9" customFormat="1" x14ac:dyDescent="0.25">
      <c r="A34" s="52" t="s">
        <v>55</v>
      </c>
      <c r="B34" s="53">
        <v>30.502649999999999</v>
      </c>
      <c r="C34" s="63">
        <f>IF(OR(61.68467="",30.50265=""),"-",30.50265/61.68467*100)</f>
        <v>49.449320228186352</v>
      </c>
      <c r="D34" s="53">
        <f>IF(61.68467="","-",61.68467/2294320.13289*100)</f>
        <v>2.6885816462892645E-3</v>
      </c>
      <c r="E34" s="53">
        <f>IF(30.50265="","-",30.50265/2004915.53426*100)</f>
        <v>1.5213932696300997E-3</v>
      </c>
      <c r="F34" s="63">
        <f>IF(OR(2218501.69139="",43.16451="",61.68467=""),"-",(61.68467-43.16451)/2218501.69139*100)</f>
        <v>8.3480486275384403E-4</v>
      </c>
      <c r="G34" s="63">
        <f>IF(OR(2294320.13289="",30.50265="",61.68467=""),"-",(30.50265-61.68467)/2294320.13289*100)</f>
        <v>-1.3590962984194415E-3</v>
      </c>
    </row>
    <row r="35" spans="1:7" s="9" customFormat="1" x14ac:dyDescent="0.25">
      <c r="A35" s="52" t="s">
        <v>56</v>
      </c>
      <c r="B35" s="53">
        <v>2.36964</v>
      </c>
      <c r="C35" s="63">
        <f>IF(OR(461.08919="",2.36964=""),"-",2.36964/461.08919*100)</f>
        <v>0.51392226306585065</v>
      </c>
      <c r="D35" s="53">
        <f>IF(461.08919="","-",461.08919/2294320.13289*100)</f>
        <v>2.0096985742752347E-2</v>
      </c>
      <c r="E35" s="53">
        <f>IF(2.36964="","-",2.36964/2004915.53426*100)</f>
        <v>1.1819151278483247E-4</v>
      </c>
      <c r="F35" s="63">
        <f>IF(OR(2218501.69139="",573.68424="",461.08919=""),"-",(461.08919-573.68424)/2218501.69139*100)</f>
        <v>-5.0752744718194813E-3</v>
      </c>
      <c r="G35" s="63">
        <f>IF(OR(2294320.13289="",2.36964="",461.08919=""),"-",(2.36964-461.08919)/2294320.13289*100)</f>
        <v>-1.9993702858815174E-2</v>
      </c>
    </row>
    <row r="36" spans="1:7" s="9" customFormat="1" x14ac:dyDescent="0.25">
      <c r="A36" s="42" t="s">
        <v>169</v>
      </c>
      <c r="B36" s="51">
        <v>305103.72249000001</v>
      </c>
      <c r="C36" s="62">
        <f>IF(354740.98469="","-",305103.72249/354740.98469*100)</f>
        <v>86.007463376870064</v>
      </c>
      <c r="D36" s="51">
        <f>IF(354740.98469="","-",354740.98469/2294320.13289*100)</f>
        <v>15.461703866197468</v>
      </c>
      <c r="E36" s="51">
        <f>IF(305103.72249="","-",305103.72249/2004915.53426*100)</f>
        <v>15.217784354322516</v>
      </c>
      <c r="F36" s="62">
        <f>IF(2218501.69139="","-",(354740.98469-348586.66869)/2218501.69139*100)</f>
        <v>0.27740866837671924</v>
      </c>
      <c r="G36" s="62">
        <f>IF(2294320.13289="","-",(305103.72249-354740.98469)/2294320.13289*100)</f>
        <v>-2.1634845760375772</v>
      </c>
    </row>
    <row r="37" spans="1:7" s="9" customFormat="1" x14ac:dyDescent="0.25">
      <c r="A37" s="52" t="s">
        <v>127</v>
      </c>
      <c r="B37" s="53">
        <v>179019.98600999999</v>
      </c>
      <c r="C37" s="63">
        <f>IF(OR(202793.21486="",179019.98601=""),"-",179019.98601/202793.21486*100)</f>
        <v>88.277108350783791</v>
      </c>
      <c r="D37" s="53">
        <f>IF(202793.21486="","-",202793.21486/2294320.13289*100)</f>
        <v>8.8389240870477437</v>
      </c>
      <c r="E37" s="53">
        <f>IF(179019.98601="","-",179019.98601/2004915.53426*100)</f>
        <v>8.9290537656527746</v>
      </c>
      <c r="F37" s="63">
        <f>IF(OR(2218501.69139="",182212.58211="",202793.21486=""),"-",(202793.21486-182212.58211)/2218501.69139*100)</f>
        <v>0.92768163440548235</v>
      </c>
      <c r="G37" s="63">
        <f>IF(OR(2294320.13289="",179019.98601="",202793.21486=""),"-",(179019.98601-202793.21486)/2294320.13289*100)</f>
        <v>-1.0361774936810795</v>
      </c>
    </row>
    <row r="38" spans="1:7" s="9" customFormat="1" ht="14.25" customHeight="1" x14ac:dyDescent="0.25">
      <c r="A38" s="52" t="s">
        <v>11</v>
      </c>
      <c r="B38" s="53">
        <v>54011.864889999997</v>
      </c>
      <c r="C38" s="63">
        <f>IF(OR(66516.08134="",54011.86489=""),"-",54011.86489/66516.08134*100)</f>
        <v>81.201213002786304</v>
      </c>
      <c r="D38" s="53">
        <f>IF(66516.08134="","-",66516.08134/2294320.13289*100)</f>
        <v>2.8991630412192824</v>
      </c>
      <c r="E38" s="53">
        <f>IF(54011.86489="","-",54011.86489/2004915.53426*100)</f>
        <v>2.6939720884518654</v>
      </c>
      <c r="F38" s="63">
        <f>IF(OR(2218501.69139="",74835.17236="",66516.08134=""),"-",(66516.08134-74835.17236)/2218501.69139*100)</f>
        <v>-0.37498691356812419</v>
      </c>
      <c r="G38" s="63">
        <f>IF(OR(2294320.13289="",54011.86489="",66516.08134=""),"-",(54011.86489-66516.08134)/2294320.13289*100)</f>
        <v>-0.54500748482075567</v>
      </c>
    </row>
    <row r="39" spans="1:7" s="15" customFormat="1" ht="14.25" customHeight="1" x14ac:dyDescent="0.2">
      <c r="A39" s="52" t="s">
        <v>12</v>
      </c>
      <c r="B39" s="53">
        <v>51862.088940000001</v>
      </c>
      <c r="C39" s="63">
        <f>IF(OR(65619.08068="",51862.08894=""),"-",51862.08894/65619.08068*100)</f>
        <v>79.035073948859846</v>
      </c>
      <c r="D39" s="53">
        <f>IF(65619.08068="","-",65619.08068/2294320.13289*100)</f>
        <v>2.8600664632334496</v>
      </c>
      <c r="E39" s="53">
        <f>IF(51862.08894="","-",51862.08894/2004915.53426*100)</f>
        <v>2.5867468256782162</v>
      </c>
      <c r="F39" s="63">
        <f>IF(OR(2218501.69139="",67148.13339="",65619.08068=""),"-",(65619.08068-67148.13339)/2218501.69139*100)</f>
        <v>-6.8922765122706633E-2</v>
      </c>
      <c r="G39" s="63">
        <f>IF(OR(2294320.13289="",51862.08894="",65619.08068=""),"-",(51862.08894-65619.08068)/2294320.13289*100)</f>
        <v>-0.5996108190303524</v>
      </c>
    </row>
    <row r="40" spans="1:7" s="15" customFormat="1" ht="14.25" customHeight="1" x14ac:dyDescent="0.2">
      <c r="A40" s="52" t="s">
        <v>13</v>
      </c>
      <c r="B40" s="53">
        <v>11960.948039999999</v>
      </c>
      <c r="C40" s="63">
        <f>IF(OR(8512.48391="",11960.94804=""),"-",11960.94804/8512.48391*100)</f>
        <v>140.51066840724283</v>
      </c>
      <c r="D40" s="53">
        <f>IF(8512.48391="","-",8512.48391/2294320.13289*100)</f>
        <v>0.37102424321567545</v>
      </c>
      <c r="E40" s="53">
        <f>IF(11960.94804="","-",11960.94804/2004915.53426*100)</f>
        <v>0.59658114447273713</v>
      </c>
      <c r="F40" s="63">
        <f>IF(OR(2218501.69139="",14491.88235="",8512.48391=""),"-",(8512.48391-14491.88235)/2218501.69139*100)</f>
        <v>-0.26952417765584902</v>
      </c>
      <c r="G40" s="63">
        <f>IF(OR(2294320.13289="",11960.94804="",8512.48391=""),"-",(11960.94804-8512.48391)/2294320.13289*100)</f>
        <v>0.15030440087958435</v>
      </c>
    </row>
    <row r="41" spans="1:7" s="15" customFormat="1" ht="14.25" customHeight="1" x14ac:dyDescent="0.2">
      <c r="A41" s="52" t="s">
        <v>15</v>
      </c>
      <c r="B41" s="53">
        <v>3768.72912</v>
      </c>
      <c r="C41" s="63">
        <f>IF(OR(2554.45641="",3768.72912=""),"-",3768.72912/2554.45641*100)</f>
        <v>147.53546411073813</v>
      </c>
      <c r="D41" s="53">
        <f>IF(2554.45641="","-",2554.45641/2294320.13289*100)</f>
        <v>0.11133827286701806</v>
      </c>
      <c r="E41" s="53">
        <f>IF(3768.72912="","-",3768.72912/2004915.53426*100)</f>
        <v>0.18797445855448522</v>
      </c>
      <c r="F41" s="63">
        <f>IF(OR(2218501.69139="",2956.88836="",2554.45641=""),"-",(2554.45641-2956.88836)/2218501.69139*100)</f>
        <v>-1.813980812193372E-2</v>
      </c>
      <c r="G41" s="63">
        <f>IF(OR(2294320.13289="",3768.72912="",2554.45641=""),"-",(3768.72912-2554.45641)/2294320.13289*100)</f>
        <v>5.2925164740217093E-2</v>
      </c>
    </row>
    <row r="42" spans="1:7" s="13" customFormat="1" ht="14.25" customHeight="1" x14ac:dyDescent="0.2">
      <c r="A42" s="52" t="s">
        <v>14</v>
      </c>
      <c r="B42" s="53">
        <v>2338.1803100000002</v>
      </c>
      <c r="C42" s="63">
        <f>IF(OR(3928.83473="",2338.18031=""),"-",2338.18031/3928.83473*100)</f>
        <v>59.513328268710353</v>
      </c>
      <c r="D42" s="53">
        <f>IF(3928.83473="","-",3928.83473/2294320.13289*100)</f>
        <v>0.17124178416423136</v>
      </c>
      <c r="E42" s="53">
        <f>IF(2338.18031="","-",2338.18031/2004915.53426*100)</f>
        <v>0.11662238483592804</v>
      </c>
      <c r="F42" s="63">
        <f>IF(OR(2218501.69139="",3556.20312="",3928.83473=""),"-",(3928.83473-3556.20312)/2218501.69139*100)</f>
        <v>1.6796543876715642E-2</v>
      </c>
      <c r="G42" s="63">
        <f>IF(OR(2294320.13289="",2338.18031="",3928.83473=""),"-",(2338.18031-3928.83473)/2294320.13289*100)</f>
        <v>-6.9330099021375879E-2</v>
      </c>
    </row>
    <row r="43" spans="1:7" s="15" customFormat="1" ht="14.25" customHeight="1" x14ac:dyDescent="0.2">
      <c r="A43" s="52" t="s">
        <v>17</v>
      </c>
      <c r="B43" s="53">
        <v>1068.5310400000001</v>
      </c>
      <c r="C43" s="63">
        <f>IF(OR(3303.85509="",1068.53104=""),"-",1068.53104/3303.85509*100)</f>
        <v>32.341946329129108</v>
      </c>
      <c r="D43" s="53">
        <f>IF(3303.85509="","-",3303.85509/2294320.13289*100)</f>
        <v>0.14400148621972633</v>
      </c>
      <c r="E43" s="53">
        <f>IF(1068.53104="","-",1068.53104/2004915.53426*100)</f>
        <v>5.3295563914835309E-2</v>
      </c>
      <c r="F43" s="63">
        <f>IF(OR(2218501.69139="",1640.27304="",3303.85509=""),"-",(3303.85509-1640.27304)/2218501.69139*100)</f>
        <v>7.4986737961767538E-2</v>
      </c>
      <c r="G43" s="63">
        <f>IF(OR(2294320.13289="",1068.53104="",3303.85509=""),"-",(1068.53104-3303.85509)/2294320.13289*100)</f>
        <v>-9.7428602833394204E-2</v>
      </c>
    </row>
    <row r="44" spans="1:7" s="13" customFormat="1" ht="14.25" customHeight="1" x14ac:dyDescent="0.2">
      <c r="A44" s="52" t="s">
        <v>129</v>
      </c>
      <c r="B44" s="53">
        <v>434.10654</v>
      </c>
      <c r="C44" s="63">
        <f>IF(OR(817.7545="",434.10654=""),"-",434.10654/817.7545*100)</f>
        <v>53.085191215701045</v>
      </c>
      <c r="D44" s="53">
        <f>IF(817.7545="","-",817.7545/2294320.13289*100)</f>
        <v>3.5642563052869607E-2</v>
      </c>
      <c r="E44" s="53">
        <f>IF(434.10654="","-",434.10654/2004915.53426*100)</f>
        <v>2.165211115291326E-2</v>
      </c>
      <c r="F44" s="63">
        <f>IF(OR(2218501.69139="",888.617="",817.7545=""),"-",(817.7545-888.617)/2218501.69139*100)</f>
        <v>-3.1941602873244209E-3</v>
      </c>
      <c r="G44" s="63">
        <f>IF(OR(2294320.13289="",434.10654="",817.7545=""),"-",(434.10654-817.7545)/2294320.13289*100)</f>
        <v>-1.6721640302076964E-2</v>
      </c>
    </row>
    <row r="45" spans="1:7" s="13" customFormat="1" ht="14.25" customHeight="1" x14ac:dyDescent="0.2">
      <c r="A45" s="52" t="s">
        <v>16</v>
      </c>
      <c r="B45" s="53">
        <v>387.24223999999998</v>
      </c>
      <c r="C45" s="63">
        <f>IF(OR(554.18406="",387.24224=""),"-",387.24224/554.18406*100)</f>
        <v>69.876105783338474</v>
      </c>
      <c r="D45" s="53">
        <f>IF(554.18406="","-",554.18406/2294320.13289*100)</f>
        <v>2.415460911733934E-2</v>
      </c>
      <c r="E45" s="53">
        <f>IF(387.24224="","-",387.24224/2004915.53426*100)</f>
        <v>1.9314641109952211E-2</v>
      </c>
      <c r="F45" s="63">
        <f>IF(OR(2218501.69139="",552.3187="",554.18406=""),"-",(554.18406-552.3187)/2218501.69139*100)</f>
        <v>8.4081973308357965E-5</v>
      </c>
      <c r="G45" s="63">
        <f>IF(OR(2294320.13289="",387.24224="",554.18406=""),"-",(387.24224-554.18406)/2294320.13289*100)</f>
        <v>-7.2763088989553837E-3</v>
      </c>
    </row>
    <row r="46" spans="1:7" s="13" customFormat="1" ht="14.25" customHeight="1" x14ac:dyDescent="0.2">
      <c r="A46" s="52" t="s">
        <v>18</v>
      </c>
      <c r="B46" s="53">
        <v>252.04535999999999</v>
      </c>
      <c r="C46" s="63" t="s">
        <v>243</v>
      </c>
      <c r="D46" s="53">
        <f>IF(141.03911="","-",141.03911/2294320.13289*100)</f>
        <v>6.1473160601324866E-3</v>
      </c>
      <c r="E46" s="53">
        <f>IF(252.04536="","-",252.04536/2004915.53426*100)</f>
        <v>1.2571370498808975E-2</v>
      </c>
      <c r="F46" s="63">
        <f>IF(OR(2218501.69139="",304.59826="",141.03911=""),"-",(141.03911-304.59826)/2218501.69139*100)</f>
        <v>-7.3725050846151115E-3</v>
      </c>
      <c r="G46" s="63">
        <f>IF(OR(2294320.13289="",252.04536="",141.03911=""),"-",(252.04536-141.03911)/2294320.13289*100)</f>
        <v>4.8383069306101112E-3</v>
      </c>
    </row>
    <row r="47" spans="1:7" s="13" customFormat="1" ht="14.25" customHeight="1" x14ac:dyDescent="0.2">
      <c r="A47" s="42" t="s">
        <v>170</v>
      </c>
      <c r="B47" s="51">
        <v>359280.07705000002</v>
      </c>
      <c r="C47" s="62">
        <f>IF(478291.03795="","-",359280.07705/478291.03795*100)</f>
        <v>75.117459568113148</v>
      </c>
      <c r="D47" s="51">
        <f>IF(478291.03795="","-",478291.03795/2294320.13289*100)</f>
        <v>20.846743708234349</v>
      </c>
      <c r="E47" s="51">
        <f>IF(359280.07705="","-",359280.07705/2004915.53426*100)</f>
        <v>17.919960761968344</v>
      </c>
      <c r="F47" s="62">
        <f>IF(2218501.69139="","-",(478291.03795-396850.60505)/2218501.69139*100)</f>
        <v>3.6709655537370178</v>
      </c>
      <c r="G47" s="62">
        <f>IF(2294320.13289="","-",(359280.07705-478291.03795)/2294320.13289*100)</f>
        <v>-5.1871994319332382</v>
      </c>
    </row>
    <row r="48" spans="1:7" s="9" customFormat="1" x14ac:dyDescent="0.25">
      <c r="A48" s="52" t="s">
        <v>57</v>
      </c>
      <c r="B48" s="53">
        <v>129835.75229999999</v>
      </c>
      <c r="C48" s="63">
        <f>IF(OR(158573.431="",129835.7523=""),"-",129835.7523/158573.431*100)</f>
        <v>81.877368409844138</v>
      </c>
      <c r="D48" s="53">
        <f>IF(158573.431="","-",158573.431/2294320.13289*100)</f>
        <v>6.9115651615825628</v>
      </c>
      <c r="E48" s="53">
        <f>IF(129835.7523="","-",129835.7523/2004915.53426*100)</f>
        <v>6.4758714310586374</v>
      </c>
      <c r="F48" s="63">
        <f>IF(OR(2218501.69139="",71661.43447="",158573.431=""),"-",(158573.431-71661.43447)/2218501.69139*100)</f>
        <v>3.9175988401228308</v>
      </c>
      <c r="G48" s="63">
        <f>IF(OR(2294320.13289="",129835.7523="",158573.431=""),"-",(129835.7523-158573.431)/2294320.13289*100)</f>
        <v>-1.2525574913471691</v>
      </c>
    </row>
    <row r="49" spans="1:7" s="9" customFormat="1" x14ac:dyDescent="0.25">
      <c r="A49" s="52" t="s">
        <v>130</v>
      </c>
      <c r="B49" s="53">
        <v>49170.419190000001</v>
      </c>
      <c r="C49" s="63">
        <f>IF(OR(68820.70766="",49170.41919=""),"-",49170.41919/68820.70766*100)</f>
        <v>71.447128141896243</v>
      </c>
      <c r="D49" s="53">
        <f>IF(68820.70766="","-",68820.70766/2294320.13289*100)</f>
        <v>2.9996122456246419</v>
      </c>
      <c r="E49" s="53">
        <f>IF(49170.41919="","-",49170.41919/2004915.53426*100)</f>
        <v>2.452493302075613</v>
      </c>
      <c r="F49" s="63">
        <f>IF(OR(2218501.69139="",44814.10232="",68820.70766=""),"-",(68820.70766-44814.10232)/2218501.69139*100)</f>
        <v>1.0821089491691436</v>
      </c>
      <c r="G49" s="63">
        <f>IF(OR(2294320.13289="",49170.41919="",68820.70766=""),"-",(49170.41919-68820.70766)/2294320.13289*100)</f>
        <v>-0.85647544073319259</v>
      </c>
    </row>
    <row r="50" spans="1:7" s="14" customFormat="1" ht="25.5" x14ac:dyDescent="0.25">
      <c r="A50" s="52" t="s">
        <v>124</v>
      </c>
      <c r="B50" s="53">
        <v>35019.895570000001</v>
      </c>
      <c r="C50" s="63">
        <f>IF(OR(42024.30951="",35019.89557=""),"-",35019.89557/42024.30951*100)</f>
        <v>83.332471082402321</v>
      </c>
      <c r="D50" s="53">
        <f>IF(42024.30951="","-",42024.30951/2294320.13289*100)</f>
        <v>1.8316672075341471</v>
      </c>
      <c r="E50" s="53">
        <f>IF(35019.89557="","-",35019.89557/2004915.53426*100)</f>
        <v>1.7467017922490982</v>
      </c>
      <c r="F50" s="63">
        <f>IF(OR(2218501.69139="",68396.99159="",42024.30951=""),"-",(42024.30951-68396.99159)/2218501.69139*100)</f>
        <v>-1.1887609634174421</v>
      </c>
      <c r="G50" s="63">
        <f>IF(OR(2294320.13289="",35019.89557="",42024.30951=""),"-",(35019.89557-42024.30951)/2294320.13289*100)</f>
        <v>-0.30529366148990772</v>
      </c>
    </row>
    <row r="51" spans="1:7" s="16" customFormat="1" x14ac:dyDescent="0.25">
      <c r="A51" s="52" t="s">
        <v>19</v>
      </c>
      <c r="B51" s="53">
        <v>20841.276730000001</v>
      </c>
      <c r="C51" s="63">
        <f>IF(OR(20474.18055="",20841.27673=""),"-",20841.27673/20474.18055*100)</f>
        <v>101.79297129427727</v>
      </c>
      <c r="D51" s="53">
        <f>IF(20474.18055="","-",20474.18055/2294320.13289*100)</f>
        <v>0.89238551571310409</v>
      </c>
      <c r="E51" s="53">
        <f>IF(20841.27673="","-",20841.27673/2004915.53426*100)</f>
        <v>1.0395089655331722</v>
      </c>
      <c r="F51" s="63">
        <f>IF(OR(2218501.69139="",17855.76366="",20474.18055=""),"-",(20474.18055-17855.76366)/2218501.69139*100)</f>
        <v>0.11802636437745666</v>
      </c>
      <c r="G51" s="63">
        <f>IF(OR(2294320.13289="",20841.27673="",20474.18055=""),"-",(20841.27673-20474.18055)/2294320.13289*100)</f>
        <v>1.6000216131024151E-2</v>
      </c>
    </row>
    <row r="52" spans="1:7" s="9" customFormat="1" x14ac:dyDescent="0.25">
      <c r="A52" s="52" t="s">
        <v>59</v>
      </c>
      <c r="B52" s="53">
        <v>20252.344969999998</v>
      </c>
      <c r="C52" s="63">
        <f>IF(OR(17267.84419="",20252.34497=""),"-",20252.34497/17267.84419*100)</f>
        <v>117.28357487571238</v>
      </c>
      <c r="D52" s="53">
        <f>IF(17267.84419="","-",17267.84419/2294320.13289*100)</f>
        <v>0.75263447077234436</v>
      </c>
      <c r="E52" s="53">
        <f>IF(20252.34497="","-",20252.34497/2004915.53426*100)</f>
        <v>1.0101345729497275</v>
      </c>
      <c r="F52" s="63">
        <f>IF(OR(2218501.69139="",17734.50035="",17267.84419=""),"-",(17267.84419-17734.50035)/2218501.69139*100)</f>
        <v>-2.1034744386767439E-2</v>
      </c>
      <c r="G52" s="63">
        <f>IF(OR(2294320.13289="",20252.34497="",17267.84419=""),"-",(20252.34497-17267.84419)/2294320.13289*100)</f>
        <v>0.13008214229635967</v>
      </c>
    </row>
    <row r="53" spans="1:7" s="16" customFormat="1" x14ac:dyDescent="0.25">
      <c r="A53" s="52" t="s">
        <v>61</v>
      </c>
      <c r="B53" s="53">
        <v>10567.02599</v>
      </c>
      <c r="C53" s="63">
        <f>IF(OR(11161.23548="",10567.02599=""),"-",10567.02599/11161.23548*100)</f>
        <v>94.676131588973519</v>
      </c>
      <c r="D53" s="53">
        <f>IF(11161.23548="","-",11161.23548/2294320.13289*100)</f>
        <v>0.48647245517306886</v>
      </c>
      <c r="E53" s="53">
        <f>IF(10567.02599="","-",10567.02599/2004915.53426*100)</f>
        <v>0.52705591878713298</v>
      </c>
      <c r="F53" s="63">
        <f>IF(OR(2218501.69139="",12438.68073="",11161.23548=""),"-",(11161.23548-12438.68073)/2218501.69139*100)</f>
        <v>-5.7581441337537086E-2</v>
      </c>
      <c r="G53" s="63">
        <f>IF(OR(2294320.13289="",10567.02599="",11161.23548=""),"-",(10567.02599-11161.23548)/2294320.13289*100)</f>
        <v>-2.589915336930395E-2</v>
      </c>
    </row>
    <row r="54" spans="1:7" s="14" customFormat="1" x14ac:dyDescent="0.25">
      <c r="A54" s="52" t="s">
        <v>60</v>
      </c>
      <c r="B54" s="53">
        <v>9542.3989899999997</v>
      </c>
      <c r="C54" s="63">
        <f>IF(OR(14407.51174="",9542.39899=""),"-",9542.39899/14407.51174*100)</f>
        <v>66.232109764708056</v>
      </c>
      <c r="D54" s="53">
        <f>IF(14407.51174="","-",14407.51174/2294320.13289*100)</f>
        <v>0.62796431646405992</v>
      </c>
      <c r="E54" s="53">
        <f>IF(9542.39899="","-",9542.39899/2004915.53426*100)</f>
        <v>0.47595017480484686</v>
      </c>
      <c r="F54" s="63">
        <f>IF(OR(2218501.69139="",14906.97913="",14407.51174=""),"-",(14407.51174-14906.97913)/2218501.69139*100)</f>
        <v>-2.2513725905120182E-2</v>
      </c>
      <c r="G54" s="63">
        <f>IF(OR(2294320.13289="",9542.39899="",14407.51174=""),"-",(9542.39899-14407.51174)/2294320.13289*100)</f>
        <v>-0.21205030110038509</v>
      </c>
    </row>
    <row r="55" spans="1:7" s="9" customFormat="1" x14ac:dyDescent="0.25">
      <c r="A55" s="52" t="s">
        <v>67</v>
      </c>
      <c r="B55" s="53">
        <v>7314.5866699999997</v>
      </c>
      <c r="C55" s="63">
        <f>IF(OR(7156.31145="",7314.58667=""),"-",7314.58667/7156.31145*100)</f>
        <v>102.21168713946902</v>
      </c>
      <c r="D55" s="53">
        <f>IF(7156.31145="","-",7156.31145/2294320.13289*100)</f>
        <v>0.31191425064930578</v>
      </c>
      <c r="E55" s="53">
        <f>IF(7314.58667="","-",7314.58667/2004915.53426*100)</f>
        <v>0.36483265978084017</v>
      </c>
      <c r="F55" s="63">
        <f>IF(OR(2218501.69139="",18260.98685="",7156.31145=""),"-",(7156.31145-18260.98685)/2218501.69139*100)</f>
        <v>-0.5005484306411494</v>
      </c>
      <c r="G55" s="63">
        <f>IF(OR(2294320.13289="",7314.58667="",7156.31145=""),"-",(7314.58667-7156.31145)/2294320.13289*100)</f>
        <v>6.8985673677818861E-3</v>
      </c>
    </row>
    <row r="56" spans="1:7" s="9" customFormat="1" x14ac:dyDescent="0.25">
      <c r="A56" s="52" t="s">
        <v>58</v>
      </c>
      <c r="B56" s="53">
        <v>5506.9503000000004</v>
      </c>
      <c r="C56" s="63">
        <f>IF(OR(7914.93943="",5506.9503=""),"-",5506.9503/7914.93943*100)</f>
        <v>69.576657518401248</v>
      </c>
      <c r="D56" s="53">
        <f>IF(7914.93943="","-",7914.93943/2294320.13289*100)</f>
        <v>0.34497973131718485</v>
      </c>
      <c r="E56" s="53">
        <f>IF(5506.9503="","-",5506.9503/2004915.53426*100)</f>
        <v>0.27467243411990305</v>
      </c>
      <c r="F56" s="63">
        <f>IF(OR(2218501.69139="",10180.46486="",7914.93943=""),"-",(7914.93943-10180.46486)/2218501.69139*100)</f>
        <v>-0.10211961698260132</v>
      </c>
      <c r="G56" s="63">
        <f>IF(OR(2294320.13289="",5506.9503="",7914.93943=""),"-",(5506.9503-7914.93943)/2294320.13289*100)</f>
        <v>-0.10495436515072633</v>
      </c>
    </row>
    <row r="57" spans="1:7" s="16" customFormat="1" x14ac:dyDescent="0.25">
      <c r="A57" s="52" t="s">
        <v>66</v>
      </c>
      <c r="B57" s="53">
        <v>4681.3866799999996</v>
      </c>
      <c r="C57" s="63">
        <f>IF(OR(10916.25196="",4681.38668=""),"-",4681.38668/10916.25196*100)</f>
        <v>42.884560535555835</v>
      </c>
      <c r="D57" s="53">
        <f>IF(10916.25196="","-",10916.25196/2294320.13289*100)</f>
        <v>0.47579462881012752</v>
      </c>
      <c r="E57" s="53">
        <f>IF(4681.38668="","-",4681.38668/2004915.53426*100)</f>
        <v>0.23349545654190695</v>
      </c>
      <c r="F57" s="63">
        <f>IF(OR(2218501.69139="",5568.57223="",10916.25196=""),"-",(10916.25196-5568.57223)/2218501.69139*100)</f>
        <v>0.2410491617272294</v>
      </c>
      <c r="G57" s="63">
        <f>IF(OR(2294320.13289="",4681.38668="",10916.25196=""),"-",(4681.38668-10916.25196)/2294320.13289*100)</f>
        <v>-0.27175219319312521</v>
      </c>
    </row>
    <row r="58" spans="1:7" s="9" customFormat="1" x14ac:dyDescent="0.25">
      <c r="A58" s="52" t="s">
        <v>69</v>
      </c>
      <c r="B58" s="53">
        <v>4220.2250000000004</v>
      </c>
      <c r="C58" s="63">
        <f>IF(OR(6168.77351="",4220.225=""),"-",4220.225/6168.77351*100)</f>
        <v>68.412707860950476</v>
      </c>
      <c r="D58" s="53">
        <f>IF(6168.77351="","-",6168.77351/2294320.13289*100)</f>
        <v>0.26887152414208271</v>
      </c>
      <c r="E58" s="53">
        <f>IF(4220.225="","-",4220.225/2004915.53426*100)</f>
        <v>0.21049390499922757</v>
      </c>
      <c r="F58" s="63">
        <f>IF(OR(2218501.69139="",3572.75741="",6168.77351=""),"-",(6168.77351-3572.75741)/2218501.69139*100)</f>
        <v>0.11701663830481324</v>
      </c>
      <c r="G58" s="63">
        <f>IF(OR(2294320.13289="",4220.225="",6168.77351=""),"-",(4220.225-6168.77351)/2294320.13289*100)</f>
        <v>-8.4929233809474744E-2</v>
      </c>
    </row>
    <row r="59" spans="1:7" s="14" customFormat="1" x14ac:dyDescent="0.25">
      <c r="A59" s="52" t="s">
        <v>63</v>
      </c>
      <c r="B59" s="53">
        <v>3971.4180099999999</v>
      </c>
      <c r="C59" s="63">
        <f>IF(OR(5687.42598="",3971.41801=""),"-",3971.41801/5687.42598*100)</f>
        <v>69.828038623546178</v>
      </c>
      <c r="D59" s="53">
        <f>IF(5687.42598="","-",5687.42598/2294320.13289*100)</f>
        <v>0.24789156048750416</v>
      </c>
      <c r="E59" s="53">
        <f>IF(3971.41801="","-",3971.41801/2004915.53426*100)</f>
        <v>0.19808405601814152</v>
      </c>
      <c r="F59" s="63">
        <f>IF(OR(2218501.69139="",4124.50043="",5687.42598=""),"-",(5687.42598-4124.50043)/2218501.69139*100)</f>
        <v>7.0449599207686453E-2</v>
      </c>
      <c r="G59" s="63">
        <f>IF(OR(2294320.13289="",3971.41801="",5687.42598=""),"-",(3971.41801-5687.42598)/2294320.13289*100)</f>
        <v>-7.4793745885778404E-2</v>
      </c>
    </row>
    <row r="60" spans="1:7" s="9" customFormat="1" x14ac:dyDescent="0.25">
      <c r="A60" s="52" t="s">
        <v>131</v>
      </c>
      <c r="B60" s="53">
        <v>3777.2446500000001</v>
      </c>
      <c r="C60" s="63">
        <f>IF(OR(11393.55253="",3777.24465=""),"-",3777.24465/11393.55253*100)</f>
        <v>33.152474963838166</v>
      </c>
      <c r="D60" s="53">
        <f>IF(11393.55253="","-",11393.55253/2294320.13289*100)</f>
        <v>0.49659820208474192</v>
      </c>
      <c r="E60" s="53">
        <f>IF(3777.24465="","-",3777.24465/2004915.53426*100)</f>
        <v>0.18839919116064677</v>
      </c>
      <c r="F60" s="63">
        <f>IF(OR(2218501.69139="",2310.30496="",11393.55253=""),"-",(11393.55253-2310.30496)/2218501.69139*100)</f>
        <v>0.4094316269963672</v>
      </c>
      <c r="G60" s="63">
        <f>IF(OR(2294320.13289="",3777.24465="",11393.55253=""),"-",(3777.24465-11393.55253)/2294320.13289*100)</f>
        <v>-0.33196360746772735</v>
      </c>
    </row>
    <row r="61" spans="1:7" s="14" customFormat="1" x14ac:dyDescent="0.25">
      <c r="A61" s="52" t="s">
        <v>135</v>
      </c>
      <c r="B61" s="53">
        <v>3525.34593</v>
      </c>
      <c r="C61" s="63" t="s">
        <v>280</v>
      </c>
      <c r="D61" s="53">
        <f>IF(212.47362="","-",212.47362/2294320.13289*100)</f>
        <v>9.2608532241907054E-3</v>
      </c>
      <c r="E61" s="53">
        <f>IF(3525.34593="","-",3525.34593/2004915.53426*100)</f>
        <v>0.17583513468567041</v>
      </c>
      <c r="F61" s="63">
        <f>IF(OR(2218501.69139="",1739.08352="",212.47362=""),"-",(212.47362-1739.08352)/2218501.69139*100)</f>
        <v>-6.8812654320921623E-2</v>
      </c>
      <c r="G61" s="63">
        <f>IF(OR(2294320.13289="",3525.34593="",212.47362=""),"-",(3525.34593-212.47362)/2294320.13289*100)</f>
        <v>0.14439450983795352</v>
      </c>
    </row>
    <row r="62" spans="1:7" s="9" customFormat="1" x14ac:dyDescent="0.25">
      <c r="A62" s="52" t="s">
        <v>38</v>
      </c>
      <c r="B62" s="53">
        <v>3405.83772</v>
      </c>
      <c r="C62" s="63">
        <f>IF(OR(2587.84366="",3405.83772=""),"-",3405.83772/2587.84366*100)</f>
        <v>131.60909882786351</v>
      </c>
      <c r="D62" s="53">
        <f>IF(2587.84366="","-",2587.84366/2294320.13289*100)</f>
        <v>0.11279348609212038</v>
      </c>
      <c r="E62" s="53">
        <f>IF(3405.83772="","-",3405.83772/2004915.53426*100)</f>
        <v>0.16987437434650185</v>
      </c>
      <c r="F62" s="63">
        <f>IF(OR(2218501.69139="",6011.18924="",2587.84366=""),"-",(2587.84366-6011.18924)/2218501.69139*100)</f>
        <v>-0.15430890106083742</v>
      </c>
      <c r="G62" s="63">
        <f>IF(OR(2294320.13289="",3405.83772="",2587.84366=""),"-",(3405.83772-2587.84366)/2294320.13289*100)</f>
        <v>3.5653004490250807E-2</v>
      </c>
    </row>
    <row r="63" spans="1:7" s="14" customFormat="1" x14ac:dyDescent="0.25">
      <c r="A63" s="52" t="s">
        <v>68</v>
      </c>
      <c r="B63" s="53">
        <v>3143.2401199999999</v>
      </c>
      <c r="C63" s="63" t="s">
        <v>248</v>
      </c>
      <c r="D63" s="53">
        <f>IF(22.26872="","-",22.26872/2294320.13289*100)</f>
        <v>9.7060212656328816E-4</v>
      </c>
      <c r="E63" s="53">
        <f>IF(3143.24012="","-",3143.24012/2004915.53426*100)</f>
        <v>0.15677668541583459</v>
      </c>
      <c r="F63" s="63">
        <f>IF(OR(2218501.69139="",24.4608="",22.26872=""),"-",(22.26872-24.4608)/2218501.69139*100)</f>
        <v>-9.880902991904212E-5</v>
      </c>
      <c r="G63" s="63">
        <f>IF(OR(2294320.13289="",3143.24012="",22.26872=""),"-",(3143.24012-22.26872)/2294320.13289*100)</f>
        <v>0.13603033662389227</v>
      </c>
    </row>
    <row r="64" spans="1:7" s="9" customFormat="1" x14ac:dyDescent="0.25">
      <c r="A64" s="52" t="s">
        <v>62</v>
      </c>
      <c r="B64" s="53">
        <v>2444.82321</v>
      </c>
      <c r="C64" s="63">
        <f>IF(OR(8603.67817="",2444.82321=""),"-",2444.82321/8603.67817*100)</f>
        <v>28.416023492426845</v>
      </c>
      <c r="D64" s="53">
        <f>IF(8603.67817="","-",8603.67817/2294320.13289*100)</f>
        <v>0.37499902679939123</v>
      </c>
      <c r="E64" s="53">
        <f>IF(2444.82321="","-",2444.82321/2004915.53426*100)</f>
        <v>0.12194145679570319</v>
      </c>
      <c r="F64" s="63">
        <f>IF(OR(2218501.69139="",7147.25497="",8603.67817=""),"-",(8603.67817-7147.25497)/2218501.69139*100)</f>
        <v>6.5648956034262879E-2</v>
      </c>
      <c r="G64" s="63">
        <f>IF(OR(2294320.13289="",2444.82321="",8603.67817=""),"-",(2444.82321-8603.67817)/2294320.13289*100)</f>
        <v>-0.26843921524770414</v>
      </c>
    </row>
    <row r="65" spans="1:7" s="9" customFormat="1" x14ac:dyDescent="0.25">
      <c r="A65" s="52" t="s">
        <v>40</v>
      </c>
      <c r="B65" s="53">
        <v>1851.2364</v>
      </c>
      <c r="C65" s="63">
        <f>IF(OR(1443.63853="",1851.2364=""),"-",1851.2364/1443.63853*100)</f>
        <v>128.23406701399139</v>
      </c>
      <c r="D65" s="53">
        <f>IF(1443.63853="","-",1443.63853/2294320.13289*100)</f>
        <v>6.29222796463694E-2</v>
      </c>
      <c r="E65" s="53">
        <f>IF(1851.2364="","-",1851.2364/2004915.53426*100)</f>
        <v>9.2334882361180273E-2</v>
      </c>
      <c r="F65" s="63">
        <f>IF(OR(2218501.69139="",1142.48452="",1443.63853=""),"-",(1443.63853-1142.48452)/2218501.69139*100)</f>
        <v>1.3574657669578436E-2</v>
      </c>
      <c r="G65" s="63">
        <f>IF(OR(2294320.13289="",1851.2364="",1443.63853=""),"-",(1851.2364-1443.63853)/2294320.13289*100)</f>
        <v>1.7765518602086996E-2</v>
      </c>
    </row>
    <row r="66" spans="1:7" s="14" customFormat="1" x14ac:dyDescent="0.25">
      <c r="A66" s="52" t="s">
        <v>77</v>
      </c>
      <c r="B66" s="53">
        <v>1747.95083</v>
      </c>
      <c r="C66" s="63">
        <f>IF(OR(1510.39452="",1747.95083=""),"-",1747.95083/1510.39452*100)</f>
        <v>115.72809665649476</v>
      </c>
      <c r="D66" s="53">
        <f>IF(1510.39452="","-",1510.39452/2294320.13289*100)</f>
        <v>6.5831899321628584E-2</v>
      </c>
      <c r="E66" s="53">
        <f>IF(1747.95083="","-",1747.95083/2004915.53426*100)</f>
        <v>8.7183265336170684E-2</v>
      </c>
      <c r="F66" s="63">
        <f>IF(OR(2218501.69139="",1387.07023="",1510.39452=""),"-",(1510.39452-1387.07023)/2218501.69139*100)</f>
        <v>5.5588999764400147E-3</v>
      </c>
      <c r="G66" s="63">
        <f>IF(OR(2294320.13289="",1747.95083="",1510.39452=""),"-",(1747.95083-1510.39452)/2294320.13289*100)</f>
        <v>1.0354104756112056E-2</v>
      </c>
    </row>
    <row r="67" spans="1:7" s="16" customFormat="1" x14ac:dyDescent="0.25">
      <c r="A67" s="52" t="s">
        <v>143</v>
      </c>
      <c r="B67" s="53">
        <v>1301.4062300000001</v>
      </c>
      <c r="C67" s="63">
        <f>IF(OR(1108.07383="",1301.40623=""),"-",1301.40623/1108.07383*100)</f>
        <v>117.44760996656693</v>
      </c>
      <c r="D67" s="53">
        <f>IF(1108.07383="","-",1108.07383/2294320.13289*100)</f>
        <v>4.8296391341178455E-2</v>
      </c>
      <c r="E67" s="53">
        <f>IF(1301.40623="","-",1301.40623/2004915.53426*100)</f>
        <v>6.491077592854004E-2</v>
      </c>
      <c r="F67" s="63">
        <f>IF(OR(2218501.69139="",1803.37088="",1108.07383=""),"-",(1108.07383-1803.37088)/2218501.69139*100)</f>
        <v>-3.1340839301518056E-2</v>
      </c>
      <c r="G67" s="63">
        <f>IF(OR(2294320.13289="",1301.40623="",1108.07383=""),"-",(1301.40623-1108.07383)/2294320.13289*100)</f>
        <v>8.4265659891356245E-3</v>
      </c>
    </row>
    <row r="68" spans="1:7" s="9" customFormat="1" x14ac:dyDescent="0.25">
      <c r="A68" s="52" t="s">
        <v>88</v>
      </c>
      <c r="B68" s="53">
        <v>1154.4347600000001</v>
      </c>
      <c r="C68" s="63" t="s">
        <v>263</v>
      </c>
      <c r="D68" s="53">
        <f>IF(441.48425="","-",441.48425/2294320.13289*100)</f>
        <v>1.924248685574197E-2</v>
      </c>
      <c r="E68" s="53">
        <f>IF(1154.43476="","-",1154.43476/2004915.53426*100)</f>
        <v>5.7580219229838712E-2</v>
      </c>
      <c r="F68" s="63">
        <f>IF(OR(2218501.69139="",272.31989="",441.48425=""),"-",(441.48425-272.31989)/2218501.69139*100)</f>
        <v>7.6251625435548006E-3</v>
      </c>
      <c r="G68" s="63">
        <f>IF(OR(2294320.13289="",1154.43476="",441.48425=""),"-",(1154.43476-441.48425)/2294320.13289*100)</f>
        <v>3.1074587185091061E-2</v>
      </c>
    </row>
    <row r="69" spans="1:7" s="9" customFormat="1" x14ac:dyDescent="0.25">
      <c r="A69" s="52" t="s">
        <v>86</v>
      </c>
      <c r="B69" s="53">
        <v>1154.38636</v>
      </c>
      <c r="C69" s="63">
        <f>IF(OR(1915.06864="",1154.38636=""),"-",1154.38636/1915.06864*100)</f>
        <v>60.279111457853539</v>
      </c>
      <c r="D69" s="53">
        <f>IF(1915.06864="","-",1915.06864/2294320.13289*100)</f>
        <v>8.3469983658632563E-2</v>
      </c>
      <c r="E69" s="53">
        <f>IF(1154.38636="","-",1154.38636/2004915.53426*100)</f>
        <v>5.7577805163052699E-2</v>
      </c>
      <c r="F69" s="63">
        <f>IF(OR(2218501.69139="",1657.78746="",1915.06864=""),"-",(1915.06864-1657.78746)/2218501.69139*100)</f>
        <v>1.1597069364360084E-2</v>
      </c>
      <c r="G69" s="63">
        <f>IF(OR(2294320.13289="",1154.38636="",1915.06864=""),"-",(1154.38636-1915.06864)/2294320.13289*100)</f>
        <v>-3.3155019175193305E-2</v>
      </c>
    </row>
    <row r="70" spans="1:7" s="9" customFormat="1" x14ac:dyDescent="0.25">
      <c r="A70" s="52" t="s">
        <v>278</v>
      </c>
      <c r="B70" s="53">
        <v>1112.56548</v>
      </c>
      <c r="C70" s="63">
        <f>IF(OR(1194.64838="",1112.56548=""),"-",1112.56548/1194.64838*100)</f>
        <v>93.129116368114936</v>
      </c>
      <c r="D70" s="53">
        <f>IF(1194.64838="","-",1194.64838/2294320.13289*100)</f>
        <v>5.2069820722672307E-2</v>
      </c>
      <c r="E70" s="53">
        <f>IF(1112.56548="","-",1112.56548/2004915.53426*100)</f>
        <v>5.5491887862031047E-2</v>
      </c>
      <c r="F70" s="63">
        <f>IF(OR(2218501.69139="",1258.86002="",1194.64838=""),"-",(1194.64838-1258.86002)/2218501.69139*100)</f>
        <v>-2.8943696662123461E-3</v>
      </c>
      <c r="G70" s="63">
        <f>IF(OR(2294320.13289="",1112.56548="",1194.64838=""),"-",(1112.56548-1194.64838)/2294320.13289*100)</f>
        <v>-3.5776567891859898E-3</v>
      </c>
    </row>
    <row r="71" spans="1:7" s="9" customFormat="1" x14ac:dyDescent="0.25">
      <c r="A71" s="52" t="s">
        <v>39</v>
      </c>
      <c r="B71" s="53">
        <v>1078.97129</v>
      </c>
      <c r="C71" s="63">
        <f>IF(OR(777.77764="",1078.97129=""),"-",1078.97129/777.77764*100)</f>
        <v>138.7249047169831</v>
      </c>
      <c r="D71" s="53">
        <f>IF(777.77764="","-",777.77764/2294320.13289*100)</f>
        <v>3.390013576790115E-2</v>
      </c>
      <c r="E71" s="53">
        <f>IF(1078.97129="","-",1078.97129/2004915.53426*100)</f>
        <v>5.3816296575219094E-2</v>
      </c>
      <c r="F71" s="63">
        <f>IF(OR(2218501.69139="",521.73539="",777.77764=""),"-",(777.77764-521.73539)/2218501.69139*100)</f>
        <v>1.1541224015906744E-2</v>
      </c>
      <c r="G71" s="63">
        <f>IF(OR(2294320.13289="",1078.97129="",777.77764=""),"-",(1078.97129-777.77764)/2294320.13289*100)</f>
        <v>1.3127795275047632E-2</v>
      </c>
    </row>
    <row r="72" spans="1:7" s="9" customFormat="1" x14ac:dyDescent="0.25">
      <c r="A72" s="52" t="s">
        <v>136</v>
      </c>
      <c r="B72" s="53">
        <v>1073.1271899999999</v>
      </c>
      <c r="C72" s="63" t="s">
        <v>20</v>
      </c>
      <c r="D72" s="53">
        <f>IF(533.40478="","-",533.40478/2294320.13289*100)</f>
        <v>2.3248925568556383E-2</v>
      </c>
      <c r="E72" s="53">
        <f>IF(1073.12719="","-",1073.12719/2004915.53426*100)</f>
        <v>5.3524807986291729E-2</v>
      </c>
      <c r="F72" s="63">
        <f>IF(OR(2218501.69139="",52.753="",533.40478=""),"-",(533.40478-52.753)/2218501.69139*100)</f>
        <v>2.1665603495611856E-2</v>
      </c>
      <c r="G72" s="63">
        <f>IF(OR(2294320.13289="",1073.12719="",533.40478=""),"-",(1073.12719-533.40478)/2294320.13289*100)</f>
        <v>2.3524285136274688E-2</v>
      </c>
    </row>
    <row r="73" spans="1:7" s="9" customFormat="1" x14ac:dyDescent="0.25">
      <c r="A73" s="52" t="s">
        <v>78</v>
      </c>
      <c r="B73" s="53">
        <v>1072.13903</v>
      </c>
      <c r="C73" s="63">
        <f>IF(OR(1389.4716="",1072.13903=""),"-",1072.13903/1389.4716*100)</f>
        <v>77.161636840940105</v>
      </c>
      <c r="D73" s="53">
        <f>IF(1389.4716="","-",1389.4716/2294320.13289*100)</f>
        <v>6.0561365438125521E-2</v>
      </c>
      <c r="E73" s="53">
        <f>IF(1072.13903="","-",1072.13903/2004915.53426*100)</f>
        <v>5.3475521121926911E-2</v>
      </c>
      <c r="F73" s="63">
        <f>IF(OR(2218501.69139="",1239.26758="",1389.4716=""),"-",(1389.4716-1239.26758)/2218501.69139*100)</f>
        <v>6.7705163616931909E-3</v>
      </c>
      <c r="G73" s="63">
        <f>IF(OR(2294320.13289="",1072.13903="",1389.4716=""),"-",(1072.13903-1389.4716)/2294320.13289*100)</f>
        <v>-1.3831224572844488E-2</v>
      </c>
    </row>
    <row r="74" spans="1:7" s="9" customFormat="1" x14ac:dyDescent="0.25">
      <c r="A74" s="52" t="s">
        <v>71</v>
      </c>
      <c r="B74" s="53">
        <v>908.51278000000002</v>
      </c>
      <c r="C74" s="63">
        <f>IF(OR(2722.79827="",908.51278=""),"-",908.51278/2722.79827*100)</f>
        <v>33.366878112494177</v>
      </c>
      <c r="D74" s="53">
        <f>IF(2722.79827="","-",2722.79827/2294320.13289*100)</f>
        <v>0.11867560376460085</v>
      </c>
      <c r="E74" s="53">
        <f>IF(908.51278="","-",908.51278/2004915.53426*100)</f>
        <v>4.5314267083841293E-2</v>
      </c>
      <c r="F74" s="63">
        <f>IF(OR(2218501.69139="",1396.67112="",2722.79827=""),"-",(2722.79827-1396.67112)/2218501.69139*100)</f>
        <v>5.977580071931865E-2</v>
      </c>
      <c r="G74" s="63">
        <f>IF(OR(2294320.13289="",908.51278="",2722.79827=""),"-",(908.51278-2722.79827)/2294320.13289*100)</f>
        <v>-7.9077259707199934E-2</v>
      </c>
    </row>
    <row r="75" spans="1:7" s="9" customFormat="1" x14ac:dyDescent="0.25">
      <c r="A75" s="52" t="s">
        <v>73</v>
      </c>
      <c r="B75" s="53">
        <v>860.24032</v>
      </c>
      <c r="C75" s="63">
        <f>IF(OR(1076.64457="",860.24032=""),"-",860.24032/1076.64457*100)</f>
        <v>79.900121541503708</v>
      </c>
      <c r="D75" s="53">
        <f>IF(1076.64457="","-",1076.64457/2294320.13289*100)</f>
        <v>4.6926518865692185E-2</v>
      </c>
      <c r="E75" s="53">
        <f>IF(860.24032="","-",860.24032/2004915.53426*100)</f>
        <v>4.2906561663083154E-2</v>
      </c>
      <c r="F75" s="63">
        <f>IF(OR(2218501.69139="",807.05274="",1076.64457=""),"-",(1076.64457-807.05274)/2218501.69139*100)</f>
        <v>1.2151977663406128E-2</v>
      </c>
      <c r="G75" s="63">
        <f>IF(OR(2294320.13289="",860.24032="",1076.64457=""),"-",(860.24032-1076.64457)/2294320.13289*100)</f>
        <v>-9.4321732568074593E-3</v>
      </c>
    </row>
    <row r="76" spans="1:7" s="9" customFormat="1" x14ac:dyDescent="0.25">
      <c r="A76" s="52" t="s">
        <v>94</v>
      </c>
      <c r="B76" s="53">
        <v>694.84352000000001</v>
      </c>
      <c r="C76" s="63" t="s">
        <v>262</v>
      </c>
      <c r="D76" s="53">
        <f>IF(211.31273="","-",211.31273/2294320.13289*100)</f>
        <v>9.2102547927269251E-3</v>
      </c>
      <c r="E76" s="53">
        <f>IF(694.84352="","-",694.84352/2004915.53426*100)</f>
        <v>3.4656997171527315E-2</v>
      </c>
      <c r="F76" s="63">
        <f>IF(OR(2218501.69139="",257.42783="",211.31273=""),"-",(211.31273-257.42783)/2218501.69139*100)</f>
        <v>-2.078659672831109E-3</v>
      </c>
      <c r="G76" s="63">
        <f>IF(OR(2294320.13289="",694.84352="",211.31273=""),"-",(694.84352-211.31273)/2294320.13289*100)</f>
        <v>2.1075122999113859E-2</v>
      </c>
    </row>
    <row r="77" spans="1:7" x14ac:dyDescent="0.25">
      <c r="A77" s="52" t="s">
        <v>142</v>
      </c>
      <c r="B77" s="53">
        <v>583.12622999999996</v>
      </c>
      <c r="C77" s="63" t="s">
        <v>281</v>
      </c>
      <c r="D77" s="53">
        <f>IF(117.36746="","-",117.36746/2294320.13289*100)</f>
        <v>5.115565971700738E-3</v>
      </c>
      <c r="E77" s="53">
        <f>IF(583.12623="","-",583.12623/2004915.53426*100)</f>
        <v>2.9084827766334188E-2</v>
      </c>
      <c r="F77" s="63">
        <f>IF(OR(2218501.69139="",122.30547="",117.36746=""),"-",(117.36746-122.30547)/2218501.69139*100)</f>
        <v>-2.2258310729103393E-4</v>
      </c>
      <c r="G77" s="63">
        <f>IF(OR(2294320.13289="",583.12623="",117.36746=""),"-",(583.12623-117.36746)/2294320.13289*100)</f>
        <v>2.0300513573636086E-2</v>
      </c>
    </row>
    <row r="78" spans="1:7" x14ac:dyDescent="0.25">
      <c r="A78" s="52" t="s">
        <v>110</v>
      </c>
      <c r="B78" s="53">
        <v>557.97835999999995</v>
      </c>
      <c r="C78" s="63">
        <f>IF(OR(962.50047="",557.97836=""),"-",557.97836/962.50047*100)</f>
        <v>57.971749354054857</v>
      </c>
      <c r="D78" s="53">
        <f>IF(962.50047="","-",962.50047/2294320.13289*100)</f>
        <v>4.1951445929544418E-2</v>
      </c>
      <c r="E78" s="53">
        <f>IF(557.97836="","-",557.97836/2004915.53426*100)</f>
        <v>2.7830517069934606E-2</v>
      </c>
      <c r="F78" s="63">
        <f>IF(OR(2218501.69139="",545.57265="",962.50047=""),"-",(962.50047-545.57265)/2218501.69139*100)</f>
        <v>1.87932162331945E-2</v>
      </c>
      <c r="G78" s="63">
        <f>IF(OR(2294320.13289="",557.97836="",962.50047=""),"-",(557.97836-962.50047)/2294320.13289*100)</f>
        <v>-1.7631458844867075E-2</v>
      </c>
    </row>
    <row r="79" spans="1:7" x14ac:dyDescent="0.25">
      <c r="A79" s="52" t="s">
        <v>37</v>
      </c>
      <c r="B79" s="53">
        <v>544.40187000000003</v>
      </c>
      <c r="C79" s="63" t="s">
        <v>243</v>
      </c>
      <c r="D79" s="53">
        <f>IF(305.41804="","-",305.41804/2294320.13289*100)</f>
        <v>1.3311919100639436E-2</v>
      </c>
      <c r="E79" s="53">
        <f>IF(544.40187="","-",544.40187/2004915.53426*100)</f>
        <v>2.7153356872010814E-2</v>
      </c>
      <c r="F79" s="63">
        <f>IF(OR(2218501.69139="",466.4719="",305.41804=""),"-",(305.41804-466.4719)/2218501.69139*100)</f>
        <v>-7.2595779676458963E-3</v>
      </c>
      <c r="G79" s="63">
        <f>IF(OR(2294320.13289="",544.40187="",305.41804=""),"-",(544.40187-305.41804)/2294320.13289*100)</f>
        <v>1.0416324495177064E-2</v>
      </c>
    </row>
    <row r="80" spans="1:7" x14ac:dyDescent="0.25">
      <c r="A80" s="52" t="s">
        <v>76</v>
      </c>
      <c r="B80" s="53">
        <v>514.34919000000002</v>
      </c>
      <c r="C80" s="63">
        <f>IF(OR(1727.61902="",514.34919=""),"-",514.34919/1727.61902*100)</f>
        <v>29.772142124251445</v>
      </c>
      <c r="D80" s="53">
        <f>IF(1727.61902="","-",1727.61902/2294320.13289*100)</f>
        <v>7.5299823910093794E-2</v>
      </c>
      <c r="E80" s="53">
        <f>IF(514.34919="","-",514.34919/2004915.53426*100)</f>
        <v>2.5654406941878607E-2</v>
      </c>
      <c r="F80" s="63">
        <f>IF(OR(2218501.69139="",11422.66023="",1727.61902=""),"-",(1727.61902-11422.66023)/2218501.69139*100)</f>
        <v>-0.43700851108775052</v>
      </c>
      <c r="G80" s="63">
        <f>IF(OR(2294320.13289="",514.34919="",1727.61902=""),"-",(514.34919-1727.61902)/2294320.13289*100)</f>
        <v>-5.2881453316269617E-2</v>
      </c>
    </row>
    <row r="81" spans="1:7" x14ac:dyDescent="0.25">
      <c r="A81" s="52" t="s">
        <v>65</v>
      </c>
      <c r="B81" s="53">
        <v>432.21897000000001</v>
      </c>
      <c r="C81" s="63">
        <f>IF(OR(1381.08767="",432.21897=""),"-",432.21897/1381.08767*100)</f>
        <v>31.295549108768743</v>
      </c>
      <c r="D81" s="53">
        <f>IF(1381.08767="","-",1381.08767/2294320.13289*100)</f>
        <v>6.0195944332334182E-2</v>
      </c>
      <c r="E81" s="53">
        <f>IF(432.21897="","-",432.21897/2004915.53426*100)</f>
        <v>2.1557964044581508E-2</v>
      </c>
      <c r="F81" s="63">
        <f>IF(OR(2218501.69139="",2435.67125="",1381.08767=""),"-",(1381.08767-2435.67125)/2218501.69139*100)</f>
        <v>-4.7535847463756123E-2</v>
      </c>
      <c r="G81" s="63">
        <f>IF(OR(2294320.13289="",432.21897="",1381.08767=""),"-",(432.21897-1381.08767)/2294320.13289*100)</f>
        <v>-4.1357293012321439E-2</v>
      </c>
    </row>
    <row r="82" spans="1:7" x14ac:dyDescent="0.25">
      <c r="A82" s="52" t="s">
        <v>103</v>
      </c>
      <c r="B82" s="53">
        <v>416.10737</v>
      </c>
      <c r="C82" s="63" t="s">
        <v>282</v>
      </c>
      <c r="D82" s="53">
        <f>IF(100.98459="","-",100.98459/2294320.13289*100)</f>
        <v>4.4015038944367601E-3</v>
      </c>
      <c r="E82" s="53">
        <f>IF(416.10737="","-",416.10737/2004915.53426*100)</f>
        <v>2.0754359118354691E-2</v>
      </c>
      <c r="F82" s="63">
        <f>IF(OR(2218501.69139="",132.43385="",100.98459=""),"-",(100.98459-132.43385)/2218501.69139*100)</f>
        <v>-1.4175900844274547E-3</v>
      </c>
      <c r="G82" s="63">
        <f>IF(OR(2294320.13289="",416.10737="",100.98459=""),"-",(416.10737-100.98459)/2294320.13289*100)</f>
        <v>1.3734908894473291E-2</v>
      </c>
    </row>
    <row r="83" spans="1:7" x14ac:dyDescent="0.25">
      <c r="A83" s="52" t="s">
        <v>97</v>
      </c>
      <c r="B83" s="53">
        <v>400.88229000000001</v>
      </c>
      <c r="C83" s="63">
        <f>IF(OR(643.61443="",400.88229=""),"-",400.88229/643.61443*100)</f>
        <v>62.286094175980487</v>
      </c>
      <c r="D83" s="53">
        <f>IF(643.61443="","-",643.61443/2294320.13289*100)</f>
        <v>2.8052511973962517E-2</v>
      </c>
      <c r="E83" s="53">
        <f>IF(400.88229="","-",400.88229/2004915.53426*100)</f>
        <v>1.9994971516242094E-2</v>
      </c>
      <c r="F83" s="63">
        <f>IF(OR(2218501.69139="",482.3859="",643.61443=""),"-",(643.61443-482.3859)/2218501.69139*100)</f>
        <v>7.2674512994841314E-3</v>
      </c>
      <c r="G83" s="63">
        <f>IF(OR(2294320.13289="",400.88229="",643.61443=""),"-",(400.88229-643.61443)/2294320.13289*100)</f>
        <v>-1.0579697947132019E-2</v>
      </c>
    </row>
    <row r="84" spans="1:7" x14ac:dyDescent="0.25">
      <c r="A84" s="52" t="s">
        <v>83</v>
      </c>
      <c r="B84" s="53">
        <v>381.03210000000001</v>
      </c>
      <c r="C84" s="63">
        <f>IF(OR(441.71995="",381.0321=""),"-",381.0321/441.71995*100)</f>
        <v>86.261012209206314</v>
      </c>
      <c r="D84" s="53">
        <f>IF(441.71995="","-",441.71995/2294320.13289*100)</f>
        <v>1.9252760051562429E-2</v>
      </c>
      <c r="E84" s="53">
        <f>IF(381.0321="","-",381.0321/2004915.53426*100)</f>
        <v>1.9004895392794499E-2</v>
      </c>
      <c r="F84" s="63">
        <f>IF(OR(2218501.69139="",1477.32679="",441.71995=""),"-",(441.71995-1477.32679)/2218501.69139*100)</f>
        <v>-4.6680462044234088E-2</v>
      </c>
      <c r="G84" s="63">
        <f>IF(OR(2294320.13289="",381.0321="",441.71995=""),"-",(381.0321-441.71995)/2294320.13289*100)</f>
        <v>-2.6451343528749666E-3</v>
      </c>
    </row>
    <row r="85" spans="1:7" x14ac:dyDescent="0.25">
      <c r="A85" s="52" t="s">
        <v>166</v>
      </c>
      <c r="B85" s="53">
        <v>373.62652000000003</v>
      </c>
      <c r="C85" s="63">
        <f>IF(OR(381.63628="",373.62652=""),"-",373.62652/381.63628*100)</f>
        <v>97.90120582875403</v>
      </c>
      <c r="D85" s="53">
        <f>IF(381.63628="","-",381.63628/2294320.13289*100)</f>
        <v>1.6633959425674329E-2</v>
      </c>
      <c r="E85" s="53">
        <f>IF(373.62652="","-",373.62652/2004915.53426*100)</f>
        <v>1.8635524221119016E-2</v>
      </c>
      <c r="F85" s="63">
        <f>IF(OR(2218501.69139="",312.79111="",381.63628=""),"-",(381.63628-312.79111)/2218501.69139*100)</f>
        <v>3.1032281952809836E-3</v>
      </c>
      <c r="G85" s="63">
        <f>IF(OR(2294320.13289="",373.62652="",381.63628=""),"-",(373.62652-381.63628)/2294320.13289*100)</f>
        <v>-3.4911257087347344E-4</v>
      </c>
    </row>
    <row r="86" spans="1:7" x14ac:dyDescent="0.25">
      <c r="A86" s="52" t="s">
        <v>176</v>
      </c>
      <c r="B86" s="53">
        <v>368.54941000000002</v>
      </c>
      <c r="C86" s="63">
        <f>IF(OR(790.71753="",368.54941=""),"-",368.54941/790.71753*100)</f>
        <v>46.609490243627206</v>
      </c>
      <c r="D86" s="53">
        <f>IF(790.71753="","-",790.71753/2294320.13289*100)</f>
        <v>3.4464132475008472E-2</v>
      </c>
      <c r="E86" s="53">
        <f>IF(368.54941="","-",368.54941/2004915.53426*100)</f>
        <v>1.8382291109137871E-2</v>
      </c>
      <c r="F86" s="63">
        <f>IF(OR(2218501.69139="",868.39056="",790.71753=""),"-",(790.71753-868.39056)/2218501.69139*100)</f>
        <v>-3.5011481082682467E-3</v>
      </c>
      <c r="G86" s="63">
        <f>IF(OR(2294320.13289="",368.54941="",790.71753=""),"-",(368.54941-790.71753)/2294320.13289*100)</f>
        <v>-1.8400576011518642E-2</v>
      </c>
    </row>
    <row r="87" spans="1:7" x14ac:dyDescent="0.25">
      <c r="A87" s="52" t="s">
        <v>175</v>
      </c>
      <c r="B87" s="53">
        <v>336.27312000000001</v>
      </c>
      <c r="C87" s="63" t="s">
        <v>263</v>
      </c>
      <c r="D87" s="53">
        <f>IF(128.68687="","-",128.68687/2294320.13289*100)</f>
        <v>5.6089326051418044E-3</v>
      </c>
      <c r="E87" s="53">
        <f>IF(336.27312="","-",336.27312/2004915.53426*100)</f>
        <v>1.6772433264831577E-2</v>
      </c>
      <c r="F87" s="63">
        <f>IF(OR(2218501.69139="",326.76673="",128.68687=""),"-",(128.68687-326.76673)/2218501.69139*100)</f>
        <v>-8.928542212464724E-3</v>
      </c>
      <c r="G87" s="63">
        <f>IF(OR(2294320.13289="",336.27312="",128.68687=""),"-",(336.27312-128.68687)/2294320.13289*100)</f>
        <v>9.0478328208939886E-3</v>
      </c>
    </row>
    <row r="88" spans="1:7" x14ac:dyDescent="0.25">
      <c r="A88" s="52" t="s">
        <v>137</v>
      </c>
      <c r="B88" s="53">
        <v>329.95236</v>
      </c>
      <c r="C88" s="63">
        <f>IF(OR(398.35659="",329.95236=""),"-",329.95236/398.35659*100)</f>
        <v>82.828392521383918</v>
      </c>
      <c r="D88" s="53">
        <f>IF(398.35659="","-",398.35659/2294320.13289*100)</f>
        <v>1.7362729127875329E-2</v>
      </c>
      <c r="E88" s="53">
        <f>IF(329.95236="","-",329.95236/2004915.53426*100)</f>
        <v>1.645717010825511E-2</v>
      </c>
      <c r="F88" s="63">
        <f>IF(OR(2218501.69139="",432.85815="",398.35659=""),"-",(398.35659-432.85815)/2218501.69139*100)</f>
        <v>-1.5551739326546614E-3</v>
      </c>
      <c r="G88" s="63">
        <f>IF(OR(2294320.13289="",329.95236="",398.35659=""),"-",(329.95236-398.35659)/2294320.13289*100)</f>
        <v>-2.9814596934140923E-3</v>
      </c>
    </row>
    <row r="89" spans="1:7" x14ac:dyDescent="0.25">
      <c r="A89" s="52" t="s">
        <v>72</v>
      </c>
      <c r="B89" s="53">
        <v>312.37617</v>
      </c>
      <c r="C89" s="63">
        <f>IF(OR(1362.36235="",312.37617=""),"-",312.37617/1362.36235*100)</f>
        <v>22.929007837011937</v>
      </c>
      <c r="D89" s="53">
        <f>IF(1362.36235="","-",1362.36235/2294320.13289*100)</f>
        <v>5.9379784471660639E-2</v>
      </c>
      <c r="E89" s="53">
        <f>IF(312.37617="","-",312.37617/2004915.53426*100)</f>
        <v>1.5580515221819347E-2</v>
      </c>
      <c r="F89" s="63">
        <f>IF(OR(2218501.69139="",1852.94373="",1362.36235=""),"-",(1362.36235-1852.94373)/2218501.69139*100)</f>
        <v>-2.2113184853721098E-2</v>
      </c>
      <c r="G89" s="63">
        <f>IF(OR(2294320.13289="",312.37617="",1362.36235=""),"-",(312.37617-1362.36235)/2294320.13289*100)</f>
        <v>-4.5764589036552776E-2</v>
      </c>
    </row>
    <row r="90" spans="1:7" x14ac:dyDescent="0.25">
      <c r="A90" s="52" t="s">
        <v>87</v>
      </c>
      <c r="B90" s="53">
        <v>306.14438000000001</v>
      </c>
      <c r="C90" s="63" t="s">
        <v>247</v>
      </c>
      <c r="D90" s="53">
        <f>IF(135.5068="","-",135.5068/2294320.13289*100)</f>
        <v>5.9061853687048995E-3</v>
      </c>
      <c r="E90" s="53">
        <f>IF(306.14438="","-",306.14438/2004915.53426*100)</f>
        <v>1.5269689658671615E-2</v>
      </c>
      <c r="F90" s="63">
        <f>IF(OR(2218501.69139="",274.65585="",135.5068=""),"-",(135.5068-274.65585)/2218501.69139*100)</f>
        <v>-6.2722084251743927E-3</v>
      </c>
      <c r="G90" s="63">
        <f>IF(OR(2294320.13289="",306.14438="",135.5068=""),"-",(306.14438-135.5068)/2294320.13289*100)</f>
        <v>7.4373919120458301E-3</v>
      </c>
    </row>
    <row r="91" spans="1:7" x14ac:dyDescent="0.25">
      <c r="A91" s="52" t="s">
        <v>92</v>
      </c>
      <c r="B91" s="53">
        <v>284.87009999999998</v>
      </c>
      <c r="C91" s="63">
        <f>IF(OR(1176.88262="",284.8701=""),"-",284.8701/1176.88262*100)</f>
        <v>24.205481086975347</v>
      </c>
      <c r="D91" s="53">
        <f>IF(1176.88262="","-",1176.88262/2294320.13289*100)</f>
        <v>5.129548414490704E-2</v>
      </c>
      <c r="E91" s="53">
        <f>IF(284.8701="","-",284.8701/2004915.53426*100)</f>
        <v>1.4208583610238898E-2</v>
      </c>
      <c r="F91" s="63">
        <f>IF(OR(2218501.69139="",1123.36773="",1176.88262=""),"-",(1176.88262-1123.36773)/2218501.69139*100)</f>
        <v>2.4122086635178742E-3</v>
      </c>
      <c r="G91" s="63">
        <f>IF(OR(2294320.13289="",284.8701="",1176.88262=""),"-",(284.8701-1176.88262)/2294320.13289*100)</f>
        <v>-3.8879165431739124E-2</v>
      </c>
    </row>
    <row r="92" spans="1:7" x14ac:dyDescent="0.25">
      <c r="A92" s="52" t="s">
        <v>171</v>
      </c>
      <c r="B92" s="53">
        <v>223.99680000000001</v>
      </c>
      <c r="C92" s="63">
        <f>IF(OR(197.6455="",223.9968=""),"-",223.9968/197.6455*100)</f>
        <v>113.33260812920103</v>
      </c>
      <c r="D92" s="53">
        <f>IF(197.6455="","-",197.6455/2294320.13289*100)</f>
        <v>8.6145563196117405E-3</v>
      </c>
      <c r="E92" s="53">
        <f>IF(223.9968="","-",223.9968/2004915.53426*100)</f>
        <v>1.1172380889485981E-2</v>
      </c>
      <c r="F92" s="63">
        <f>IF(OR(2218501.69139="",149.798="",197.6455=""),"-",(197.6455-149.798)/2218501.69139*100)</f>
        <v>2.1567484120339434E-3</v>
      </c>
      <c r="G92" s="63">
        <f>IF(OR(2294320.13289="",223.9968="",197.6455=""),"-",(223.9968-197.6455)/2294320.13289*100)</f>
        <v>1.1485450361631555E-3</v>
      </c>
    </row>
    <row r="93" spans="1:7" x14ac:dyDescent="0.25">
      <c r="A93" s="52" t="s">
        <v>64</v>
      </c>
      <c r="B93" s="53">
        <v>221.70042000000001</v>
      </c>
      <c r="C93" s="63">
        <f>IF(OR(2348.39035="",221.70042=""),"-",221.70042/2348.39035*100)</f>
        <v>9.4405267846548604</v>
      </c>
      <c r="D93" s="53">
        <f>IF(2348.39035="","-",2348.39035/2294320.13289*100)</f>
        <v>0.10235669889022382</v>
      </c>
      <c r="E93" s="53">
        <f>IF(221.70042="","-",221.70042/2004915.53426*100)</f>
        <v>1.105784339597269E-2</v>
      </c>
      <c r="F93" s="63">
        <f>IF(OR(2218501.69139="",1274.50041="",2348.39035=""),"-",(2348.39035-1274.50041)/2218501.69139*100)</f>
        <v>4.8406090658743441E-2</v>
      </c>
      <c r="G93" s="63">
        <f>IF(OR(2294320.13289="",221.70042="",2348.39035=""),"-",(221.70042-2348.39035)/2294320.13289*100)</f>
        <v>-9.2693687315603707E-2</v>
      </c>
    </row>
    <row r="94" spans="1:7" x14ac:dyDescent="0.25">
      <c r="A94" s="52" t="s">
        <v>75</v>
      </c>
      <c r="B94" s="53">
        <v>215.83129</v>
      </c>
      <c r="C94" s="63">
        <f>IF(OR(711.11685="",215.83129=""),"-",215.83129/711.11685*100)</f>
        <v>30.351030213951475</v>
      </c>
      <c r="D94" s="53">
        <f>IF(711.11685="","-",711.11685/2294320.13289*100)</f>
        <v>3.0994665469994992E-2</v>
      </c>
      <c r="E94" s="53">
        <f>IF(215.83129="","-",215.83129/2004915.53426*100)</f>
        <v>1.0765106375399588E-2</v>
      </c>
      <c r="F94" s="63">
        <f>IF(OR(2218501.69139="",396.83861="",711.11685=""),"-",(711.11685-396.83861)/2218501.69139*100)</f>
        <v>1.4166238467147135E-2</v>
      </c>
      <c r="G94" s="63">
        <f>IF(OR(2294320.13289="",215.83129="",711.11685=""),"-",(215.83129-711.11685)/2294320.13289*100)</f>
        <v>-2.1587465188483628E-2</v>
      </c>
    </row>
    <row r="95" spans="1:7" x14ac:dyDescent="0.25">
      <c r="A95" s="52" t="s">
        <v>102</v>
      </c>
      <c r="B95" s="53">
        <v>214.90947</v>
      </c>
      <c r="C95" s="63">
        <f>IF(OR(477.81045="",214.90947=""),"-",214.90947/477.81045*100)</f>
        <v>44.97797609909955</v>
      </c>
      <c r="D95" s="53">
        <f>IF(477.81045="","-",477.81045/2294320.13289*100)</f>
        <v>2.0825796851555081E-2</v>
      </c>
      <c r="E95" s="53">
        <f>IF(214.90947="","-",214.90947/2004915.53426*100)</f>
        <v>1.0719128378608805E-2</v>
      </c>
      <c r="F95" s="63">
        <f>IF(OR(2218501.69139="",444.85709="",477.81045=""),"-",(477.81045-444.85709)/2218501.69139*100)</f>
        <v>1.4853880944915162E-3</v>
      </c>
      <c r="G95" s="63">
        <f>IF(OR(2294320.13289="",214.90947="",477.81045=""),"-",(214.90947-477.81045)/2294320.13289*100)</f>
        <v>-1.145877492121561E-2</v>
      </c>
    </row>
    <row r="96" spans="1:7" x14ac:dyDescent="0.25">
      <c r="A96" s="52" t="s">
        <v>79</v>
      </c>
      <c r="B96" s="53">
        <v>214.28593000000001</v>
      </c>
      <c r="C96" s="63" t="s">
        <v>242</v>
      </c>
      <c r="D96" s="53">
        <f>IF(98.36857="","-",98.36857/2294320.13289*100)</f>
        <v>4.2874823173038095E-3</v>
      </c>
      <c r="E96" s="53">
        <f>IF(214.28593="","-",214.28593/2004915.53426*100)</f>
        <v>1.0688027816547962E-2</v>
      </c>
      <c r="F96" s="63">
        <f>IF(OR(2218501.69139="",312.21592="",98.36857=""),"-",(98.36857-312.21592)/2218501.69139*100)</f>
        <v>-9.6392691891983261E-3</v>
      </c>
      <c r="G96" s="63">
        <f>IF(OR(2294320.13289="",214.28593="",98.36857=""),"-",(214.28593-98.36857)/2294320.13289*100)</f>
        <v>5.0523620630912886E-3</v>
      </c>
    </row>
    <row r="97" spans="1:7" x14ac:dyDescent="0.25">
      <c r="A97" s="52" t="s">
        <v>84</v>
      </c>
      <c r="B97" s="53">
        <v>212.65667999999999</v>
      </c>
      <c r="C97" s="63">
        <f>IF(OR(686.30107="",212.65668=""),"-",212.65668/686.30107*100)</f>
        <v>30.985917011611246</v>
      </c>
      <c r="D97" s="53">
        <f>IF(686.30107="","-",686.30107/2294320.13289*100)</f>
        <v>2.9913047449725897E-2</v>
      </c>
      <c r="E97" s="53">
        <f>IF(212.65668="","-",212.65668/2004915.53426*100)</f>
        <v>1.0606765041525305E-2</v>
      </c>
      <c r="F97" s="63">
        <f>IF(OR(2218501.69139="",0.81674="",686.30107=""),"-",(686.30107-0.81674)/2218501.69139*100)</f>
        <v>3.0898526364003382E-2</v>
      </c>
      <c r="G97" s="63">
        <f>IF(OR(2294320.13289="",212.65668="",686.30107=""),"-",(212.65668-686.30107)/2294320.13289*100)</f>
        <v>-2.0644215391309936E-2</v>
      </c>
    </row>
    <row r="98" spans="1:7" x14ac:dyDescent="0.25">
      <c r="A98" s="52" t="s">
        <v>145</v>
      </c>
      <c r="B98" s="53">
        <v>191.75360000000001</v>
      </c>
      <c r="C98" s="63">
        <f>IF(OR(251.06181="",191.7536=""),"-",191.7536/251.06181*100)</f>
        <v>76.377048345186395</v>
      </c>
      <c r="D98" s="53">
        <f>IF(251.06181="","-",251.06181/2294320.13289*100)</f>
        <v>1.0942754082175725E-2</v>
      </c>
      <c r="E98" s="53">
        <f>IF(191.7536="","-",191.7536/2004915.53426*100)</f>
        <v>9.564173488773673E-3</v>
      </c>
      <c r="F98" s="63">
        <f>IF(OR(2218501.69139="",658.80202="",251.06181=""),"-",(251.06181-658.80202)/2218501.69139*100)</f>
        <v>-1.8379080420918261E-2</v>
      </c>
      <c r="G98" s="63">
        <f>IF(OR(2294320.13289="",191.7536="",251.06181=""),"-",(191.7536-251.06181)/2294320.13289*100)</f>
        <v>-2.5850015065375146E-3</v>
      </c>
    </row>
    <row r="99" spans="1:7" x14ac:dyDescent="0.25">
      <c r="A99" s="52" t="s">
        <v>172</v>
      </c>
      <c r="B99" s="53">
        <v>184.41676000000001</v>
      </c>
      <c r="C99" s="63" t="str">
        <f>IF(OR(""="",184.41676=""),"-",184.41676/""*100)</f>
        <v>-</v>
      </c>
      <c r="D99" s="53" t="str">
        <f>IF(""="","-",""/2294320.13289*100)</f>
        <v>-</v>
      </c>
      <c r="E99" s="53">
        <f>IF(184.41676="","-",184.41676/2004915.53426*100)</f>
        <v>9.198230890463269E-3</v>
      </c>
      <c r="F99" s="63" t="str">
        <f>IF(OR(2218501.69139="",240.42566="",""=""),"-",(""-240.42566)/2218501.69139*100)</f>
        <v>-</v>
      </c>
      <c r="G99" s="63" t="str">
        <f>IF(OR(2294320.13289="",184.41676="",""=""),"-",(184.41676-"")/2294320.13289*100)</f>
        <v>-</v>
      </c>
    </row>
    <row r="100" spans="1:7" x14ac:dyDescent="0.25">
      <c r="A100" s="52" t="s">
        <v>108</v>
      </c>
      <c r="B100" s="53">
        <v>136.25443999999999</v>
      </c>
      <c r="C100" s="63">
        <f>IF(OR(423.15841="",136.25444=""),"-",136.25444/423.15841*100)</f>
        <v>32.199393130340951</v>
      </c>
      <c r="D100" s="53">
        <f>IF(423.15841="","-",423.15841/2294320.13289*100)</f>
        <v>1.844373868902837E-2</v>
      </c>
      <c r="E100" s="53">
        <f>IF(136.25444="","-",136.25444/2004915.53426*100)</f>
        <v>6.7960189679656764E-3</v>
      </c>
      <c r="F100" s="63">
        <f>IF(OR(2218501.69139="",415.10095="",423.15841=""),"-",(423.15841-415.10095)/2218501.69139*100)</f>
        <v>3.6319377313395686E-4</v>
      </c>
      <c r="G100" s="63">
        <f>IF(OR(2294320.13289="",136.25444="",423.15841=""),"-",(136.25444-423.15841)/2294320.13289*100)</f>
        <v>-1.2504966760615332E-2</v>
      </c>
    </row>
    <row r="101" spans="1:7" x14ac:dyDescent="0.25">
      <c r="A101" s="52" t="s">
        <v>152</v>
      </c>
      <c r="B101" s="53">
        <v>129.72873000000001</v>
      </c>
      <c r="C101" s="63" t="s">
        <v>258</v>
      </c>
      <c r="D101" s="53">
        <f>IF(43.23246="","-",43.23246/2294320.13289*100)</f>
        <v>1.8843255298266941E-3</v>
      </c>
      <c r="E101" s="53">
        <f>IF(129.72873="","-",129.72873/2004915.53426*100)</f>
        <v>6.4705334356083954E-3</v>
      </c>
      <c r="F101" s="63">
        <f>IF(OR(2218501.69139="",134.90109="",43.23246=""),"-",(43.23246-134.90109)/2218501.69139*100)</f>
        <v>-4.1320063156032637E-3</v>
      </c>
      <c r="G101" s="63">
        <f>IF(OR(2294320.13289="",129.72873="",43.23246=""),"-",(129.72873-43.23246)/2294320.13289*100)</f>
        <v>3.7700174775107129E-3</v>
      </c>
    </row>
    <row r="102" spans="1:7" x14ac:dyDescent="0.25">
      <c r="A102" s="52" t="s">
        <v>99</v>
      </c>
      <c r="B102" s="53">
        <v>129.41660999999999</v>
      </c>
      <c r="C102" s="63" t="s">
        <v>105</v>
      </c>
      <c r="D102" s="53">
        <f>IF(79.41187="","-",79.41187/2294320.13289*100)</f>
        <v>3.4612375518829723E-3</v>
      </c>
      <c r="E102" s="53">
        <f>IF(129.41661="","-",129.41661/2004915.53426*100)</f>
        <v>6.4549656974834477E-3</v>
      </c>
      <c r="F102" s="63">
        <f>IF(OR(2218501.69139="",85.68156="",79.41187=""),"-",(79.41187-85.68156)/2218501.69139*100)</f>
        <v>-2.8260920531783518E-4</v>
      </c>
      <c r="G102" s="63">
        <f>IF(OR(2294320.13289="",129.41661="",79.41187=""),"-",(129.41661-79.41187)/2294320.13289*100)</f>
        <v>2.1795014254184487E-3</v>
      </c>
    </row>
    <row r="103" spans="1:7" x14ac:dyDescent="0.25">
      <c r="A103" s="52" t="s">
        <v>91</v>
      </c>
      <c r="B103" s="53">
        <v>118.95241</v>
      </c>
      <c r="C103" s="63">
        <f>IF(OR(109.51939="",118.95241=""),"-",118.95241/109.51939*100)</f>
        <v>108.61310494881317</v>
      </c>
      <c r="D103" s="53">
        <f>IF(109.51939="","-",109.51939/2294320.13289*100)</f>
        <v>4.7735008044429194E-3</v>
      </c>
      <c r="E103" s="53">
        <f>IF(118.95241="","-",118.95241/2004915.53426*100)</f>
        <v>5.933038473059888E-3</v>
      </c>
      <c r="F103" s="63">
        <f>IF(OR(2218501.69139="",130.40643="",109.51939=""),"-",(109.51939-130.40643)/2218501.69139*100)</f>
        <v>-9.4149308432184449E-4</v>
      </c>
      <c r="G103" s="63">
        <f>IF(OR(2294320.13289="",118.95241="",109.51939=""),"-",(118.95241-109.51939)/2294320.13289*100)</f>
        <v>4.1114663401910966E-4</v>
      </c>
    </row>
    <row r="104" spans="1:7" x14ac:dyDescent="0.25">
      <c r="A104" s="52" t="s">
        <v>95</v>
      </c>
      <c r="B104" s="53">
        <v>116.12427</v>
      </c>
      <c r="C104" s="63">
        <f>IF(OR(81.87974="",116.12427=""),"-",116.12427/81.87974*100)</f>
        <v>141.82295889068527</v>
      </c>
      <c r="D104" s="53">
        <f>IF(81.87974="","-",81.87974/2294320.13289*100)</f>
        <v>3.5688018784397636E-3</v>
      </c>
      <c r="E104" s="53">
        <f>IF(116.12427="","-",116.12427/2004915.53426*100)</f>
        <v>5.7919781664448333E-3</v>
      </c>
      <c r="F104" s="63">
        <f>IF(OR(2218501.69139="",23.65="",81.87974=""),"-",(81.87974-23.65)/2218501.69139*100)</f>
        <v>2.6247327295710206E-3</v>
      </c>
      <c r="G104" s="63">
        <f>IF(OR(2294320.13289="",116.12427="",81.87974=""),"-",(116.12427-81.87974)/2294320.13289*100)</f>
        <v>1.4925785425098665E-3</v>
      </c>
    </row>
    <row r="105" spans="1:7" x14ac:dyDescent="0.25">
      <c r="A105" s="52" t="s">
        <v>165</v>
      </c>
      <c r="B105" s="53">
        <v>109.128</v>
      </c>
      <c r="C105" s="63" t="s">
        <v>104</v>
      </c>
      <c r="D105" s="53">
        <f>IF(63.86311="","-",63.86311/2294320.13289*100)</f>
        <v>2.7835309068031389E-3</v>
      </c>
      <c r="E105" s="53">
        <f>IF(109.128="","-",109.128/2004915.53426*100)</f>
        <v>5.4430223186573475E-3</v>
      </c>
      <c r="F105" s="63">
        <f>IF(OR(2218501.69139="",80.10248="",63.86311=""),"-",(63.86311-80.10248)/2218501.69139*100)</f>
        <v>-7.3199718814842291E-4</v>
      </c>
      <c r="G105" s="63">
        <f>IF(OR(2294320.13289="",109.128="",63.86311=""),"-",(109.128-63.86311)/2294320.13289*100)</f>
        <v>1.9729108135830582E-3</v>
      </c>
    </row>
    <row r="106" spans="1:7" x14ac:dyDescent="0.25">
      <c r="A106" s="52" t="s">
        <v>132</v>
      </c>
      <c r="B106" s="53">
        <v>103.21716000000001</v>
      </c>
      <c r="C106" s="63">
        <f>IF(OR(3056.10171="",103.21716=""),"-",103.21716/3056.10171*100)</f>
        <v>3.3774124618385164</v>
      </c>
      <c r="D106" s="53">
        <f>IF(3056.10171="","-",3056.10171/2294320.13289*100)</f>
        <v>0.13320293302532438</v>
      </c>
      <c r="E106" s="53">
        <f>IF(103.21716="","-",103.21716/2004915.53426*100)</f>
        <v>5.1482049111907712E-3</v>
      </c>
      <c r="F106" s="63">
        <f>IF(OR(2218501.69139="",61.34355="",3056.10171=""),"-",(3056.10171-61.34355)/2218501.69139*100)</f>
        <v>0.1349901229114519</v>
      </c>
      <c r="G106" s="63">
        <f>IF(OR(2294320.13289="",103.21716="",3056.10171=""),"-",(103.21716-3056.10171)/2294320.13289*100)</f>
        <v>-0.12870412056579264</v>
      </c>
    </row>
    <row r="107" spans="1:7" x14ac:dyDescent="0.25">
      <c r="A107" s="52" t="s">
        <v>155</v>
      </c>
      <c r="B107" s="53">
        <v>93.004949999999994</v>
      </c>
      <c r="C107" s="63">
        <f>IF(OR(73.67265="",93.00495=""),"-",93.00495/73.67265*100)</f>
        <v>126.24080985277439</v>
      </c>
      <c r="D107" s="53">
        <f>IF(73.67265="","-",73.67265/2294320.13289*100)</f>
        <v>3.2110885025970438E-3</v>
      </c>
      <c r="E107" s="53">
        <f>IF(93.00495="","-",93.00495/2004915.53426*100)</f>
        <v>4.6388462960524389E-3</v>
      </c>
      <c r="F107" s="63">
        <f>IF(OR(2218501.69139="",0.34155="",73.67265=""),"-",(73.67265-0.34155)/2218501.69139*100)</f>
        <v>3.3054335854057651E-3</v>
      </c>
      <c r="G107" s="63">
        <f>IF(OR(2294320.13289="",93.00495="",73.67265=""),"-",(93.00495-73.67265)/2294320.13289*100)</f>
        <v>8.4261562817079057E-4</v>
      </c>
    </row>
    <row r="108" spans="1:7" x14ac:dyDescent="0.25">
      <c r="A108" s="52" t="s">
        <v>177</v>
      </c>
      <c r="B108" s="53">
        <v>72.280500000000004</v>
      </c>
      <c r="C108" s="63">
        <f>IF(OR(406.86074="",72.2805=""),"-",72.2805/406.86074*100)</f>
        <v>17.765415262234445</v>
      </c>
      <c r="D108" s="53">
        <f>IF(406.86074="","-",406.86074/2294320.13289*100)</f>
        <v>1.7733390130151763E-2</v>
      </c>
      <c r="E108" s="53">
        <f>IF(72.2805="","-",72.2805/2004915.53426*100)</f>
        <v>3.6051643455732021E-3</v>
      </c>
      <c r="F108" s="63">
        <f>IF(OR(2218501.69139="",47.72707="",406.86074=""),"-",(406.86074-47.72707)/2218501.69139*100)</f>
        <v>1.6188117926337269E-2</v>
      </c>
      <c r="G108" s="63">
        <f>IF(OR(2294320.13289="",72.2805="",406.86074=""),"-",(72.2805-406.86074)/2294320.13289*100)</f>
        <v>-1.4582979733458203E-2</v>
      </c>
    </row>
    <row r="109" spans="1:7" x14ac:dyDescent="0.25">
      <c r="A109" s="52" t="s">
        <v>74</v>
      </c>
      <c r="B109" s="53">
        <v>70.052369999999996</v>
      </c>
      <c r="C109" s="63" t="str">
        <f>IF(OR(""="",70.05237=""),"-",70.05237/""*100)</f>
        <v>-</v>
      </c>
      <c r="D109" s="53" t="str">
        <f>IF(""="","-",""/2294320.13289*100)</f>
        <v>-</v>
      </c>
      <c r="E109" s="53">
        <f>IF(70.05237="","-",70.05237/2004915.53426*100)</f>
        <v>3.494030985492654E-3</v>
      </c>
      <c r="F109" s="63" t="str">
        <f>IF(OR(2218501.69139="",188.42651="",""=""),"-",(""-188.42651)/2218501.69139*100)</f>
        <v>-</v>
      </c>
      <c r="G109" s="63" t="str">
        <f>IF(OR(2294320.13289="",70.05237="",""=""),"-",(70.05237-"")/2294320.13289*100)</f>
        <v>-</v>
      </c>
    </row>
    <row r="110" spans="1:7" x14ac:dyDescent="0.25">
      <c r="A110" s="52" t="s">
        <v>144</v>
      </c>
      <c r="B110" s="53">
        <v>56.827249999999999</v>
      </c>
      <c r="C110" s="63" t="str">
        <f>IF(OR(""="",56.82725=""),"-",56.82725/""*100)</f>
        <v>-</v>
      </c>
      <c r="D110" s="53" t="str">
        <f>IF(""="","-",""/2294320.13289*100)</f>
        <v>-</v>
      </c>
      <c r="E110" s="53">
        <f>IF(56.82725="","-",56.82725/2004915.53426*100)</f>
        <v>2.8343962141514621E-3</v>
      </c>
      <c r="F110" s="63" t="str">
        <f>IF(OR(2218501.69139="",""="",""=""),"-",(""-"")/2218501.69139*100)</f>
        <v>-</v>
      </c>
      <c r="G110" s="63" t="str">
        <f>IF(OR(2294320.13289="",56.82725="",""=""),"-",(56.82725-"")/2294320.13289*100)</f>
        <v>-</v>
      </c>
    </row>
    <row r="111" spans="1:7" x14ac:dyDescent="0.25">
      <c r="A111" s="54" t="s">
        <v>70</v>
      </c>
      <c r="B111" s="55">
        <v>50.822099999999999</v>
      </c>
      <c r="C111" s="65">
        <f>IF(OR(236.3049="",50.8221=""),"-",50.8221/236.3049*100)</f>
        <v>21.507002182350003</v>
      </c>
      <c r="D111" s="55">
        <f>IF(236.3049="","-",236.3049/2294320.13289*100)</f>
        <v>1.0299560929291183E-2</v>
      </c>
      <c r="E111" s="55">
        <f>IF(50.8221="","-",50.8221/2004915.53426*100)</f>
        <v>2.5348748678710831E-3</v>
      </c>
      <c r="F111" s="65">
        <f>IF(OR(2218501.69139="",53.52752="",236.3049=""),"-",(236.3049-53.52752)/2218501.69139*100)</f>
        <v>8.2387757786869659E-3</v>
      </c>
      <c r="G111" s="65">
        <f>IF(OR(2294320.13289="",50.8221="",236.3049=""),"-",(50.8221-236.3049)/2294320.13289*100)</f>
        <v>-8.0844341354560593E-3</v>
      </c>
    </row>
    <row r="112" spans="1:7" x14ac:dyDescent="0.25">
      <c r="A112" s="56" t="s">
        <v>256</v>
      </c>
      <c r="B112" s="57">
        <v>50.405160000000002</v>
      </c>
      <c r="C112" s="66" t="s">
        <v>104</v>
      </c>
      <c r="D112" s="57">
        <f>IF(30.4369="","-",30.4369/2294320.13289*100)</f>
        <v>1.3266195751706496E-3</v>
      </c>
      <c r="E112" s="57">
        <f>IF(50.40516="","-",50.40516/2004915.53426*100)</f>
        <v>2.5140789793223974E-3</v>
      </c>
      <c r="F112" s="66">
        <f>IF(OR(2218501.69139="",74.18292="",30.4369=""),"-",(30.4369-74.18292)/2218501.69139*100)</f>
        <v>-1.9718722852354906E-3</v>
      </c>
      <c r="G112" s="66">
        <f>IF(OR(2294320.13289="",50.40516="",30.4369=""),"-",(50.40516-30.4369)/2294320.13289*100)</f>
        <v>8.7033451495050656E-4</v>
      </c>
    </row>
    <row r="113" spans="1:1" x14ac:dyDescent="0.25">
      <c r="A113" s="37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3"/>
  <sheetViews>
    <sheetView zoomScaleNormal="100" workbookViewId="0">
      <selection activeCell="C60" sqref="C60"/>
    </sheetView>
  </sheetViews>
  <sheetFormatPr defaultRowHeight="15.75" x14ac:dyDescent="0.25"/>
  <cols>
    <col min="1" max="1" width="27.5" customWidth="1"/>
    <col min="2" max="2" width="12.875" customWidth="1"/>
    <col min="3" max="3" width="10.625" customWidth="1"/>
    <col min="4" max="4" width="9.125" customWidth="1"/>
    <col min="5" max="5" width="9.5" customWidth="1"/>
    <col min="6" max="6" width="9.875" customWidth="1"/>
    <col min="7" max="7" width="10.25" customWidth="1"/>
  </cols>
  <sheetData>
    <row r="1" spans="1:7" x14ac:dyDescent="0.25">
      <c r="A1" s="103" t="s">
        <v>158</v>
      </c>
      <c r="B1" s="103"/>
      <c r="C1" s="103"/>
      <c r="D1" s="103"/>
      <c r="E1" s="103"/>
      <c r="F1" s="103"/>
      <c r="G1" s="103"/>
    </row>
    <row r="2" spans="1:7" x14ac:dyDescent="0.25">
      <c r="A2" s="2"/>
    </row>
    <row r="3" spans="1:7" ht="55.5" customHeight="1" x14ac:dyDescent="0.25">
      <c r="A3" s="91"/>
      <c r="B3" s="94" t="s">
        <v>271</v>
      </c>
      <c r="C3" s="95"/>
      <c r="D3" s="94" t="s">
        <v>109</v>
      </c>
      <c r="E3" s="95"/>
      <c r="F3" s="96" t="s">
        <v>121</v>
      </c>
      <c r="G3" s="97"/>
    </row>
    <row r="4" spans="1:7" ht="21" customHeight="1" x14ac:dyDescent="0.25">
      <c r="A4" s="92"/>
      <c r="B4" s="98" t="s">
        <v>100</v>
      </c>
      <c r="C4" s="100" t="s">
        <v>274</v>
      </c>
      <c r="D4" s="102" t="s">
        <v>273</v>
      </c>
      <c r="E4" s="102"/>
      <c r="F4" s="102" t="s">
        <v>273</v>
      </c>
      <c r="G4" s="94"/>
    </row>
    <row r="5" spans="1:7" ht="33.75" customHeight="1" x14ac:dyDescent="0.25">
      <c r="A5" s="93"/>
      <c r="B5" s="99"/>
      <c r="C5" s="101"/>
      <c r="D5" s="28">
        <v>2019</v>
      </c>
      <c r="E5" s="28">
        <v>2020</v>
      </c>
      <c r="F5" s="28" t="s">
        <v>122</v>
      </c>
      <c r="G5" s="27" t="s">
        <v>141</v>
      </c>
    </row>
    <row r="6" spans="1:7" s="3" customFormat="1" ht="15" x14ac:dyDescent="0.25">
      <c r="A6" s="49" t="s">
        <v>133</v>
      </c>
      <c r="B6" s="50">
        <v>4325623.55461</v>
      </c>
      <c r="C6" s="61">
        <f>IF(4798692.63363="","-",4325623.55461/4798692.63363*100)</f>
        <v>90.141709104170232</v>
      </c>
      <c r="D6" s="50">
        <v>100</v>
      </c>
      <c r="E6" s="50">
        <v>100</v>
      </c>
      <c r="F6" s="61">
        <f>IF(4718168.92486="","-",(4798692.63363-4718168.92486)/4718168.92486*100)</f>
        <v>1.7066728650964893</v>
      </c>
      <c r="G6" s="61">
        <f>IF(4798692.63363="","-",(4325623.55461-4798692.63363)/4798692.63363*100)</f>
        <v>-9.8582908958297679</v>
      </c>
    </row>
    <row r="7" spans="1:7" s="3" customFormat="1" ht="15" x14ac:dyDescent="0.25">
      <c r="A7" s="41" t="s">
        <v>138</v>
      </c>
      <c r="B7" s="34"/>
      <c r="C7" s="47"/>
      <c r="D7" s="34"/>
      <c r="E7" s="34"/>
      <c r="F7" s="47"/>
      <c r="G7" s="47"/>
    </row>
    <row r="8" spans="1:7" ht="12.75" customHeight="1" x14ac:dyDescent="0.25">
      <c r="A8" s="42" t="s">
        <v>167</v>
      </c>
      <c r="B8" s="51">
        <v>1982108.89482</v>
      </c>
      <c r="C8" s="62">
        <f>IF(2344405.60061="","-",1982108.89482/2344405.60061*100)</f>
        <v>84.546329965440592</v>
      </c>
      <c r="D8" s="51">
        <f>IF(2344405.60061="","-",2344405.60061/4798692.63363*100)</f>
        <v>48.85508990886462</v>
      </c>
      <c r="E8" s="51">
        <f>IF(1982108.89482="","-",1982108.89482/4325623.55461*100)</f>
        <v>45.822500959603445</v>
      </c>
      <c r="F8" s="62">
        <f>IF(4718168.92486="","-",(2344405.60061-2328117.60365)/4718168.92486*100)</f>
        <v>0.34521860534027915</v>
      </c>
      <c r="G8" s="62">
        <f>IF(4798692.63363="","-",(1982108.89482-2344405.60061)/4798692.63363*100)</f>
        <v>-7.5499043896032685</v>
      </c>
    </row>
    <row r="9" spans="1:7" x14ac:dyDescent="0.25">
      <c r="A9" s="58" t="s">
        <v>2</v>
      </c>
      <c r="B9" s="53">
        <v>513298.57390000002</v>
      </c>
      <c r="C9" s="63">
        <f>IF(OR(701357.34308="",513298.5739=""),"-",513298.5739/701357.34308*100)</f>
        <v>73.186454660310133</v>
      </c>
      <c r="D9" s="53">
        <f>IF(701357.34308="","-",701357.34308/4798692.63363*100)</f>
        <v>14.615592133673584</v>
      </c>
      <c r="E9" s="53">
        <f>IF(513298.5739="","-",513298.5739/4325623.55461*100)</f>
        <v>11.866464277802354</v>
      </c>
      <c r="F9" s="63">
        <f>IF(OR(4718168.92486="",704860.97046="",701357.34308=""),"-",(701357.34308-704860.97046)/4718168.92486*100)</f>
        <v>-7.4258201344580374E-2</v>
      </c>
      <c r="G9" s="63">
        <f>IF(OR(4798692.63363="",513298.5739="",701357.34308=""),"-",(513298.5739-701357.34308)/4798692.63363*100)</f>
        <v>-3.9189584234267119</v>
      </c>
    </row>
    <row r="10" spans="1:7" s="9" customFormat="1" x14ac:dyDescent="0.25">
      <c r="A10" s="58" t="s">
        <v>4</v>
      </c>
      <c r="B10" s="53">
        <v>361409.66105</v>
      </c>
      <c r="C10" s="63">
        <f>IF(OR(399024.58471="",361409.66105=""),"-",361409.66105/399024.58471*100)</f>
        <v>90.573281672020912</v>
      </c>
      <c r="D10" s="53">
        <f>IF(399024.58471="","-",399024.58471/4798692.63363*100)</f>
        <v>8.31527699677142</v>
      </c>
      <c r="E10" s="53">
        <f>IF(361409.66105="","-",361409.66105/4325623.55461*100)</f>
        <v>8.3550881505819081</v>
      </c>
      <c r="F10" s="63">
        <f>IF(OR(4718168.92486="",401638.28799="",399024.58471=""),"-",(399024.58471-401638.28799)/4718168.92486*100)</f>
        <v>-5.5396560013533498E-2</v>
      </c>
      <c r="G10" s="63">
        <f>IF(OR(4798692.63363="",361409.66105="",399024.58471=""),"-",(361409.66105-399024.58471)/4798692.63363*100)</f>
        <v>-0.78385774067688085</v>
      </c>
    </row>
    <row r="11" spans="1:7" s="9" customFormat="1" x14ac:dyDescent="0.25">
      <c r="A11" s="58" t="s">
        <v>3</v>
      </c>
      <c r="B11" s="53">
        <v>277660.89158</v>
      </c>
      <c r="C11" s="63">
        <f>IF(OR(336243.34045="",277660.89158=""),"-",277660.89158/336243.34045*100)</f>
        <v>82.577365311801216</v>
      </c>
      <c r="D11" s="53">
        <f>IF(336243.34045="","-",336243.34045/4798692.63363*100)</f>
        <v>7.0069780692673094</v>
      </c>
      <c r="E11" s="53">
        <f>IF(277660.89158="","-",277660.89158/4325623.55461*100)</f>
        <v>6.4189795546143875</v>
      </c>
      <c r="F11" s="63">
        <f>IF(OR(4718168.92486="",325485.80221="",336243.34045=""),"-",(336243.34045-325485.80221)/4718168.92486*100)</f>
        <v>0.22800239693239105</v>
      </c>
      <c r="G11" s="63">
        <f>IF(OR(4798692.63363="",277660.89158="",336243.34045=""),"-",(277660.89158-336243.34045)/4798692.63363*100)</f>
        <v>-1.2208001916906475</v>
      </c>
    </row>
    <row r="12" spans="1:7" s="9" customFormat="1" x14ac:dyDescent="0.25">
      <c r="A12" s="58" t="s">
        <v>5</v>
      </c>
      <c r="B12" s="53">
        <v>175370.78597999999</v>
      </c>
      <c r="C12" s="63">
        <f>IF(OR(164485.2882="",175370.78598=""),"-",175370.78598/164485.2882*100)</f>
        <v>106.61791574135442</v>
      </c>
      <c r="D12" s="53">
        <f>IF(164485.2882="","-",164485.2882/4798692.63363*100)</f>
        <v>3.4277104361146407</v>
      </c>
      <c r="E12" s="53">
        <f>IF(175370.78598="","-",175370.78598/4325623.55461*100)</f>
        <v>4.0542313441284072</v>
      </c>
      <c r="F12" s="63">
        <f>IF(OR(4718168.92486="",166181.85778="",164485.2882=""),"-",(164485.2882-166181.85778)/4718168.92486*100)</f>
        <v>-3.5958220382080172E-2</v>
      </c>
      <c r="G12" s="63">
        <f>IF(OR(4798692.63363="",175370.78598="",164485.2882=""),"-",(175370.78598-164485.2882)/4798692.63363*100)</f>
        <v>0.22684298851967885</v>
      </c>
    </row>
    <row r="13" spans="1:7" s="9" customFormat="1" x14ac:dyDescent="0.25">
      <c r="A13" s="58" t="s">
        <v>125</v>
      </c>
      <c r="B13" s="53">
        <v>98325.387279999995</v>
      </c>
      <c r="C13" s="63">
        <f>IF(OR(119578.059="",98325.38728=""),"-",98325.38728/119578.059*100)</f>
        <v>82.226947068943474</v>
      </c>
      <c r="D13" s="53">
        <f>IF(119578.059="","-",119578.059/4798692.63363*100)</f>
        <v>2.4918882731095957</v>
      </c>
      <c r="E13" s="53">
        <f>IF(98325.38728="","-",98325.38728/4325623.55461*100)</f>
        <v>2.2730916372787564</v>
      </c>
      <c r="F13" s="63">
        <f>IF(OR(4718168.92486="",111446.15686="",119578.059=""),"-",(119578.059-111446.15686)/4718168.92486*100)</f>
        <v>0.1723529248211749</v>
      </c>
      <c r="G13" s="63">
        <f>IF(OR(4798692.63363="",98325.38728="",119578.059=""),"-",(98325.38728-119578.059)/4798692.63363*100)</f>
        <v>-0.44288462176255877</v>
      </c>
    </row>
    <row r="14" spans="1:7" s="9" customFormat="1" x14ac:dyDescent="0.25">
      <c r="A14" s="58" t="s">
        <v>43</v>
      </c>
      <c r="B14" s="53">
        <v>82963.548219999997</v>
      </c>
      <c r="C14" s="63">
        <f>IF(OR(93328.59869="",82963.54822=""),"-",82963.54822/93328.59869*100)</f>
        <v>88.894025394693301</v>
      </c>
      <c r="D14" s="53">
        <f>IF(93328.59869="","-",93328.59869/4798692.63363*100)</f>
        <v>1.9448755278872909</v>
      </c>
      <c r="E14" s="53">
        <f>IF(82963.54822="","-",82963.54822/4325623.55461*100)</f>
        <v>1.9179558085118671</v>
      </c>
      <c r="F14" s="63">
        <f>IF(OR(4718168.92486="",94697.40823="",93328.59869=""),"-",(93328.59869-94697.40823)/4718168.92486*100)</f>
        <v>-2.9011456812996966E-2</v>
      </c>
      <c r="G14" s="63">
        <f>IF(OR(4798692.63363="",82963.54822="",93328.59869=""),"-",(82963.54822-93328.59869)/4798692.63363*100)</f>
        <v>-0.21599738223198714</v>
      </c>
    </row>
    <row r="15" spans="1:7" s="9" customFormat="1" x14ac:dyDescent="0.25">
      <c r="A15" s="58" t="s">
        <v>7</v>
      </c>
      <c r="B15" s="53">
        <v>76388.785359999994</v>
      </c>
      <c r="C15" s="63">
        <f>IF(OR(93235.99267="",76388.78536=""),"-",76388.78536/93235.99267*100)</f>
        <v>81.930575491774832</v>
      </c>
      <c r="D15" s="53">
        <f>IF(93235.99267="","-",93235.99267/4798692.63363*100)</f>
        <v>1.9429457101833814</v>
      </c>
      <c r="E15" s="53">
        <f>IF(76388.78536="","-",76388.78536/4325623.55461*100)</f>
        <v>1.7659600840343408</v>
      </c>
      <c r="F15" s="63">
        <f>IF(OR(4718168.92486="",70803.01415="",93235.99267=""),"-",(93235.99267-70803.01415)/4718168.92486*100)</f>
        <v>0.4754594182035492</v>
      </c>
      <c r="G15" s="63">
        <f>IF(OR(4798692.63363="",76388.78536="",93235.99267=""),"-",(76388.78536-93235.99267)/4798692.63363*100)</f>
        <v>-0.35107910833738565</v>
      </c>
    </row>
    <row r="16" spans="1:7" s="9" customFormat="1" x14ac:dyDescent="0.25">
      <c r="A16" s="58" t="s">
        <v>41</v>
      </c>
      <c r="B16" s="53">
        <v>62854.501770000003</v>
      </c>
      <c r="C16" s="63">
        <f>IF(OR(66680.15756="",62854.50177=""),"-",62854.50177/66680.15756*100)</f>
        <v>94.262677339120543</v>
      </c>
      <c r="D16" s="53">
        <f>IF(66680.15756="","-",66680.15756/4798692.63363*100)</f>
        <v>1.3895484176814092</v>
      </c>
      <c r="E16" s="53">
        <f>IF(62854.50177="","-",62854.50177/4325623.55461*100)</f>
        <v>1.4530737817675627</v>
      </c>
      <c r="F16" s="63">
        <f>IF(OR(4718168.92486="",63261.34573="",66680.15756=""),"-",(66680.15756-63261.34573)/4718168.92486*100)</f>
        <v>7.2460564351274279E-2</v>
      </c>
      <c r="G16" s="63">
        <f>IF(OR(4798692.63363="",62854.50177="",66680.15756=""),"-",(62854.50177-66680.15756)/4798692.63363*100)</f>
        <v>-7.9722876251527366E-2</v>
      </c>
    </row>
    <row r="17" spans="1:7" s="9" customFormat="1" x14ac:dyDescent="0.25">
      <c r="A17" s="58" t="s">
        <v>6</v>
      </c>
      <c r="B17" s="53">
        <v>51904.091999999997</v>
      </c>
      <c r="C17" s="63">
        <f>IF(OR(47747.56646="",51904.092=""),"-",51904.092/47747.56646*100)</f>
        <v>108.70520918271735</v>
      </c>
      <c r="D17" s="53">
        <f>IF(47747.56646="","-",47747.56646/4798692.63363*100)</f>
        <v>0.99501197733268998</v>
      </c>
      <c r="E17" s="53">
        <f>IF(51904.092="","-",51904.092/4325623.55461*100)</f>
        <v>1.1999216146463696</v>
      </c>
      <c r="F17" s="63">
        <f>IF(OR(4718168.92486="",54630.62425="",47747.56646=""),"-",(47747.56646-54630.62425)/4718168.92486*100)</f>
        <v>-0.1458840897733274</v>
      </c>
      <c r="G17" s="63">
        <f>IF(OR(4798692.63363="",51904.092="",47747.56646=""),"-",(51904.092-47747.56646)/4798692.63363*100)</f>
        <v>8.6617874019902924E-2</v>
      </c>
    </row>
    <row r="18" spans="1:7" s="9" customFormat="1" x14ac:dyDescent="0.25">
      <c r="A18" s="58" t="s">
        <v>8</v>
      </c>
      <c r="B18" s="53">
        <v>49264.683149999997</v>
      </c>
      <c r="C18" s="63">
        <f>IF(OR(77995.20255="",49264.68315=""),"-",49264.68315/77995.20255*100)</f>
        <v>63.163735126424129</v>
      </c>
      <c r="D18" s="53">
        <f>IF(77995.20255="","-",77995.20255/4798692.63363*100)</f>
        <v>1.6253427444674666</v>
      </c>
      <c r="E18" s="53">
        <f>IF(49264.68315="","-",49264.68315/4325623.55461*100)</f>
        <v>1.1389036176644762</v>
      </c>
      <c r="F18" s="63">
        <f>IF(OR(4718168.92486="",88073.26069="",77995.20255=""),"-",(77995.20255-88073.26069)/4718168.92486*100)</f>
        <v>-0.21360104524657383</v>
      </c>
      <c r="G18" s="63">
        <f>IF(OR(4798692.63363="",49264.68315="",77995.20255=""),"-",(49264.68315-77995.20255)/4798692.63363*100)</f>
        <v>-0.59871555845548352</v>
      </c>
    </row>
    <row r="19" spans="1:7" s="9" customFormat="1" x14ac:dyDescent="0.25">
      <c r="A19" s="58" t="s">
        <v>10</v>
      </c>
      <c r="B19" s="53">
        <v>46108.857709999997</v>
      </c>
      <c r="C19" s="63">
        <f>IF(OR(47528.18611="",46108.85771=""),"-",46108.85771/47528.18611*100)</f>
        <v>97.013712249158658</v>
      </c>
      <c r="D19" s="53">
        <f>IF(47528.18611="","-",47528.18611/4798692.63363*100)</f>
        <v>0.99044030819800644</v>
      </c>
      <c r="E19" s="53">
        <f>IF(46108.85771="","-",46108.85771/4325623.55461*100)</f>
        <v>1.0659470739394286</v>
      </c>
      <c r="F19" s="63">
        <f>IF(OR(4718168.92486="",48993.59018="",47528.18611=""),"-",(47528.18611-48993.59018)/4718168.92486*100)</f>
        <v>-3.1058745317040108E-2</v>
      </c>
      <c r="G19" s="63">
        <f>IF(OR(4798692.63363="",46108.85771="",47528.18611=""),"-",(46108.85771-47528.18611)/4798692.63363*100)</f>
        <v>-2.9577397603112295E-2</v>
      </c>
    </row>
    <row r="20" spans="1:7" s="9" customFormat="1" ht="15.75" customHeight="1" x14ac:dyDescent="0.25">
      <c r="A20" s="58" t="s">
        <v>42</v>
      </c>
      <c r="B20" s="53">
        <v>32387.68722</v>
      </c>
      <c r="C20" s="63">
        <f>IF(OR(34319.66967="",32387.68722=""),"-",32387.68722/34319.66967*100)</f>
        <v>94.37062632427137</v>
      </c>
      <c r="D20" s="53">
        <f>IF(34319.66967="","-",34319.66967/4798692.63363*100)</f>
        <v>0.71518791242186064</v>
      </c>
      <c r="E20" s="53">
        <f>IF(32387.68722="","-",32387.68722/4325623.55461*100)</f>
        <v>0.74874031017985998</v>
      </c>
      <c r="F20" s="63">
        <f>IF(OR(4718168.92486="",38515.8062="",34319.66967=""),"-",(34319.66967-38515.8062)/4718168.92486*100)</f>
        <v>-8.8935699353420383E-2</v>
      </c>
      <c r="G20" s="63">
        <f>IF(OR(4798692.63363="",32387.68722="",34319.66967=""),"-",(32387.68722-34319.66967)/4798692.63363*100)</f>
        <v>-4.0260600073869356E-2</v>
      </c>
    </row>
    <row r="21" spans="1:7" s="9" customFormat="1" x14ac:dyDescent="0.25">
      <c r="A21" s="58" t="s">
        <v>45</v>
      </c>
      <c r="B21" s="53">
        <v>23964.91159</v>
      </c>
      <c r="C21" s="63">
        <f>IF(OR(27618.81841="",23964.91159=""),"-",23964.91159/27618.81841*100)</f>
        <v>86.770227582665072</v>
      </c>
      <c r="D21" s="53">
        <f>IF(27618.81841="","-",27618.81841/4798692.63363*100)</f>
        <v>0.57554881128336777</v>
      </c>
      <c r="E21" s="53">
        <f>IF(23964.91159="","-",23964.91159/4325623.55461*100)</f>
        <v>0.55402212623101654</v>
      </c>
      <c r="F21" s="63">
        <f>IF(OR(4718168.92486="",26830.30568="",27618.81841=""),"-",(27618.81841-26830.30568)/4718168.92486*100)</f>
        <v>1.6712261526825169E-2</v>
      </c>
      <c r="G21" s="63">
        <f>IF(OR(4798692.63363="",23964.91159="",27618.81841=""),"-",(23964.91159-27618.81841)/4798692.63363*100)</f>
        <v>-7.6143797883466022E-2</v>
      </c>
    </row>
    <row r="22" spans="1:7" s="9" customFormat="1" x14ac:dyDescent="0.25">
      <c r="A22" s="58" t="s">
        <v>53</v>
      </c>
      <c r="B22" s="53">
        <v>21156.799169999998</v>
      </c>
      <c r="C22" s="63">
        <f>IF(OR(18916.44895="",21156.79917=""),"-",21156.79917/18916.44895*100)</f>
        <v>111.84339738352422</v>
      </c>
      <c r="D22" s="53">
        <f>IF(18916.44895="","-",18916.44895/4798692.63363*100)</f>
        <v>0.39420005393616009</v>
      </c>
      <c r="E22" s="53">
        <f>IF(21156.79917="","-",21156.79917/4325623.55461*100)</f>
        <v>0.48910403096571592</v>
      </c>
      <c r="F22" s="63">
        <f>IF(OR(4718168.92486="",18628.06435="",18916.44895=""),"-",(18916.44895-18628.06435)/4718168.92486*100)</f>
        <v>6.1122143906400797E-3</v>
      </c>
      <c r="G22" s="63">
        <f>IF(OR(4798692.63363="",21156.79917="",18916.44895=""),"-",(21156.79917-18916.44895)/4798692.63363*100)</f>
        <v>4.6686678873726281E-2</v>
      </c>
    </row>
    <row r="23" spans="1:7" s="9" customFormat="1" x14ac:dyDescent="0.25">
      <c r="A23" s="58" t="s">
        <v>9</v>
      </c>
      <c r="B23" s="53">
        <v>19622.916590000001</v>
      </c>
      <c r="C23" s="63">
        <f>IF(OR(18324.46215="",19622.91659=""),"-",19622.91659/18324.46215*100)</f>
        <v>107.08590751188842</v>
      </c>
      <c r="D23" s="53">
        <f>IF(18324.46215="","-",18324.46215/4798692.63363*100)</f>
        <v>0.38186363555730279</v>
      </c>
      <c r="E23" s="53">
        <f>IF(19622.91659="","-",19622.91659/4325623.55461*100)</f>
        <v>0.45364365026834169</v>
      </c>
      <c r="F23" s="63">
        <f>IF(OR(4718168.92486="",19317.43087="",18324.46215=""),"-",(18324.46215-19317.43087)/4718168.92486*100)</f>
        <v>-2.1045637318495646E-2</v>
      </c>
      <c r="G23" s="63">
        <f>IF(OR(4798692.63363="",19622.91659="",18324.46215=""),"-",(19622.91659-18324.46215)/4798692.63363*100)</f>
        <v>2.7058504037125165E-2</v>
      </c>
    </row>
    <row r="24" spans="1:7" s="9" customFormat="1" x14ac:dyDescent="0.25">
      <c r="A24" s="58" t="s">
        <v>51</v>
      </c>
      <c r="B24" s="53">
        <v>17510.659950000001</v>
      </c>
      <c r="C24" s="63">
        <f>IF(OR(20423.61853="",17510.65995=""),"-",17510.65995/20423.61853*100)</f>
        <v>85.737304211194555</v>
      </c>
      <c r="D24" s="53">
        <f>IF(20423.61853="","-",20423.61853/4798692.63363*100)</f>
        <v>0.42560797469852596</v>
      </c>
      <c r="E24" s="53">
        <f>IF(17510.65995="","-",17510.65995/4325623.55461*100)</f>
        <v>0.4048123866751685</v>
      </c>
      <c r="F24" s="63">
        <f>IF(OR(4718168.92486="",21078.95704="",20423.61853=""),"-",(20423.61853-21078.95704)/4718168.92486*100)</f>
        <v>-1.3889678823219478E-2</v>
      </c>
      <c r="G24" s="63">
        <f>IF(OR(4798692.63363="",17510.65995="",20423.61853=""),"-",(17510.65995-20423.61853)/4798692.63363*100)</f>
        <v>-6.0703170684146809E-2</v>
      </c>
    </row>
    <row r="25" spans="1:7" s="9" customFormat="1" x14ac:dyDescent="0.25">
      <c r="A25" s="58" t="s">
        <v>52</v>
      </c>
      <c r="B25" s="53">
        <v>15888.29471</v>
      </c>
      <c r="C25" s="63">
        <f>IF(OR(16244.13994="",15888.29471=""),"-",15888.29471/16244.13994*100)</f>
        <v>97.809393225407049</v>
      </c>
      <c r="D25" s="53">
        <f>IF(16244.13994="","-",16244.13994/4798692.63363*100)</f>
        <v>0.33851178185821879</v>
      </c>
      <c r="E25" s="53">
        <f>IF(15888.29471="","-",15888.29471/4325623.55461*100)</f>
        <v>0.36730645904374115</v>
      </c>
      <c r="F25" s="63">
        <f>IF(OR(4718168.92486="",14260.50028="",16244.13994=""),"-",(16244.13994-14260.50028)/4718168.92486*100)</f>
        <v>4.2042573964408421E-2</v>
      </c>
      <c r="G25" s="63">
        <f>IF(OR(4798692.63363="",15888.29471="",16244.13994=""),"-",(15888.29471-16244.13994)/4798692.63363*100)</f>
        <v>-7.4154620261814453E-3</v>
      </c>
    </row>
    <row r="26" spans="1:7" s="9" customFormat="1" x14ac:dyDescent="0.25">
      <c r="A26" s="58" t="s">
        <v>44</v>
      </c>
      <c r="B26" s="53">
        <v>11011.42542</v>
      </c>
      <c r="C26" s="63">
        <f>IF(OR(13263.15546="",11011.42542=""),"-",11011.42542/13263.15546*100)</f>
        <v>83.022667216780093</v>
      </c>
      <c r="D26" s="53">
        <f>IF(13263.15546="","-",13263.15546/4798692.63363*100)</f>
        <v>0.27639101881728578</v>
      </c>
      <c r="E26" s="53">
        <f>IF(11011.42542="","-",11011.42542/4325623.55461*100)</f>
        <v>0.25456273022798431</v>
      </c>
      <c r="F26" s="63">
        <f>IF(OR(4718168.92486="",11472.87879="",13263.15546=""),"-",(13263.15546-11472.87879)/4718168.92486*100)</f>
        <v>3.7944310568598844E-2</v>
      </c>
      <c r="G26" s="63">
        <f>IF(OR(4798692.63363="",11011.42542="",13263.15546=""),"-",(11011.42542-13263.15546)/4798692.63363*100)</f>
        <v>-4.6923823047542543E-2</v>
      </c>
    </row>
    <row r="27" spans="1:7" s="9" customFormat="1" x14ac:dyDescent="0.25">
      <c r="A27" s="58" t="s">
        <v>49</v>
      </c>
      <c r="B27" s="53">
        <v>10377.258809999999</v>
      </c>
      <c r="C27" s="63">
        <f>IF(OR(10595.87797="",10377.25881=""),"-",10377.25881/10595.87797*100)</f>
        <v>97.936752757827392</v>
      </c>
      <c r="D27" s="53">
        <f>IF(10595.87797="","-",10595.87797/4798692.63363*100)</f>
        <v>0.22080759863097721</v>
      </c>
      <c r="E27" s="53">
        <f>IF(10377.25881="","-",10377.25881/4325623.55461*100)</f>
        <v>0.23990203213454664</v>
      </c>
      <c r="F27" s="63">
        <f>IF(OR(4718168.92486="",13119.49755="",10595.87797=""),"-",(10595.87797-13119.49755)/4718168.92486*100)</f>
        <v>-5.3487266356722976E-2</v>
      </c>
      <c r="G27" s="63">
        <f>IF(OR(4798692.63363="",10377.25881="",10595.87797=""),"-",(10377.25881-10595.87797)/4798692.63363*100)</f>
        <v>-4.5558066892612045E-3</v>
      </c>
    </row>
    <row r="28" spans="1:7" s="9" customFormat="1" x14ac:dyDescent="0.25">
      <c r="A28" s="58" t="s">
        <v>50</v>
      </c>
      <c r="B28" s="53">
        <v>9891.9839100000008</v>
      </c>
      <c r="C28" s="63">
        <f>IF(OR(11527.86011="",9891.98391=""),"-",9891.98391/11527.86011*100)</f>
        <v>85.809368049314415</v>
      </c>
      <c r="D28" s="53">
        <f>IF(11527.86011="","-",11527.86011/4798692.63363*100)</f>
        <v>0.24022918303228938</v>
      </c>
      <c r="E28" s="53">
        <f>IF(9891.98391="","-",9891.98391/4325623.55461*100)</f>
        <v>0.22868342067024522</v>
      </c>
      <c r="F28" s="63">
        <f>IF(OR(4718168.92486="",11316.85907="",11527.86011=""),"-",(11527.86011-11316.85907)/4718168.92486*100)</f>
        <v>4.4720959202676309E-3</v>
      </c>
      <c r="G28" s="63">
        <f>IF(OR(4798692.63363="",9891.98391="",11527.86011=""),"-",(9891.98391-11527.86011)/4798692.63363*100)</f>
        <v>-3.4090039202251017E-2</v>
      </c>
    </row>
    <row r="29" spans="1:7" s="9" customFormat="1" x14ac:dyDescent="0.25">
      <c r="A29" s="58" t="s">
        <v>46</v>
      </c>
      <c r="B29" s="53">
        <v>9512.1605099999997</v>
      </c>
      <c r="C29" s="63">
        <f>IF(OR(9009.0761="",9512.16051=""),"-",9512.16051/9009.0761*100)</f>
        <v>105.58419536493868</v>
      </c>
      <c r="D29" s="53">
        <f>IF(9009.0761="","-",9009.0761/4798692.63363*100)</f>
        <v>0.18774021984369169</v>
      </c>
      <c r="E29" s="53">
        <f>IF(9512.16051="","-",9512.16051/4325623.55461*100)</f>
        <v>0.21990264270367421</v>
      </c>
      <c r="F29" s="63">
        <f>IF(OR(4718168.92486="",9609.89673="",9009.0761=""),"-",(9009.0761-9609.89673)/4718168.92486*100)</f>
        <v>-1.273419073306766E-2</v>
      </c>
      <c r="G29" s="63">
        <f>IF(OR(4798692.63363="",9512.16051="",9009.0761=""),"-",(9512.16051-9009.0761)/4798692.63363*100)</f>
        <v>1.0483780654637141E-2</v>
      </c>
    </row>
    <row r="30" spans="1:7" s="9" customFormat="1" x14ac:dyDescent="0.25">
      <c r="A30" s="58" t="s">
        <v>54</v>
      </c>
      <c r="B30" s="53">
        <v>5463.0747199999996</v>
      </c>
      <c r="C30" s="63">
        <f>IF(OR(5893.41843="",5463.07472=""),"-",5463.07472/5893.41843*100)</f>
        <v>92.69789316486731</v>
      </c>
      <c r="D30" s="53">
        <f>IF(5893.41843="","-",5893.41843/4798692.63363*100)</f>
        <v>0.12281300095567671</v>
      </c>
      <c r="E30" s="53">
        <f>IF(5463.07472="","-",5463.07472/4325623.55461*100)</f>
        <v>0.12629565774806664</v>
      </c>
      <c r="F30" s="63">
        <f>IF(OR(4718168.92486="",5447.96726="",5893.41843=""),"-",(5893.41843-5447.96726)/4718168.92486*100)</f>
        <v>9.441187399054753E-3</v>
      </c>
      <c r="G30" s="63">
        <f>IF(OR(4798692.63363="",5463.07472="",5893.41843=""),"-",(5463.07472-5893.41843)/4798692.63363*100)</f>
        <v>-8.9679365372160539E-3</v>
      </c>
    </row>
    <row r="31" spans="1:7" s="9" customFormat="1" x14ac:dyDescent="0.25">
      <c r="A31" s="58" t="s">
        <v>126</v>
      </c>
      <c r="B31" s="53">
        <v>4717.9933199999996</v>
      </c>
      <c r="C31" s="63">
        <f>IF(OR(4660.97357="",4717.99332=""),"-",4717.99332/4660.97357*100)</f>
        <v>101.22334420360164</v>
      </c>
      <c r="D31" s="53">
        <f>IF(4660.97357="","-",4660.97357/4798692.63363*100)</f>
        <v>9.7130071164282475E-2</v>
      </c>
      <c r="E31" s="53">
        <f>IF(4717.99332="","-",4717.99332/4325623.55461*100)</f>
        <v>0.10907082552229573</v>
      </c>
      <c r="F31" s="63">
        <f>IF(OR(4718168.92486="",2740.53802="",4660.97357=""),"-",(4660.97357-2740.53802)/4718168.92486*100)</f>
        <v>4.0702984157291157E-2</v>
      </c>
      <c r="G31" s="63">
        <f>IF(OR(4798692.63363="",4717.99332="",4660.97357=""),"-",(4717.99332-4660.97357)/4798692.63363*100)</f>
        <v>1.1882350955423986E-3</v>
      </c>
    </row>
    <row r="32" spans="1:7" s="9" customFormat="1" x14ac:dyDescent="0.25">
      <c r="A32" s="58" t="s">
        <v>47</v>
      </c>
      <c r="B32" s="53">
        <v>3321.0869899999998</v>
      </c>
      <c r="C32" s="63">
        <f>IF(OR(3941.2503="",3321.08699=""),"-",3321.08699/3941.2503*100)</f>
        <v>84.264807794622925</v>
      </c>
      <c r="D32" s="53">
        <f>IF(3941.2503="","-",3941.2503/4798692.63363*100)</f>
        <v>8.2131751310327572E-2</v>
      </c>
      <c r="E32" s="53">
        <f>IF(3321.08699="","-",3321.08699/4325623.55461*100)</f>
        <v>7.6777069203365522E-2</v>
      </c>
      <c r="F32" s="63">
        <f>IF(OR(4718168.92486="",4065.09378="",3941.2503=""),"-",(3941.2503-4065.09378)/4718168.92486*100)</f>
        <v>-2.6248208144364978E-3</v>
      </c>
      <c r="G32" s="63">
        <f>IF(OR(4798692.63363="",3321.08699="",3941.2503=""),"-",(3321.08699-3941.2503)/4798692.63363*100)</f>
        <v>-1.2923588930322343E-2</v>
      </c>
    </row>
    <row r="33" spans="1:7" s="9" customFormat="1" x14ac:dyDescent="0.25">
      <c r="A33" s="58" t="s">
        <v>55</v>
      </c>
      <c r="B33" s="53">
        <v>1067.9611299999999</v>
      </c>
      <c r="C33" s="63">
        <f>IF(OR(1727.18506="",1067.96113=""),"-",1067.96113/1727.18506*100)</f>
        <v>61.832466869531622</v>
      </c>
      <c r="D33" s="53">
        <f>IF(1727.18506="","-",1727.18506/4798692.63363*100)</f>
        <v>3.5992825376970655E-2</v>
      </c>
      <c r="E33" s="53">
        <f>IF(1067.96113="","-",1067.96113/4325623.55461*100)</f>
        <v>2.4689183340095063E-2</v>
      </c>
      <c r="F33" s="63">
        <f>IF(OR(4718168.92486="",799.48262="",1727.18506=""),"-",(1727.18506-799.48262)/4718168.92486*100)</f>
        <v>1.9662340513328005E-2</v>
      </c>
      <c r="G33" s="63">
        <f>IF(OR(4798692.63363="",1067.96113="",1727.18506=""),"-",(1067.96113-1727.18506)/4798692.63363*100)</f>
        <v>-1.3737573550346903E-2</v>
      </c>
    </row>
    <row r="34" spans="1:7" s="9" customFormat="1" x14ac:dyDescent="0.25">
      <c r="A34" s="58" t="s">
        <v>48</v>
      </c>
      <c r="B34" s="53">
        <v>554.92675999999994</v>
      </c>
      <c r="C34" s="63">
        <f>IF(OR(639.16563="",554.92676=""),"-",554.92676/639.16563*100)</f>
        <v>86.820494399863151</v>
      </c>
      <c r="D34" s="53">
        <f>IF(639.16563="","-",639.16563/4798692.63363*100)</f>
        <v>1.3319578451860528E-2</v>
      </c>
      <c r="E34" s="53">
        <f>IF(554.92676="","-",554.92676/4325623.55461*100)</f>
        <v>1.2828826942385936E-2</v>
      </c>
      <c r="F34" s="63">
        <f>IF(OR(4718168.92486="",779.19355="",639.16563=""),"-",(639.16563-779.19355)/4718168.92486*100)</f>
        <v>-2.9678445649157208E-3</v>
      </c>
      <c r="G34" s="63">
        <f>IF(OR(4798692.63363="",554.92676="",639.16563=""),"-",(554.92676-639.16563)/4798692.63363*100)</f>
        <v>-1.7554545879775805E-3</v>
      </c>
    </row>
    <row r="35" spans="1:7" s="9" customFormat="1" x14ac:dyDescent="0.25">
      <c r="A35" s="58" t="s">
        <v>56</v>
      </c>
      <c r="B35" s="53">
        <v>109.98602</v>
      </c>
      <c r="C35" s="63">
        <f>IF(OR(96.16085="",109.98602=""),"-",109.98602/96.16085*100)</f>
        <v>114.37712956988213</v>
      </c>
      <c r="D35" s="53">
        <f>IF(96.16085="","-",96.16085/4798692.63363*100)</f>
        <v>2.0038968390283947E-3</v>
      </c>
      <c r="E35" s="53">
        <f>IF(109.98602="","-",109.98602/4325623.55461*100)</f>
        <v>2.5426627770875538E-3</v>
      </c>
      <c r="F35" s="63">
        <f>IF(OR(4718168.92486="",62.81333="",96.16085=""),"-",(96.16085-62.81333)/4718168.92486*100)</f>
        <v>7.0678944588635105E-4</v>
      </c>
      <c r="G35" s="63">
        <f>IF(OR(4798692.63363="",109.98602="",96.16085=""),"-",(109.98602-96.16085)/4798692.63363*100)</f>
        <v>2.8810284499388464E-4</v>
      </c>
    </row>
    <row r="36" spans="1:7" s="9" customFormat="1" x14ac:dyDescent="0.25">
      <c r="A36" s="42" t="s">
        <v>246</v>
      </c>
      <c r="B36" s="51">
        <v>1066280.91527</v>
      </c>
      <c r="C36" s="62">
        <f>IF(1152602.79478="","-",1066280.91527/1152602.79478*100)</f>
        <v>92.510700138769266</v>
      </c>
      <c r="D36" s="51">
        <f>IF(1152602.79478="","-",1152602.79478/4798692.63363*100)</f>
        <v>24.019100258732486</v>
      </c>
      <c r="E36" s="51">
        <f>IF(1066280.91527="","-",1066280.91527/4325623.55461*100)</f>
        <v>24.65034004481549</v>
      </c>
      <c r="F36" s="62">
        <f>IF(4718168.92486="","-",(1152602.79478-1145629.56529)/4718168.92486*100)</f>
        <v>0.14779524856047774</v>
      </c>
      <c r="G36" s="62">
        <f>IF(4798692.63363="","-",(1066280.91527-1152602.79478)/4798692.63363*100)</f>
        <v>-1.798862442346123</v>
      </c>
    </row>
    <row r="37" spans="1:7" s="9" customFormat="1" x14ac:dyDescent="0.25">
      <c r="A37" s="52" t="s">
        <v>127</v>
      </c>
      <c r="B37" s="53">
        <v>472650.00378000003</v>
      </c>
      <c r="C37" s="63">
        <f>IF(OR(547754.29408="",472650.00378=""),"-",472650.00378/547754.29408*100)</f>
        <v>86.2886898173671</v>
      </c>
      <c r="D37" s="53">
        <f>IF(547754.29408="","-",547754.29408/4798692.63363*100)</f>
        <v>11.414656780499984</v>
      </c>
      <c r="E37" s="53">
        <f>IF(472650.00378="","-",472650.00378/4325623.55461*100)</f>
        <v>10.92674842858845</v>
      </c>
      <c r="F37" s="63">
        <f>IF(OR(4718168.92486="",545189.6438="",547754.29408=""),"-",(547754.29408-545189.6438)/4718168.92486*100)</f>
        <v>5.4356898212926094E-2</v>
      </c>
      <c r="G37" s="63">
        <f>IF(OR(4798692.63363="",472650.00378="",547754.29408=""),"-",(472650.00378-547754.29408)/4798692.63363*100)</f>
        <v>-1.5650989974572909</v>
      </c>
    </row>
    <row r="38" spans="1:7" s="9" customFormat="1" x14ac:dyDescent="0.25">
      <c r="A38" s="52" t="s">
        <v>12</v>
      </c>
      <c r="B38" s="53">
        <v>432179.67446000001</v>
      </c>
      <c r="C38" s="63">
        <f>IF(OR(477622.95731="",432179.67446=""),"-",432179.67446/477622.95731*100)</f>
        <v>90.485532122254085</v>
      </c>
      <c r="D38" s="53">
        <f>IF(477622.95731="","-",477622.95731/4798692.63363*100)</f>
        <v>9.9531892074675188</v>
      </c>
      <c r="E38" s="53">
        <f>IF(432179.67446="","-",432179.67446/4325623.55461*100)</f>
        <v>9.991153159858488</v>
      </c>
      <c r="F38" s="63">
        <f>IF(OR(4718168.92486="",476372.51382="",477622.95731=""),"-",(477622.95731-476372.51382)/4718168.92486*100)</f>
        <v>2.6502728281123128E-2</v>
      </c>
      <c r="G38" s="63">
        <f>IF(OR(4798692.63363="",432179.67446="",477622.95731=""),"-",(432179.67446-477622.95731)/4798692.63363*100)</f>
        <v>-0.94699298995576997</v>
      </c>
    </row>
    <row r="39" spans="1:7" s="9" customFormat="1" x14ac:dyDescent="0.25">
      <c r="A39" s="52" t="s">
        <v>11</v>
      </c>
      <c r="B39" s="53">
        <v>93241.146299999993</v>
      </c>
      <c r="C39" s="63">
        <f>IF(OR(108853.01703="",93241.1463=""),"-",93241.1463/108853.01703*100)</f>
        <v>85.657842882115659</v>
      </c>
      <c r="D39" s="53">
        <f>IF(108853.01703="","-",108853.01703/4798692.63363*100)</f>
        <v>2.2683890246927003</v>
      </c>
      <c r="E39" s="53">
        <f>IF(93241.1463="","-",93241.1463/4325623.55461*100)</f>
        <v>2.1555538784836918</v>
      </c>
      <c r="F39" s="63">
        <f>IF(OR(4718168.92486="",103829.87086="",108853.01703=""),"-",(108853.01703-103829.87086)/4718168.92486*100)</f>
        <v>0.10646388991146724</v>
      </c>
      <c r="G39" s="63">
        <f>IF(OR(4798692.63363="",93241.1463="",108853.01703=""),"-",(93241.1463-108853.01703)/4798692.63363*100)</f>
        <v>-0.32533591796627148</v>
      </c>
    </row>
    <row r="40" spans="1:7" s="9" customFormat="1" x14ac:dyDescent="0.25">
      <c r="A40" s="52" t="s">
        <v>13</v>
      </c>
      <c r="B40" s="53">
        <v>55619.719590000001</v>
      </c>
      <c r="C40" s="63" t="s">
        <v>284</v>
      </c>
      <c r="D40" s="53">
        <f>IF(8102.35469="","-",8102.35469/4798692.63363*100)</f>
        <v>0.16884504402756309</v>
      </c>
      <c r="E40" s="53">
        <f>IF(55619.71959="","-",55619.71959/4325623.55461*100)</f>
        <v>1.2858196948443124</v>
      </c>
      <c r="F40" s="63">
        <f>IF(OR(4718168.92486="",4347.49126="",8102.35469=""),"-",(8102.35469-4347.49126)/4718168.92486*100)</f>
        <v>7.95830647397055E-2</v>
      </c>
      <c r="G40" s="63">
        <f>IF(OR(4798692.63363="",55619.71959="",8102.35469=""),"-",(55619.71959-8102.35469)/4798692.63363*100)</f>
        <v>0.9902148049031263</v>
      </c>
    </row>
    <row r="41" spans="1:7" s="9" customFormat="1" x14ac:dyDescent="0.25">
      <c r="A41" s="52" t="s">
        <v>15</v>
      </c>
      <c r="B41" s="53">
        <v>6046.4545600000001</v>
      </c>
      <c r="C41" s="63">
        <f>IF(OR(6529.21192="",6046.45456=""),"-",6046.45456/6529.21192*100)</f>
        <v>92.606192509677342</v>
      </c>
      <c r="D41" s="53">
        <f>IF(6529.21192="","-",6529.21192/4798692.63363*100)</f>
        <v>0.13606230735101152</v>
      </c>
      <c r="E41" s="53">
        <f>IF(6046.45456="","-",6046.45456/4325623.55461*100)</f>
        <v>0.13978226453746856</v>
      </c>
      <c r="F41" s="63">
        <f>IF(OR(4718168.92486="",3393.79796="",6529.21192=""),"-",(6529.21192-3393.79796)/4718168.92486*100)</f>
        <v>6.6454042022097287E-2</v>
      </c>
      <c r="G41" s="63">
        <f>IF(OR(4798692.63363="",6046.45456="",6529.21192=""),"-",(6046.45456-6529.21192)/4798692.63363*100)</f>
        <v>-1.0060185072424921E-2</v>
      </c>
    </row>
    <row r="42" spans="1:7" s="9" customFormat="1" x14ac:dyDescent="0.25">
      <c r="A42" s="52" t="s">
        <v>14</v>
      </c>
      <c r="B42" s="53">
        <v>4125.7111199999999</v>
      </c>
      <c r="C42" s="63" t="s">
        <v>285</v>
      </c>
      <c r="D42" s="53">
        <f>IF(581.38877="","-",581.38877/4798692.63363*100)</f>
        <v>1.2115565934053271E-2</v>
      </c>
      <c r="E42" s="53">
        <f>IF(4125.71112="","-",4125.71112/4325623.55461*100)</f>
        <v>9.537841349146195E-2</v>
      </c>
      <c r="F42" s="63">
        <f>IF(OR(4718168.92486="",481.92602="",581.38877=""),"-",(581.38877-481.92602)/4718168.92486*100)</f>
        <v>2.108079460146742E-3</v>
      </c>
      <c r="G42" s="63">
        <f>IF(OR(4798692.63363="",4125.71112="",581.38877=""),"-",(4125.71112-581.38877)/4798692.63363*100)</f>
        <v>7.3860166103593E-2</v>
      </c>
    </row>
    <row r="43" spans="1:7" s="9" customFormat="1" x14ac:dyDescent="0.25">
      <c r="A43" s="52" t="s">
        <v>16</v>
      </c>
      <c r="B43" s="53">
        <v>1542.83385</v>
      </c>
      <c r="C43" s="63">
        <f>IF(OR(2114.53558="",1542.83385=""),"-",1542.83385/2114.53558*100)</f>
        <v>72.96324850679504</v>
      </c>
      <c r="D43" s="53">
        <f>IF(2114.53558="","-",2114.53558/4798692.63363*100)</f>
        <v>4.406482643170348E-2</v>
      </c>
      <c r="E43" s="53">
        <f>IF(1542.83385="","-",1542.83385/4325623.55461*100)</f>
        <v>3.5667316642839543E-2</v>
      </c>
      <c r="F43" s="63">
        <f>IF(OR(4718168.92486="",10953.42423="",2114.53558=""),"-",(2114.53558-10953.42423)/4718168.92486*100)</f>
        <v>-0.18733726559530239</v>
      </c>
      <c r="G43" s="63">
        <f>IF(OR(4798692.63363="",1542.83385="",2114.53558=""),"-",(1542.83385-2114.53558)/4798692.63363*100)</f>
        <v>-1.1913697618251765E-2</v>
      </c>
    </row>
    <row r="44" spans="1:7" s="9" customFormat="1" x14ac:dyDescent="0.25">
      <c r="A44" s="52" t="s">
        <v>17</v>
      </c>
      <c r="B44" s="53">
        <v>745.51662999999996</v>
      </c>
      <c r="C44" s="63">
        <f>IF(OR(884.04879="",745.51663=""),"-",745.51663/884.04879*100)</f>
        <v>84.329806050636634</v>
      </c>
      <c r="D44" s="53">
        <f>IF(884.04879="","-",884.04879/4798692.63363*100)</f>
        <v>1.8422700879077891E-2</v>
      </c>
      <c r="E44" s="53">
        <f>IF(745.51663="","-",745.51663/4325623.55461*100)</f>
        <v>1.7234893896522073E-2</v>
      </c>
      <c r="F44" s="63">
        <f>IF(OR(4718168.92486="",829.91561="",884.04879=""),"-",(884.04879-829.91561)/4718168.92486*100)</f>
        <v>1.1473345033233694E-3</v>
      </c>
      <c r="G44" s="63">
        <f>IF(OR(4798692.63363="",745.51663="",884.04879=""),"-",(745.51663-884.04879)/4798692.63363*100)</f>
        <v>-2.8868729584625762E-3</v>
      </c>
    </row>
    <row r="45" spans="1:7" s="9" customFormat="1" x14ac:dyDescent="0.25">
      <c r="A45" s="52" t="s">
        <v>129</v>
      </c>
      <c r="B45" s="53">
        <v>129.08414999999999</v>
      </c>
      <c r="C45" s="63">
        <f>IF(OR(160.85103="",129.08415=""),"-",129.08415/160.85103*100)</f>
        <v>80.25074505273605</v>
      </c>
      <c r="D45" s="53">
        <f>IF(160.85103="","-",160.85103/4798692.63363*100)</f>
        <v>3.3519760960043672E-3</v>
      </c>
      <c r="E45" s="53">
        <f>IF(129.08415="","-",129.08415/4325623.55461*100)</f>
        <v>2.9841743824986704E-3</v>
      </c>
      <c r="F45" s="63">
        <f>IF(OR(4718168.92486="",230.70813="",160.85103=""),"-",(160.85103-230.70813)/4718168.92486*100)</f>
        <v>-1.4805976876309669E-3</v>
      </c>
      <c r="G45" s="63">
        <f>IF(OR(4798692.63363="",129.08415="",160.85103=""),"-",(129.08415-160.85103)/4798692.63363*100)</f>
        <v>-6.6199030497124725E-4</v>
      </c>
    </row>
    <row r="46" spans="1:7" s="9" customFormat="1" x14ac:dyDescent="0.25">
      <c r="A46" s="52" t="s">
        <v>18</v>
      </c>
      <c r="B46" s="53">
        <v>0.77083000000000002</v>
      </c>
      <c r="C46" s="63" t="s">
        <v>264</v>
      </c>
      <c r="D46" s="53">
        <f>IF(0.13558="","-",0.13558/4798692.63363*100)</f>
        <v>2.8253528690259058E-6</v>
      </c>
      <c r="E46" s="53">
        <f>IF(0.77083="","-",0.77083/4325623.55461*100)</f>
        <v>1.7820089757429166E-5</v>
      </c>
      <c r="F46" s="63">
        <f>IF(OR(4718168.92486="",0.2736="",0.13558=""),"-",(0.13558-0.2736)/4718168.92486*100)</f>
        <v>-2.9252873773292341E-6</v>
      </c>
      <c r="G46" s="63">
        <f>IF(OR(4798692.63363="",0.77083="",0.13558=""),"-",(0.77083-0.13558)/4798692.63363*100)</f>
        <v>1.3237980602217928E-5</v>
      </c>
    </row>
    <row r="47" spans="1:7" s="9" customFormat="1" x14ac:dyDescent="0.25">
      <c r="A47" s="42" t="s">
        <v>168</v>
      </c>
      <c r="B47" s="51">
        <v>1277233.7445199999</v>
      </c>
      <c r="C47" s="62">
        <f>IF(1301684.23824="","-",1277233.74452/1301684.23824*100)</f>
        <v>98.121626351329297</v>
      </c>
      <c r="D47" s="51">
        <f>IF(1301684.23824="","-",1301684.23824/4798692.63363*100)</f>
        <v>27.125809832402897</v>
      </c>
      <c r="E47" s="51">
        <f>IF(1277233.74452="","-",1277233.74452/4325623.55461*100)</f>
        <v>29.527158995581065</v>
      </c>
      <c r="F47" s="62">
        <f>IF(4718168.92486="","-",(1301684.23824-1244421.75592)/4718168.92486*100)</f>
        <v>1.2136590111957324</v>
      </c>
      <c r="G47" s="62">
        <f>IF(4798692.63363="","-",(1277233.74452-1301684.23824)/4798692.63363*100)</f>
        <v>-0.50952406388038274</v>
      </c>
    </row>
    <row r="48" spans="1:7" s="9" customFormat="1" x14ac:dyDescent="0.25">
      <c r="A48" s="52" t="s">
        <v>60</v>
      </c>
      <c r="B48" s="53">
        <v>508623.66564000002</v>
      </c>
      <c r="C48" s="63">
        <f>IF(OR(493371.68709="",508623.66564=""),"-",508623.66564/493371.68709*100)</f>
        <v>103.09137693732673</v>
      </c>
      <c r="D48" s="53">
        <f>IF(493371.68709="","-",493371.68709/4798692.63363*100)</f>
        <v>10.28137713243755</v>
      </c>
      <c r="E48" s="53">
        <f>IF(508623.66564="","-",508623.66564/4325623.55461*100)</f>
        <v>11.758389495034496</v>
      </c>
      <c r="F48" s="63">
        <f>IF(OR(4718168.92486="",495166.27571="",493371.68709=""),"-",(493371.68709-495166.27571)/4718168.92486*100)</f>
        <v>-3.8035700895411348E-2</v>
      </c>
      <c r="G48" s="63">
        <f>IF(OR(4798692.63363="",508623.66564="",493371.68709=""),"-",(508623.66564-493371.68709)/4798692.63363*100)</f>
        <v>0.31783612151175744</v>
      </c>
    </row>
    <row r="49" spans="1:7" s="9" customFormat="1" x14ac:dyDescent="0.25">
      <c r="A49" s="52" t="s">
        <v>57</v>
      </c>
      <c r="B49" s="53">
        <v>302627.49179</v>
      </c>
      <c r="C49" s="63">
        <f>IF(OR(323158.83836="",302627.49179=""),"-",302627.49179/323158.83836*100)</f>
        <v>93.646670264630671</v>
      </c>
      <c r="D49" s="53">
        <f>IF(323158.83836="","-",323158.83836/4798692.63363*100)</f>
        <v>6.7343100096732913</v>
      </c>
      <c r="E49" s="53">
        <f>IF(302627.49179="","-",302627.49179/4325623.55461*100)</f>
        <v>6.9961587727040433</v>
      </c>
      <c r="F49" s="63">
        <f>IF(OR(4718168.92486="",273952.99189="",323158.83836=""),"-",(323158.83836-273952.99189)/4718168.92486*100)</f>
        <v>1.0429013300209478</v>
      </c>
      <c r="G49" s="63">
        <f>IF(OR(4798692.63363="",302627.49179="",323158.83836=""),"-",(302627.49179-323158.83836)/4798692.63363*100)</f>
        <v>-0.42785292031652655</v>
      </c>
    </row>
    <row r="50" spans="1:7" s="9" customFormat="1" x14ac:dyDescent="0.25">
      <c r="A50" s="52" t="s">
        <v>19</v>
      </c>
      <c r="B50" s="53">
        <v>54130.778760000001</v>
      </c>
      <c r="C50" s="63">
        <f>IF(OR(62899.00932="",54130.77876=""),"-",54130.77876/62899.00932*100)</f>
        <v>86.059827245622515</v>
      </c>
      <c r="D50" s="53">
        <f>IF(62899.00932="","-",62899.00932/4798692.63363*100)</f>
        <v>1.3107530346743559</v>
      </c>
      <c r="E50" s="53">
        <f>IF(54130.77876="","-",54130.77876/4325623.55461*100)</f>
        <v>1.2513982799615222</v>
      </c>
      <c r="F50" s="63">
        <f>IF(OR(4718168.92486="",60678.00942="",62899.00932=""),"-",(62899.00932-60678.00942)/4718168.92486*100)</f>
        <v>4.7073344243728998E-2</v>
      </c>
      <c r="G50" s="63">
        <f>IF(OR(4798692.63363="",54130.77876="",62899.00932=""),"-",(54130.77876-62899.00932)/4798692.63363*100)</f>
        <v>-0.18272123741685067</v>
      </c>
    </row>
    <row r="51" spans="1:7" s="9" customFormat="1" x14ac:dyDescent="0.25">
      <c r="A51" s="52" t="s">
        <v>77</v>
      </c>
      <c r="B51" s="53">
        <v>43444.609020000004</v>
      </c>
      <c r="C51" s="63">
        <f>IF(OR(41002.15422="",43444.60902=""),"-",43444.60902/41002.15422*100)</f>
        <v>105.95689384244262</v>
      </c>
      <c r="D51" s="53">
        <f>IF(41002.15422="","-",41002.15422/4798692.63363*100)</f>
        <v>0.85444426952146069</v>
      </c>
      <c r="E51" s="53">
        <f>IF(43444.60902="","-",43444.60902/4325623.55461*100)</f>
        <v>1.0043548281888572</v>
      </c>
      <c r="F51" s="63">
        <f>IF(OR(4718168.92486="",45197.06256="",41002.15422=""),"-",(41002.15422-45197.06256)/4718168.92486*100)</f>
        <v>-8.89096682803589E-2</v>
      </c>
      <c r="G51" s="63">
        <f>IF(OR(4798692.63363="",43444.60902="",41002.15422=""),"-",(43444.60902-41002.15422)/4798692.63363*100)</f>
        <v>5.0898338078227717E-2</v>
      </c>
    </row>
    <row r="52" spans="1:7" s="9" customFormat="1" ht="25.5" x14ac:dyDescent="0.25">
      <c r="A52" s="52" t="s">
        <v>124</v>
      </c>
      <c r="B52" s="53">
        <v>39221.389069999997</v>
      </c>
      <c r="C52" s="63">
        <f>IF(OR(46868.68347="",39221.38907=""),"-",39221.38907/46868.68347*100)</f>
        <v>83.683573265088768</v>
      </c>
      <c r="D52" s="53">
        <f>IF(46868.68347="","-",46868.68347/4798692.63363*100)</f>
        <v>0.97669692660740193</v>
      </c>
      <c r="E52" s="53">
        <f>IF(39221.38907="","-",39221.38907/4325623.55461*100)</f>
        <v>0.90672220027561357</v>
      </c>
      <c r="F52" s="63">
        <f>IF(OR(4718168.92486="",48420.95825="",46868.68347=""),"-",(46868.68347-48420.95825)/4718168.92486*100)</f>
        <v>-3.2899940733810411E-2</v>
      </c>
      <c r="G52" s="63">
        <f>IF(OR(4798692.63363="",39221.38907="",46868.68347=""),"-",(39221.38907-46868.68347)/4798692.63363*100)</f>
        <v>-0.15936203845202654</v>
      </c>
    </row>
    <row r="53" spans="1:7" s="9" customFormat="1" x14ac:dyDescent="0.25">
      <c r="A53" s="52" t="s">
        <v>73</v>
      </c>
      <c r="B53" s="53">
        <v>34199.225780000001</v>
      </c>
      <c r="C53" s="63">
        <f>IF(OR(40506.69423="",34199.22578=""),"-",34199.22578/40506.69423*100)</f>
        <v>84.428577621798198</v>
      </c>
      <c r="D53" s="53">
        <f>IF(40506.69423="","-",40506.69423/4798692.63363*100)</f>
        <v>0.84411937422544325</v>
      </c>
      <c r="E53" s="53">
        <f>IF(34199.22578="","-",34199.22578/4325623.55461*100)</f>
        <v>0.79061955688567576</v>
      </c>
      <c r="F53" s="63">
        <f>IF(OR(4718168.92486="",30563.09884="",40506.69423=""),"-",(40506.69423-30563.09884)/4718168.92486*100)</f>
        <v>0.21075115258394556</v>
      </c>
      <c r="G53" s="63">
        <f>IF(OR(4798692.63363="",34199.22578="",40506.69423=""),"-",(34199.22578-40506.69423)/4798692.63363*100)</f>
        <v>-0.13144139313687775</v>
      </c>
    </row>
    <row r="54" spans="1:7" s="9" customFormat="1" x14ac:dyDescent="0.25">
      <c r="A54" s="52" t="s">
        <v>37</v>
      </c>
      <c r="B54" s="53">
        <v>34163.919020000001</v>
      </c>
      <c r="C54" s="63">
        <f>IF(OR(33537.15796="",34163.91902=""),"-",34163.91902/33537.15796*100)</f>
        <v>101.86885561605294</v>
      </c>
      <c r="D54" s="53">
        <f>IF(33537.15796="","-",33537.15796/4798692.63363*100)</f>
        <v>0.69888114368830934</v>
      </c>
      <c r="E54" s="53">
        <f>IF(34163.91902="","-",34163.91902/4325623.55461*100)</f>
        <v>0.78980333329260866</v>
      </c>
      <c r="F54" s="63">
        <f>IF(OR(4718168.92486="",33322.52415="",33537.15796=""),"-",(33537.15796-33322.52415)/4718168.92486*100)</f>
        <v>4.5490912559127605E-3</v>
      </c>
      <c r="G54" s="63">
        <f>IF(OR(4798692.63363="",34163.91902="",33537.15796=""),"-",(34163.91902-33537.15796)/4798692.63363*100)</f>
        <v>1.3061079503353962E-2</v>
      </c>
    </row>
    <row r="55" spans="1:7" s="9" customFormat="1" x14ac:dyDescent="0.25">
      <c r="A55" s="52" t="s">
        <v>70</v>
      </c>
      <c r="B55" s="53">
        <v>32770.52276</v>
      </c>
      <c r="C55" s="63">
        <f>IF(OR(29479.46223="",32770.52276=""),"-",32770.52276/29479.46223*100)</f>
        <v>111.1639096545351</v>
      </c>
      <c r="D55" s="53">
        <f>IF(29479.46223="","-",29479.46223/4798692.63363*100)</f>
        <v>0.61432278498946258</v>
      </c>
      <c r="E55" s="53">
        <f>IF(32770.52276="","-",32770.52276/4325623.55461*100)</f>
        <v>0.7575907229623593</v>
      </c>
      <c r="F55" s="63">
        <f>IF(OR(4718168.92486="",24773.29902="",29479.46223=""),"-",(29479.46223-24773.29902)/4718168.92486*100)</f>
        <v>9.9745542920332109E-2</v>
      </c>
      <c r="G55" s="63">
        <f>IF(OR(4798692.63363="",32770.52276="",29479.46223=""),"-",(32770.52276-29479.46223)/4798692.63363*100)</f>
        <v>6.8582440703447517E-2</v>
      </c>
    </row>
    <row r="56" spans="1:7" s="9" customFormat="1" x14ac:dyDescent="0.25">
      <c r="A56" s="52" t="s">
        <v>67</v>
      </c>
      <c r="B56" s="53">
        <v>28951.484130000001</v>
      </c>
      <c r="C56" s="63">
        <f>IF(OR(19697.80127="",28951.48413=""),"-",28951.48413/19697.80127*100)</f>
        <v>146.9782527154108</v>
      </c>
      <c r="D56" s="53">
        <f>IF(19697.80127="","-",19697.80127/4798692.63363*100)</f>
        <v>0.41048266213082041</v>
      </c>
      <c r="E56" s="53">
        <f>IF(28951.48413="","-",28951.48413/4325623.55461*100)</f>
        <v>0.6693019807316607</v>
      </c>
      <c r="F56" s="63">
        <f>IF(OR(4718168.92486="",23563.79158="",19697.80127=""),"-",(19697.80127-23563.79158)/4718168.92486*100)</f>
        <v>-8.1938361503551188E-2</v>
      </c>
      <c r="G56" s="63">
        <f>IF(OR(4798692.63363="",28951.48413="",19697.80127=""),"-",(28951.48413-19697.80127)/4798692.63363*100)</f>
        <v>0.19283758236876272</v>
      </c>
    </row>
    <row r="57" spans="1:7" s="9" customFormat="1" x14ac:dyDescent="0.25">
      <c r="A57" s="52" t="s">
        <v>130</v>
      </c>
      <c r="B57" s="53">
        <v>24092.017909999999</v>
      </c>
      <c r="C57" s="63">
        <f>IF(OR(28456.8942="",24092.01791=""),"-",24092.01791/28456.8942*100)</f>
        <v>84.661445274656856</v>
      </c>
      <c r="D57" s="53">
        <f>IF(28456.8942="","-",28456.8942/4798692.63363*100)</f>
        <v>0.59301348039192103</v>
      </c>
      <c r="E57" s="53">
        <f>IF(24092.01791="","-",24092.01791/4325623.55461*100)</f>
        <v>0.55696057703227819</v>
      </c>
      <c r="F57" s="63">
        <f>IF(OR(4718168.92486="",27763.58737="",28456.8942=""),"-",(28456.8942-27763.58737)/4718168.92486*100)</f>
        <v>1.4694404567563676E-2</v>
      </c>
      <c r="G57" s="63">
        <f>IF(OR(4798692.63363="",24092.01791="",28456.8942=""),"-",(24092.01791-28456.8942)/4798692.63363*100)</f>
        <v>-9.0959697218576871E-2</v>
      </c>
    </row>
    <row r="58" spans="1:7" s="9" customFormat="1" x14ac:dyDescent="0.25">
      <c r="A58" s="52" t="s">
        <v>80</v>
      </c>
      <c r="B58" s="53">
        <v>15738.68513</v>
      </c>
      <c r="C58" s="63">
        <f>IF(OR(13742.97142="",15738.68513=""),"-",15738.68513/13742.97142*100)</f>
        <v>114.52170457908149</v>
      </c>
      <c r="D58" s="53">
        <f>IF(13742.97142="","-",13742.97142/4798692.63363*100)</f>
        <v>0.28638990802801317</v>
      </c>
      <c r="E58" s="53">
        <f>IF(15738.68513="","-",15738.68513/4325623.55461*100)</f>
        <v>0.36384777665700052</v>
      </c>
      <c r="F58" s="63">
        <f>IF(OR(4718168.92486="",12091.40942="",13742.97142=""),"-",(13742.97142-12091.40942)/4718168.92486*100)</f>
        <v>3.5004299894773397E-2</v>
      </c>
      <c r="G58" s="63">
        <f>IF(OR(4798692.63363="",15738.68513="",13742.97142=""),"-",(15738.68513-13742.97142)/4798692.63363*100)</f>
        <v>4.1588696388131244E-2</v>
      </c>
    </row>
    <row r="59" spans="1:7" s="9" customFormat="1" x14ac:dyDescent="0.25">
      <c r="A59" s="52" t="s">
        <v>71</v>
      </c>
      <c r="B59" s="53">
        <v>13946.911829999999</v>
      </c>
      <c r="C59" s="63">
        <f>IF(OR(18104.08715="",13946.91183=""),"-",13946.91183/18104.08715*100)</f>
        <v>77.037365730975282</v>
      </c>
      <c r="D59" s="53">
        <f>IF(18104.08715="","-",18104.08715/4798692.63363*100)</f>
        <v>0.37727123890210601</v>
      </c>
      <c r="E59" s="53">
        <f>IF(13946.91183="","-",13946.91183/4325623.55461*100)</f>
        <v>0.32242546430412755</v>
      </c>
      <c r="F59" s="63">
        <f>IF(OR(4718168.92486="",16698.03356="",18104.08715=""),"-",(18104.08715-16698.03356)/4718168.92486*100)</f>
        <v>2.9800831898822294E-2</v>
      </c>
      <c r="G59" s="63">
        <f>IF(OR(4798692.63363="",13946.91183="",18104.08715=""),"-",(13946.91183-18104.08715)/4798692.63363*100)</f>
        <v>-8.6631414791309105E-2</v>
      </c>
    </row>
    <row r="60" spans="1:7" s="9" customFormat="1" x14ac:dyDescent="0.25">
      <c r="A60" s="52" t="s">
        <v>62</v>
      </c>
      <c r="B60" s="53">
        <v>10309.39285</v>
      </c>
      <c r="C60" s="63">
        <f>IF(OR(10034.08417="",10309.39285=""),"-",10309.39285/10034.08417*100)</f>
        <v>102.74373500695879</v>
      </c>
      <c r="D60" s="53">
        <f>IF(10034.08417="","-",10034.08417/4798692.63363*100)</f>
        <v>0.20910037245727187</v>
      </c>
      <c r="E60" s="53">
        <f>IF(10309.39285="","-",10309.39285/4325623.55461*100)</f>
        <v>0.23833310318954695</v>
      </c>
      <c r="F60" s="63">
        <f>IF(OR(4718168.92486="",8092.48446="",10034.08417=""),"-",(10034.08417-8092.48446)/4718168.92486*100)</f>
        <v>4.1151551394646449E-2</v>
      </c>
      <c r="G60" s="63">
        <f>IF(OR(4798692.63363="",10309.39285="",10034.08417=""),"-",(10309.39285-10034.08417)/4798692.63363*100)</f>
        <v>5.7371601187913802E-3</v>
      </c>
    </row>
    <row r="61" spans="1:7" s="9" customFormat="1" x14ac:dyDescent="0.25">
      <c r="A61" s="52" t="s">
        <v>72</v>
      </c>
      <c r="B61" s="53">
        <v>8622.5341900000003</v>
      </c>
      <c r="C61" s="63">
        <f>IF(OR(8330.80222="",8622.53419=""),"-",8622.53419/8330.80222*100)</f>
        <v>103.50184726867757</v>
      </c>
      <c r="D61" s="53">
        <f>IF(8330.80222="","-",8330.80222/4798692.63363*100)</f>
        <v>0.17360566420979778</v>
      </c>
      <c r="E61" s="53">
        <f>IF(8622.53419="","-",8622.53419/4325623.55461*100)</f>
        <v>0.19933621317579983</v>
      </c>
      <c r="F61" s="63">
        <f>IF(OR(4718168.92486="",9260.47085="",8330.80222=""),"-",(8330.80222-9260.47085)/4718168.92486*100)</f>
        <v>-1.9704013247630506E-2</v>
      </c>
      <c r="G61" s="63">
        <f>IF(OR(4798692.63363="",8622.53419="",8330.80222=""),"-",(8622.53419-8330.80222)/4798692.63363*100)</f>
        <v>6.0794052104003651E-3</v>
      </c>
    </row>
    <row r="62" spans="1:7" s="9" customFormat="1" x14ac:dyDescent="0.25">
      <c r="A62" s="52" t="s">
        <v>83</v>
      </c>
      <c r="B62" s="53">
        <v>8042.8826399999998</v>
      </c>
      <c r="C62" s="63">
        <f>IF(OR(8351.0988="",8042.88264=""),"-",8042.88264/8351.0988*100)</f>
        <v>96.309274175992272</v>
      </c>
      <c r="D62" s="53">
        <f>IF(8351.0988="","-",8351.0988/4798692.63363*100)</f>
        <v>0.17402862482739931</v>
      </c>
      <c r="E62" s="53">
        <f>IF(8042.88264="","-",8042.88264/4325623.55461*100)</f>
        <v>0.18593579719687719</v>
      </c>
      <c r="F62" s="63">
        <f>IF(OR(4718168.92486="",7959.11977="",8351.0988=""),"-",(8351.0988-7959.11977)/4718168.92486*100)</f>
        <v>8.3078634157133444E-3</v>
      </c>
      <c r="G62" s="63">
        <f>IF(OR(4798692.63363="",8042.88264="",8351.0988=""),"-",(8042.88264-8351.0988)/4798692.63363*100)</f>
        <v>-6.4229193976703611E-3</v>
      </c>
    </row>
    <row r="63" spans="1:7" s="9" customFormat="1" x14ac:dyDescent="0.25">
      <c r="A63" s="52" t="s">
        <v>63</v>
      </c>
      <c r="B63" s="53">
        <v>7899.7234500000004</v>
      </c>
      <c r="C63" s="63">
        <f>IF(OR(8892.24803="",7899.72345=""),"-",7899.72345/8892.24803*100)</f>
        <v>88.838316512860473</v>
      </c>
      <c r="D63" s="53">
        <f>IF(8892.24803="","-",8892.24803/4798692.63363*100)</f>
        <v>0.18530563861668725</v>
      </c>
      <c r="E63" s="53">
        <f>IF(7899.72345="","-",7899.72345/4325623.55461*100)</f>
        <v>0.1826262352760894</v>
      </c>
      <c r="F63" s="63">
        <f>IF(OR(4718168.92486="",11209.08253="",8892.24803=""),"-",(8892.24803-11209.08253)/4718168.92486*100)</f>
        <v>-4.9104526287573426E-2</v>
      </c>
      <c r="G63" s="63">
        <f>IF(OR(4798692.63363="",7899.72345="",8892.24803=""),"-",(7899.72345-8892.24803)/4798692.63363*100)</f>
        <v>-2.0683228866217235E-2</v>
      </c>
    </row>
    <row r="64" spans="1:7" s="9" customFormat="1" x14ac:dyDescent="0.25">
      <c r="A64" s="52" t="s">
        <v>84</v>
      </c>
      <c r="B64" s="53">
        <v>7768.1217900000001</v>
      </c>
      <c r="C64" s="63">
        <f>IF(OR(8693.54979="",7768.12179=""),"-",7768.12179/8693.54979*100)</f>
        <v>89.355004315216576</v>
      </c>
      <c r="D64" s="53">
        <f>IF(8693.54979="","-",8693.54979/4798692.63363*100)</f>
        <v>0.18116496416282679</v>
      </c>
      <c r="E64" s="53">
        <f>IF(7768.12179="","-",7768.12179/4325623.55461*100)</f>
        <v>0.17958386096083612</v>
      </c>
      <c r="F64" s="63">
        <f>IF(OR(4718168.92486="",9404.32688="",8693.54979=""),"-",(8693.54979-9404.32688)/4718168.92486*100)</f>
        <v>-1.5064680839529119E-2</v>
      </c>
      <c r="G64" s="63">
        <f>IF(OR(4798692.63363="",7768.12179="",8693.54979=""),"-",(7768.12179-8693.54979)/4798692.63363*100)</f>
        <v>-1.9285002617472364E-2</v>
      </c>
    </row>
    <row r="65" spans="1:7" s="9" customFormat="1" x14ac:dyDescent="0.25">
      <c r="A65" s="52" t="s">
        <v>75</v>
      </c>
      <c r="B65" s="53">
        <v>7643.0725000000002</v>
      </c>
      <c r="C65" s="63">
        <f>IF(OR(5475.42174="",7643.0725=""),"-",7643.0725/5475.42174*100)</f>
        <v>139.58874517673229</v>
      </c>
      <c r="D65" s="53">
        <f>IF(5475.42174="","-",5475.42174/4798692.63363*100)</f>
        <v>0.11410236408198715</v>
      </c>
      <c r="E65" s="53">
        <f>IF(7643.0725="","-",7643.0725/4325623.55461*100)</f>
        <v>0.17669296469070811</v>
      </c>
      <c r="F65" s="63">
        <f>IF(OR(4718168.92486="",3804.45424="",5475.42174=""),"-",(5475.42174-3804.45424)/4718168.92486*100)</f>
        <v>3.5415592926223635E-2</v>
      </c>
      <c r="G65" s="63">
        <f>IF(OR(4798692.63363="",7643.0725="",5475.42174=""),"-",(7643.0725-5475.42174)/4798692.63363*100)</f>
        <v>4.5171694157045181E-2</v>
      </c>
    </row>
    <row r="66" spans="1:7" s="9" customFormat="1" x14ac:dyDescent="0.25">
      <c r="A66" s="52" t="s">
        <v>79</v>
      </c>
      <c r="B66" s="53">
        <v>6622.94488</v>
      </c>
      <c r="C66" s="63">
        <f>IF(OR(7179.27893="",6622.94488=""),"-",6622.94488/7179.27893*100)</f>
        <v>92.250836672813321</v>
      </c>
      <c r="D66" s="53">
        <f>IF(7179.27893="","-",7179.27893/4798692.63363*100)</f>
        <v>0.14960905976112063</v>
      </c>
      <c r="E66" s="53">
        <f>IF(6622.94488="","-",6622.94488/4325623.55461*100)</f>
        <v>0.15310959902975485</v>
      </c>
      <c r="F66" s="63">
        <f>IF(OR(4718168.92486="",6616.313="",7179.27893=""),"-",(7179.27893-6616.313)/4718168.92486*100)</f>
        <v>1.1931873126325272E-2</v>
      </c>
      <c r="G66" s="63">
        <f>IF(OR(4798692.63363="",6622.94488="",7179.27893=""),"-",(6622.94488-7179.27893)/4798692.63363*100)</f>
        <v>-1.1593450393157565E-2</v>
      </c>
    </row>
    <row r="67" spans="1:7" s="9" customFormat="1" x14ac:dyDescent="0.25">
      <c r="A67" s="52" t="s">
        <v>64</v>
      </c>
      <c r="B67" s="53">
        <v>5887.8014599999997</v>
      </c>
      <c r="C67" s="63">
        <f>IF(OR(7097.4184="",5887.80146=""),"-",5887.80146/7097.4184*100)</f>
        <v>82.956944739230821</v>
      </c>
      <c r="D67" s="53">
        <f>IF(7097.4184="","-",7097.4184/4798692.63363*100)</f>
        <v>0.14790316742231341</v>
      </c>
      <c r="E67" s="53">
        <f>IF(5887.80146="","-",5887.80146/4325623.55461*100)</f>
        <v>0.13611451356475809</v>
      </c>
      <c r="F67" s="63">
        <f>IF(OR(4718168.92486="",6420.18604="",7097.4184=""),"-",(7097.4184-6420.18604)/4718168.92486*100)</f>
        <v>1.4353711594166697E-2</v>
      </c>
      <c r="G67" s="63">
        <f>IF(OR(4798692.63363="",5887.80146="",7097.4184=""),"-",(5887.80146-7097.4184)/4798692.63363*100)</f>
        <v>-2.5207218556212836E-2</v>
      </c>
    </row>
    <row r="68" spans="1:7" s="9" customFormat="1" x14ac:dyDescent="0.25">
      <c r="A68" s="52" t="s">
        <v>66</v>
      </c>
      <c r="B68" s="53">
        <v>5446.8821799999996</v>
      </c>
      <c r="C68" s="63">
        <f>IF(OR(5157.00037="",5446.88218=""),"-",5446.88218/5157.00037*100)</f>
        <v>105.62113223195288</v>
      </c>
      <c r="D68" s="53">
        <f>IF(5157.00037="","-",5157.00037/4798692.63363*100)</f>
        <v>0.10746677821911164</v>
      </c>
      <c r="E68" s="53">
        <f>IF(5446.88218="","-",5446.88218/4325623.55461*100)</f>
        <v>0.12592131772990342</v>
      </c>
      <c r="F68" s="63">
        <f>IF(OR(4718168.92486="",4685.39125="",5157.00037=""),"-",(5157.00037-4685.39125)/4718168.92486*100)</f>
        <v>9.9955963321935095E-3</v>
      </c>
      <c r="G68" s="63">
        <f>IF(OR(4798692.63363="",5446.88218="",5157.00037=""),"-",(5446.88218-5157.00037)/4798692.63363*100)</f>
        <v>6.0408497091158139E-3</v>
      </c>
    </row>
    <row r="69" spans="1:7" s="9" customFormat="1" x14ac:dyDescent="0.25">
      <c r="A69" s="52" t="s">
        <v>85</v>
      </c>
      <c r="B69" s="53">
        <v>5122.9246000000003</v>
      </c>
      <c r="C69" s="63">
        <f>IF(OR(5940.62428="",5122.9246=""),"-",5122.9246/5940.62428*100)</f>
        <v>86.235458742056665</v>
      </c>
      <c r="D69" s="53">
        <f>IF(5940.62428="","-",5940.62428/4798692.63363*100)</f>
        <v>0.12379672409870893</v>
      </c>
      <c r="E69" s="53">
        <f>IF(5122.9246="","-",5122.9246/4325623.55461*100)</f>
        <v>0.11843204882080603</v>
      </c>
      <c r="F69" s="63">
        <f>IF(OR(4718168.92486="",4857.54936="",5940.62428=""),"-",(5940.62428-4857.54936)/4718168.92486*100)</f>
        <v>2.2955407855222938E-2</v>
      </c>
      <c r="G69" s="63">
        <f>IF(OR(4798692.63363="",5122.9246="",5940.62428=""),"-",(5122.9246-5940.62428)/4798692.63363*100)</f>
        <v>-1.704005116454908E-2</v>
      </c>
    </row>
    <row r="70" spans="1:7" s="9" customFormat="1" x14ac:dyDescent="0.25">
      <c r="A70" s="52" t="s">
        <v>69</v>
      </c>
      <c r="B70" s="53">
        <v>4987.3938200000002</v>
      </c>
      <c r="C70" s="63">
        <f>IF(OR(5323.65631="",4987.39382=""),"-",4987.39382/5323.65631*100)</f>
        <v>93.683617603781784</v>
      </c>
      <c r="D70" s="53">
        <f>IF(5323.65631="","-",5323.65631/4798692.63363*100)</f>
        <v>0.11093972288808356</v>
      </c>
      <c r="E70" s="53">
        <f>IF(4987.39382="","-",4987.39382/4325623.55461*100)</f>
        <v>0.1152988408962385</v>
      </c>
      <c r="F70" s="63">
        <f>IF(OR(4718168.92486="",7076.09204="",5323.65631=""),"-",(5323.65631-7076.09204)/4718168.92486*100)</f>
        <v>-3.7142284600418358E-2</v>
      </c>
      <c r="G70" s="63">
        <f>IF(OR(4798692.63363="",4987.39382="",5323.65631=""),"-",(4987.39382-5323.65631)/4798692.63363*100)</f>
        <v>-7.0073771269161759E-3</v>
      </c>
    </row>
    <row r="71" spans="1:7" s="9" customFormat="1" x14ac:dyDescent="0.25">
      <c r="A71" s="52" t="s">
        <v>143</v>
      </c>
      <c r="B71" s="53">
        <v>4422.6871099999998</v>
      </c>
      <c r="C71" s="63">
        <f>IF(OR(3825.44556="",4422.68711=""),"-",4422.68711/3825.44556*100)</f>
        <v>115.61233954666446</v>
      </c>
      <c r="D71" s="53">
        <f>IF(3825.44556="","-",3825.44556/4798692.63363*100)</f>
        <v>7.9718495266620545E-2</v>
      </c>
      <c r="E71" s="53">
        <f>IF(4422.68711="","-",4422.68711/4325623.55461*100)</f>
        <v>0.1022439205391915</v>
      </c>
      <c r="F71" s="63">
        <f>IF(OR(4718168.92486="",3815.70397="",3825.44556=""),"-",(3825.44556-3815.70397)/4718168.92486*100)</f>
        <v>2.0646971643324842E-4</v>
      </c>
      <c r="G71" s="63">
        <f>IF(OR(4798692.63363="",4422.68711="",3825.44556=""),"-",(4422.68711-3825.44556)/4798692.63363*100)</f>
        <v>1.2445922162516434E-2</v>
      </c>
    </row>
    <row r="72" spans="1:7" s="9" customFormat="1" x14ac:dyDescent="0.25">
      <c r="A72" s="52" t="s">
        <v>76</v>
      </c>
      <c r="B72" s="53">
        <v>4315.8190199999999</v>
      </c>
      <c r="C72" s="63">
        <f>IF(OR(4161.66596="",4315.81902=""),"-",4315.81902/4161.66596*100)</f>
        <v>103.70411901103181</v>
      </c>
      <c r="D72" s="53">
        <f>IF(4161.66596="","-",4161.66596/4798692.63363*100)</f>
        <v>8.6724995279638964E-2</v>
      </c>
      <c r="E72" s="53">
        <f>IF(4315.81902="","-",4315.81902/4325623.55461*100)</f>
        <v>9.9773338236991263E-2</v>
      </c>
      <c r="F72" s="63">
        <f>IF(OR(4718168.92486="",4064.3796="",4161.66596=""),"-",(4161.66596-4064.3796)/4718168.92486*100)</f>
        <v>2.0619516076967677E-3</v>
      </c>
      <c r="G72" s="63">
        <f>IF(OR(4798692.63363="",4315.81902="",4161.66596=""),"-",(4315.81902-4161.66596)/4798692.63363*100)</f>
        <v>3.2123970374695497E-3</v>
      </c>
    </row>
    <row r="73" spans="1:7" s="9" customFormat="1" x14ac:dyDescent="0.25">
      <c r="A73" s="52" t="s">
        <v>59</v>
      </c>
      <c r="B73" s="53">
        <v>4177.7233100000003</v>
      </c>
      <c r="C73" s="63" t="s">
        <v>128</v>
      </c>
      <c r="D73" s="53">
        <f>IF(2710.02347="","-",2710.02347/4798692.63363*100)</f>
        <v>5.6474204057324388E-2</v>
      </c>
      <c r="E73" s="53">
        <f>IF(4177.72331="","-",4177.72331/4325623.55461*100)</f>
        <v>9.6580834121536632E-2</v>
      </c>
      <c r="F73" s="63">
        <f>IF(OR(4718168.92486="",2386.88756="",2710.02347=""),"-",(2710.02347-2386.88756)/4718168.92486*100)</f>
        <v>6.8487566923981684E-3</v>
      </c>
      <c r="G73" s="63">
        <f>IF(OR(4798692.63363="",4177.72331="",2710.02347=""),"-",(4177.72331-2710.02347)/4798692.63363*100)</f>
        <v>3.0585410486892339E-2</v>
      </c>
    </row>
    <row r="74" spans="1:7" s="9" customFormat="1" x14ac:dyDescent="0.25">
      <c r="A74" s="52" t="s">
        <v>86</v>
      </c>
      <c r="B74" s="53">
        <v>3983.2046700000001</v>
      </c>
      <c r="C74" s="63">
        <f>IF(OR(6981.05512="",3983.20467=""),"-",3983.20467/6981.05512*100)</f>
        <v>57.057344506398913</v>
      </c>
      <c r="D74" s="53">
        <f>IF(6981.05512="","-",6981.05512/4798692.63363*100)</f>
        <v>0.14547827195840085</v>
      </c>
      <c r="E74" s="53">
        <f>IF(3983.20467="","-",3983.20467/4325623.55461*100)</f>
        <v>9.2083941649405213E-2</v>
      </c>
      <c r="F74" s="63">
        <f>IF(OR(4718168.92486="",5082.68518="",6981.05512=""),"-",(6981.05512-5082.68518)/4718168.92486*100)</f>
        <v>4.0235310991039372E-2</v>
      </c>
      <c r="G74" s="63">
        <f>IF(OR(4798692.63363="",3983.20467="",6981.05512=""),"-",(3983.20467-6981.05512)/4798692.63363*100)</f>
        <v>-6.2472233145140159E-2</v>
      </c>
    </row>
    <row r="75" spans="1:7" s="9" customFormat="1" x14ac:dyDescent="0.25">
      <c r="A75" s="52" t="s">
        <v>82</v>
      </c>
      <c r="B75" s="53">
        <v>3671.4245500000002</v>
      </c>
      <c r="C75" s="63">
        <f>IF(OR(3346.42903="",3671.42455=""),"-",3671.42455/3346.42903*100)</f>
        <v>109.71171111314439</v>
      </c>
      <c r="D75" s="53">
        <f>IF(3346.42903="","-",3346.42903/4798692.63363*100)</f>
        <v>6.9736265385027876E-2</v>
      </c>
      <c r="E75" s="53">
        <f>IF(3671.42455="","-",3671.42455/4325623.55461*100)</f>
        <v>8.487619192121347E-2</v>
      </c>
      <c r="F75" s="63">
        <f>IF(OR(4718168.92486="",4394.17682="",3346.42903=""),"-",(3346.42903-4394.17682)/4718168.92486*100)</f>
        <v>-2.2206661242657591E-2</v>
      </c>
      <c r="G75" s="63">
        <f>IF(OR(4798692.63363="",3671.42455="",3346.42903=""),"-",(3671.42455-3346.42903)/4798692.63363*100)</f>
        <v>6.7725846352896246E-3</v>
      </c>
    </row>
    <row r="76" spans="1:7" s="9" customFormat="1" x14ac:dyDescent="0.25">
      <c r="A76" s="52" t="s">
        <v>81</v>
      </c>
      <c r="B76" s="53">
        <v>3563.0175599999998</v>
      </c>
      <c r="C76" s="63">
        <f>IF(OR(4141.65801="",3563.01756=""),"-",3563.01756/4141.65801*100)</f>
        <v>86.028772810239815</v>
      </c>
      <c r="D76" s="53">
        <f>IF(4141.65801="","-",4141.65801/4798692.63363*100)</f>
        <v>8.6308049425266445E-2</v>
      </c>
      <c r="E76" s="53">
        <f>IF(3563.01756="","-",3563.01756/4325623.55461*100)</f>
        <v>8.23700332453281E-2</v>
      </c>
      <c r="F76" s="63">
        <f>IF(OR(4718168.92486="",5553.28023="",4141.65801=""),"-",(4141.65801-5553.28023)/4718168.92486*100)</f>
        <v>-2.9918857134643324E-2</v>
      </c>
      <c r="G76" s="63">
        <f>IF(OR(4798692.63363="",3563.01756="",4141.65801=""),"-",(3563.01756-4141.65801)/4798692.63363*100)</f>
        <v>-1.2058293668254477E-2</v>
      </c>
    </row>
    <row r="77" spans="1:7" s="9" customFormat="1" x14ac:dyDescent="0.25">
      <c r="A77" s="52" t="s">
        <v>40</v>
      </c>
      <c r="B77" s="53">
        <v>3399.7716599999999</v>
      </c>
      <c r="C77" s="63">
        <f>IF(OR(3161.6736="",3399.77166=""),"-",3399.77166/3161.6736*100)</f>
        <v>107.53076029100536</v>
      </c>
      <c r="D77" s="53">
        <f>IF(3161.6736="","-",3161.6736/4798692.63363*100)</f>
        <v>6.5886145277205072E-2</v>
      </c>
      <c r="E77" s="53">
        <f>IF(3399.77166="","-",3399.77166/4325623.55461*100)</f>
        <v>7.8596105673058844E-2</v>
      </c>
      <c r="F77" s="63">
        <f>IF(OR(4718168.92486="",3902.26905="",3161.6736=""),"-",(3161.6736-3902.26905)/4718168.92486*100)</f>
        <v>-1.5696670928796282E-2</v>
      </c>
      <c r="G77" s="63">
        <f>IF(OR(4798692.63363="",3399.77166="",3161.6736=""),"-",(3399.77166-3161.6736)/4798692.63363*100)</f>
        <v>4.9617276658098664E-3</v>
      </c>
    </row>
    <row r="78" spans="1:7" s="9" customFormat="1" x14ac:dyDescent="0.25">
      <c r="A78" s="52" t="s">
        <v>87</v>
      </c>
      <c r="B78" s="53">
        <v>3275.42281</v>
      </c>
      <c r="C78" s="63">
        <f>IF(OR(3163.89981="",3275.42281=""),"-",3275.42281/3163.89981*100)</f>
        <v>103.52485877231365</v>
      </c>
      <c r="D78" s="53">
        <f>IF(3163.89981="","-",3163.89981/4798692.63363*100)</f>
        <v>6.593253728790395E-2</v>
      </c>
      <c r="E78" s="53">
        <f>IF(3275.42281="","-",3275.42281/4325623.55461*100)</f>
        <v>7.5721402212849592E-2</v>
      </c>
      <c r="F78" s="63">
        <f>IF(OR(4718168.92486="",1481.3646="",3163.89981=""),"-",(3163.89981-1481.3646)/4718168.92486*100)</f>
        <v>3.5660766640523048E-2</v>
      </c>
      <c r="G78" s="63">
        <f>IF(OR(4798692.63363="",3275.42281="",3163.89981=""),"-",(3275.42281-3163.89981)/4798692.63363*100)</f>
        <v>2.3240288244016556E-3</v>
      </c>
    </row>
    <row r="79" spans="1:7" s="9" customFormat="1" x14ac:dyDescent="0.25">
      <c r="A79" s="52" t="s">
        <v>38</v>
      </c>
      <c r="B79" s="53">
        <v>2979.3152</v>
      </c>
      <c r="C79" s="63">
        <f>IF(OR(2385.7342="",2979.3152=""),"-",2979.3152/2385.7342*100)</f>
        <v>124.88043303399013</v>
      </c>
      <c r="D79" s="53">
        <f>IF(2385.7342="","-",2385.7342/4798692.63363*100)</f>
        <v>4.9716336972291074E-2</v>
      </c>
      <c r="E79" s="53">
        <f>IF(2979.3152="","-",2979.3152/4325623.55461*100)</f>
        <v>6.8875970421069535E-2</v>
      </c>
      <c r="F79" s="63">
        <f>IF(OR(4718168.92486="",1349.07155="",2385.7342=""),"-",(2385.7342-1349.07155)/4718168.92486*100)</f>
        <v>2.1971715436847367E-2</v>
      </c>
      <c r="G79" s="63">
        <f>IF(OR(4798692.63363="",2979.3152="",2385.7342=""),"-",(2979.3152-2385.7342)/4798692.63363*100)</f>
        <v>1.2369639927343757E-2</v>
      </c>
    </row>
    <row r="80" spans="1:7" s="9" customFormat="1" x14ac:dyDescent="0.25">
      <c r="A80" s="52" t="s">
        <v>88</v>
      </c>
      <c r="B80" s="53">
        <v>2310.2365399999999</v>
      </c>
      <c r="C80" s="63">
        <f>IF(OR(2385.78366="",2310.23654=""),"-",2310.23654/2385.78366*100)</f>
        <v>96.833446331843845</v>
      </c>
      <c r="D80" s="53">
        <f>IF(2385.78366="","-",2385.78366/4798692.63363*100)</f>
        <v>4.9717367669686721E-2</v>
      </c>
      <c r="E80" s="53">
        <f>IF(2310.23654="","-",2310.23654/4325623.55461*100)</f>
        <v>5.3408173661757583E-2</v>
      </c>
      <c r="F80" s="63">
        <f>IF(OR(4718168.92486="",2394.40091="",2385.78366=""),"-",(2385.78366-2394.40091)/4718168.92486*100)</f>
        <v>-1.8263970911672016E-4</v>
      </c>
      <c r="G80" s="63">
        <f>IF(OR(4798692.63363="",2310.23654="",2385.78366=""),"-",(2310.23654-2385.78366)/4798692.63363*100)</f>
        <v>-1.5743271296551472E-3</v>
      </c>
    </row>
    <row r="81" spans="1:7" s="9" customFormat="1" x14ac:dyDescent="0.25">
      <c r="A81" s="52" t="s">
        <v>92</v>
      </c>
      <c r="B81" s="53">
        <v>1947.1145200000001</v>
      </c>
      <c r="C81" s="63">
        <f>IF(OR(2114.21468="",1947.11452=""),"-",1947.11452/2114.21468*100)</f>
        <v>92.096348512725299</v>
      </c>
      <c r="D81" s="53">
        <f>IF(2114.21468="","-",2114.21468/4798692.63363*100)</f>
        <v>4.4058139193647199E-2</v>
      </c>
      <c r="E81" s="53">
        <f>IF(1947.11452="","-",1947.11452/4325623.55461*100)</f>
        <v>4.5013499104074324E-2</v>
      </c>
      <c r="F81" s="63">
        <f>IF(OR(4718168.92486="",1588.5999="",2114.21468=""),"-",(2114.21468-1588.5999)/4718168.92486*100)</f>
        <v>1.1140228092100295E-2</v>
      </c>
      <c r="G81" s="63">
        <f>IF(OR(4798692.63363="",1947.11452="",2114.21468=""),"-",(1947.11452-2114.21468)/4798692.63363*100)</f>
        <v>-3.4822017736442531E-3</v>
      </c>
    </row>
    <row r="82" spans="1:7" s="9" customFormat="1" x14ac:dyDescent="0.25">
      <c r="A82" s="52" t="s">
        <v>39</v>
      </c>
      <c r="B82" s="53">
        <v>1886.98317</v>
      </c>
      <c r="C82" s="63">
        <f>IF(OR(2409.1969="",1886.98317=""),"-",1886.98317/2409.1969*100)</f>
        <v>78.324157315659832</v>
      </c>
      <c r="D82" s="53">
        <f>IF(2409.1969="","-",2409.1969/4798692.63363*100)</f>
        <v>5.020527639374036E-2</v>
      </c>
      <c r="E82" s="53">
        <f>IF(1886.98317="","-",1886.98317/4325623.55461*100)</f>
        <v>4.362337929265625E-2</v>
      </c>
      <c r="F82" s="63">
        <f>IF(OR(4718168.92486="",1990.24962="",2409.1969=""),"-",(2409.1969-1990.24962)/4718168.92486*100)</f>
        <v>8.879446384222691E-3</v>
      </c>
      <c r="G82" s="63">
        <f>IF(OR(4798692.63363="",1886.98317="",2409.1969=""),"-",(1886.98317-2409.1969)/4798692.63363*100)</f>
        <v>-1.0882416730345328E-2</v>
      </c>
    </row>
    <row r="83" spans="1:7" s="9" customFormat="1" x14ac:dyDescent="0.25">
      <c r="A83" s="52" t="s">
        <v>89</v>
      </c>
      <c r="B83" s="53">
        <v>1591.00542</v>
      </c>
      <c r="C83" s="63">
        <f>IF(OR(2210.15688="",1591.00542=""),"-",1591.00542/2210.15688*100)</f>
        <v>71.986085440233552</v>
      </c>
      <c r="D83" s="53">
        <f>IF(2210.15688="","-",2210.15688/4798692.63363*100)</f>
        <v>4.6057479583311287E-2</v>
      </c>
      <c r="E83" s="53">
        <f>IF(1591.00542="","-",1591.00542/4325623.55461*100)</f>
        <v>3.6780949611401069E-2</v>
      </c>
      <c r="F83" s="63">
        <f>IF(OR(4718168.92486="",3840.02526="",2210.15688=""),"-",(2210.15688-3840.02526)/4718168.92486*100)</f>
        <v>-3.4544510931184227E-2</v>
      </c>
      <c r="G83" s="63">
        <f>IF(OR(4798692.63363="",1591.00542="",2210.15688=""),"-",(1591.00542-2210.15688)/4798692.63363*100)</f>
        <v>-1.2902502978850703E-2</v>
      </c>
    </row>
    <row r="84" spans="1:7" s="9" customFormat="1" x14ac:dyDescent="0.25">
      <c r="A84" s="52" t="s">
        <v>74</v>
      </c>
      <c r="B84" s="53">
        <v>1575.1162099999999</v>
      </c>
      <c r="C84" s="63">
        <f>IF(OR(1217.6933="",1575.11621=""),"-",1575.11621/1217.6933*100)</f>
        <v>129.35245763444703</v>
      </c>
      <c r="D84" s="53">
        <f>IF(1217.6933="","-",1217.6933/4798692.63363*100)</f>
        <v>2.5375521896656015E-2</v>
      </c>
      <c r="E84" s="53">
        <f>IF(1575.11621="","-",1575.11621/4325623.55461*100)</f>
        <v>3.6413621992633455E-2</v>
      </c>
      <c r="F84" s="63">
        <f>IF(OR(4718168.92486="",1954.09974="",1217.6933=""),"-",(1217.6933-1954.09974)/4718168.92486*100)</f>
        <v>-1.560788627384407E-2</v>
      </c>
      <c r="G84" s="63">
        <f>IF(OR(4798692.63363="",1575.11621="",1217.6933=""),"-",(1575.11621-1217.6933)/4798692.63363*100)</f>
        <v>7.4483393142357876E-3</v>
      </c>
    </row>
    <row r="85" spans="1:7" s="9" customFormat="1" x14ac:dyDescent="0.25">
      <c r="A85" s="52" t="s">
        <v>146</v>
      </c>
      <c r="B85" s="53">
        <v>1545.2396200000001</v>
      </c>
      <c r="C85" s="63">
        <f>IF(OR(2315.87666="",1545.23962=""),"-",1545.23962/2315.87666*100)</f>
        <v>66.72374426019735</v>
      </c>
      <c r="D85" s="53">
        <f>IF(2315.87666="","-",2315.87666/4798692.63363*100)</f>
        <v>4.8260575052670986E-2</v>
      </c>
      <c r="E85" s="53">
        <f>IF(1545.23962="","-",1545.23962/4325623.55461*100)</f>
        <v>3.5722933364212256E-2</v>
      </c>
      <c r="F85" s="63">
        <f>IF(OR(4718168.92486="",1004.06519="",2315.87666=""),"-",(2315.87666-1004.06519)/4718168.92486*100)</f>
        <v>2.7803401931797613E-2</v>
      </c>
      <c r="G85" s="63">
        <f>IF(OR(4798692.63363="",1545.23962="",2315.87666=""),"-",(1545.23962-2315.87666)/4798692.63363*100)</f>
        <v>-1.6059312376026195E-2</v>
      </c>
    </row>
    <row r="86" spans="1:7" s="9" customFormat="1" x14ac:dyDescent="0.25">
      <c r="A86" s="52" t="s">
        <v>278</v>
      </c>
      <c r="B86" s="53">
        <v>1540.7614599999999</v>
      </c>
      <c r="C86" s="63">
        <f>IF(OR(2064.17463="",1540.76146=""),"-",1540.76146/2064.17463*100)</f>
        <v>74.642980182350172</v>
      </c>
      <c r="D86" s="53">
        <f>IF(2064.17463="","-",2064.17463/4798692.63363*100)</f>
        <v>4.3015354130705022E-2</v>
      </c>
      <c r="E86" s="53">
        <f>IF(1540.76146="","-",1540.76146/4325623.55461*100)</f>
        <v>3.5619407018392647E-2</v>
      </c>
      <c r="F86" s="63">
        <f>IF(OR(4718168.92486="",2056.64784="",2064.17463=""),"-",(2064.17463-2056.64784)/4718168.92486*100)</f>
        <v>1.595277769802028E-4</v>
      </c>
      <c r="G86" s="63">
        <f>IF(OR(4798692.63363="",1540.76146="",2064.17463=""),"-",(1540.76146-2064.17463)/4798692.63363*100)</f>
        <v>-1.0907411871555127E-2</v>
      </c>
    </row>
    <row r="87" spans="1:7" s="9" customFormat="1" x14ac:dyDescent="0.25">
      <c r="A87" s="52" t="s">
        <v>145</v>
      </c>
      <c r="B87" s="53">
        <v>1265.56493</v>
      </c>
      <c r="C87" s="63" t="s">
        <v>286</v>
      </c>
      <c r="D87" s="53">
        <f>IF(249.91256="","-",249.91256/4798692.63363*100)</f>
        <v>5.2079301401505296E-3</v>
      </c>
      <c r="E87" s="53">
        <f>IF(1265.56493="","-",1265.56493/4325623.55461*100)</f>
        <v>2.9257398708476004E-2</v>
      </c>
      <c r="F87" s="63">
        <f>IF(OR(4718168.92486="",223.60574="",249.91256=""),"-",(249.91256-223.60574)/4718168.92486*100)</f>
        <v>5.5756418260884133E-4</v>
      </c>
      <c r="G87" s="63">
        <f>IF(OR(4798692.63363="",1265.56493="",249.91256=""),"-",(1265.56493-249.91256)/4798692.63363*100)</f>
        <v>2.1165189095091168E-2</v>
      </c>
    </row>
    <row r="88" spans="1:7" s="9" customFormat="1" x14ac:dyDescent="0.25">
      <c r="A88" s="52" t="s">
        <v>98</v>
      </c>
      <c r="B88" s="53">
        <v>1098.04223</v>
      </c>
      <c r="C88" s="63">
        <f>IF(OR(919.65238="",1098.04223=""),"-",1098.04223/919.65238*100)</f>
        <v>119.39753040165024</v>
      </c>
      <c r="D88" s="53">
        <f>IF(919.65238="","-",919.65238/4798692.63363*100)</f>
        <v>1.9164644419084692E-2</v>
      </c>
      <c r="E88" s="53">
        <f>IF(1098.04223="","-",1098.04223/4325623.55461*100)</f>
        <v>2.5384599841790898E-2</v>
      </c>
      <c r="F88" s="63">
        <f>IF(OR(4718168.92486="",1177.80119="",919.65238=""),"-",(919.65238-1177.80119)/4718168.92486*100)</f>
        <v>-5.4713770132267968E-3</v>
      </c>
      <c r="G88" s="63">
        <f>IF(OR(4798692.63363="",1098.04223="",919.65238=""),"-",(1098.04223-919.65238)/4798692.63363*100)</f>
        <v>3.7174677275601197E-3</v>
      </c>
    </row>
    <row r="89" spans="1:7" x14ac:dyDescent="0.25">
      <c r="A89" s="52" t="s">
        <v>90</v>
      </c>
      <c r="B89" s="53">
        <v>1007.71686</v>
      </c>
      <c r="C89" s="63">
        <f>IF(OR(1049.86232="",1007.71686=""),"-",1007.71686/1049.86232*100)</f>
        <v>95.985620285905682</v>
      </c>
      <c r="D89" s="53">
        <f>IF(1049.86232="","-",1049.86232/4798692.63363*100)</f>
        <v>2.1878090558299111E-2</v>
      </c>
      <c r="E89" s="53">
        <f>IF(1007.71686="","-",1007.71686/4325623.55461*100)</f>
        <v>2.3296453037991098E-2</v>
      </c>
      <c r="F89" s="63">
        <f>IF(OR(4718168.92486="",1033.50329="",1049.86232=""),"-",(1049.86232-1033.50329)/4718168.92486*100)</f>
        <v>3.4672412667982762E-4</v>
      </c>
      <c r="G89" s="63">
        <f>IF(OR(4798692.63363="",1007.71686="",1049.86232=""),"-",(1007.71686-1049.86232)/4798692.63363*100)</f>
        <v>-8.7826962920354342E-4</v>
      </c>
    </row>
    <row r="90" spans="1:7" x14ac:dyDescent="0.25">
      <c r="A90" s="52" t="s">
        <v>65</v>
      </c>
      <c r="B90" s="53">
        <v>990.22398999999996</v>
      </c>
      <c r="C90" s="63" t="s">
        <v>104</v>
      </c>
      <c r="D90" s="53">
        <f>IF(589.37998="","-",589.37998/4798692.63363*100)</f>
        <v>1.2282094832862007E-2</v>
      </c>
      <c r="E90" s="53">
        <f>IF(990.22399="","-",990.22399/4325623.55461*100)</f>
        <v>2.2892051920345134E-2</v>
      </c>
      <c r="F90" s="63">
        <f>IF(OR(4718168.92486="",424.18127="",589.37998=""),"-",(589.37998-424.18127)/4718168.92486*100)</f>
        <v>3.5013309745984124E-3</v>
      </c>
      <c r="G90" s="63">
        <f>IF(OR(4798692.63363="",990.22399="",589.37998=""),"-",(990.22399-589.37998)/4798692.63363*100)</f>
        <v>8.3531920171511179E-3</v>
      </c>
    </row>
    <row r="91" spans="1:7" x14ac:dyDescent="0.25">
      <c r="A91" s="52" t="s">
        <v>173</v>
      </c>
      <c r="B91" s="53">
        <v>923.44293000000005</v>
      </c>
      <c r="C91" s="63">
        <f>IF(OR(911.42189="",923.44293=""),"-",923.44293/911.42189*100)</f>
        <v>101.31893255273911</v>
      </c>
      <c r="D91" s="53">
        <f>IF(911.42189="","-",911.42189/4798692.63363*100)</f>
        <v>1.8993129162151595E-2</v>
      </c>
      <c r="E91" s="53">
        <f>IF(923.44293="","-",923.44293/4325623.55461*100)</f>
        <v>2.1348203752401151E-2</v>
      </c>
      <c r="F91" s="63">
        <f>IF(OR(4718168.92486="",943.48934="",911.42189=""),"-",(911.42189-943.48934)/4718168.92486*100)</f>
        <v>-6.7965879371204442E-4</v>
      </c>
      <c r="G91" s="63">
        <f>IF(OR(4798692.63363="",923.44293="",911.42189=""),"-",(923.44293-911.42189)/4798692.63363*100)</f>
        <v>2.5050656330340327E-4</v>
      </c>
    </row>
    <row r="92" spans="1:7" x14ac:dyDescent="0.25">
      <c r="A92" s="52" t="s">
        <v>68</v>
      </c>
      <c r="B92" s="53">
        <v>910.49985000000004</v>
      </c>
      <c r="C92" s="63">
        <f>IF(OR(1613.97388="",910.49985=""),"-",910.49985/1613.97388*100)</f>
        <v>56.413543074191509</v>
      </c>
      <c r="D92" s="53">
        <f>IF(1613.97388="","-",1613.97388/4798692.63363*100)</f>
        <v>3.3633616553996701E-2</v>
      </c>
      <c r="E92" s="53">
        <f>IF(910.49985="","-",910.49985/4325623.55461*100)</f>
        <v>2.1048984926800712E-2</v>
      </c>
      <c r="F92" s="63">
        <f>IF(OR(4718168.92486="",1458.17288="",1613.97388=""),"-",(1613.97388-1458.17288)/4718168.92486*100)</f>
        <v>3.3021496788528601E-3</v>
      </c>
      <c r="G92" s="63">
        <f>IF(OR(4798692.63363="",910.49985="",1613.97388=""),"-",(910.49985-1613.97388)/4798692.63363*100)</f>
        <v>-1.4659701791899364E-2</v>
      </c>
    </row>
    <row r="93" spans="1:7" x14ac:dyDescent="0.25">
      <c r="A93" s="52" t="s">
        <v>94</v>
      </c>
      <c r="B93" s="53">
        <v>711.82696999999996</v>
      </c>
      <c r="C93" s="63">
        <f>IF(OR(687.53702="",711.82697=""),"-",711.82697/687.53702*100)</f>
        <v>103.53289339968923</v>
      </c>
      <c r="D93" s="53">
        <f>IF(687.53702="","-",687.53702/4798692.63363*100)</f>
        <v>1.432759029369023E-2</v>
      </c>
      <c r="E93" s="53">
        <f>IF(711.82697="","-",711.82697/4325623.55461*100)</f>
        <v>1.6456054508982316E-2</v>
      </c>
      <c r="F93" s="63">
        <f>IF(OR(4718168.92486="",670.03728="",687.53702=""),"-",(687.53702-670.03728)/4718168.92486*100)</f>
        <v>3.7090109062848435E-4</v>
      </c>
      <c r="G93" s="63">
        <f>IF(OR(4798692.63363="",711.82697="",687.53702=""),"-",(711.82697-687.53702)/4798692.63363*100)</f>
        <v>5.06178491820296E-4</v>
      </c>
    </row>
    <row r="94" spans="1:7" x14ac:dyDescent="0.25">
      <c r="A94" s="52" t="s">
        <v>178</v>
      </c>
      <c r="B94" s="53">
        <v>625.28049999999996</v>
      </c>
      <c r="C94" s="63" t="str">
        <f>IF(OR(""="",625.2805=""),"-",625.2805/""*100)</f>
        <v>-</v>
      </c>
      <c r="D94" s="53" t="str">
        <f>IF(""="","-",""/4798692.63363*100)</f>
        <v>-</v>
      </c>
      <c r="E94" s="53">
        <f>IF(625.2805="","-",625.2805/4325623.55461*100)</f>
        <v>1.4455268520387357E-2</v>
      </c>
      <c r="F94" s="63" t="str">
        <f>IF(OR(4718168.92486="",16.63="",""=""),"-",(""-16.63)/4718168.92486*100)</f>
        <v>-</v>
      </c>
      <c r="G94" s="63" t="str">
        <f>IF(OR(4798692.63363="",625.2805="",""=""),"-",(625.2805-"")/4798692.63363*100)</f>
        <v>-</v>
      </c>
    </row>
    <row r="95" spans="1:7" x14ac:dyDescent="0.25">
      <c r="A95" s="52" t="s">
        <v>172</v>
      </c>
      <c r="B95" s="53">
        <v>595.57189000000005</v>
      </c>
      <c r="C95" s="63">
        <f>IF(OR(788.42213="",595.57189=""),"-",595.57189/788.42213*100)</f>
        <v>75.539722610272236</v>
      </c>
      <c r="D95" s="53">
        <f>IF(788.42213="","-",788.42213/4798692.63363*100)</f>
        <v>1.6429936030380701E-2</v>
      </c>
      <c r="E95" s="53">
        <f>IF(595.57189="","-",595.57189/4325623.55461*100)</f>
        <v>1.3768463262719058E-2</v>
      </c>
      <c r="F95" s="63">
        <f>IF(OR(4718168.92486="",487.86208="",788.42213=""),"-",(788.42213-487.86208)/4718168.92486*100)</f>
        <v>6.3702689493873614E-3</v>
      </c>
      <c r="G95" s="63">
        <f>IF(OR(4798692.63363="",595.57189="",788.42213=""),"-",(595.57189-788.42213)/4798692.63363*100)</f>
        <v>-4.0188079279859451E-3</v>
      </c>
    </row>
    <row r="96" spans="1:7" x14ac:dyDescent="0.25">
      <c r="A96" s="52" t="s">
        <v>103</v>
      </c>
      <c r="B96" s="53">
        <v>523.91647999999998</v>
      </c>
      <c r="C96" s="63">
        <f>IF(OR(381.13123="",523.91648=""),"-",523.91648/381.13123*100)</f>
        <v>137.46353978916918</v>
      </c>
      <c r="D96" s="53">
        <f>IF(381.13123="","-",381.13123/4798692.63363*100)</f>
        <v>7.9423972131278386E-3</v>
      </c>
      <c r="E96" s="53">
        <f>IF(523.91648="","-",523.91648/4325623.55461*100)</f>
        <v>1.2111929607042203E-2</v>
      </c>
      <c r="F96" s="63">
        <f>IF(OR(4718168.92486="",599.44748="",381.13123=""),"-",(381.13123-599.44748)/4718168.92486*100)</f>
        <v>-4.6271393304655366E-3</v>
      </c>
      <c r="G96" s="63">
        <f>IF(OR(4798692.63363="",523.91648="",381.13123=""),"-",(523.91648-381.13123)/4798692.63363*100)</f>
        <v>2.975503140154013E-3</v>
      </c>
    </row>
    <row r="97" spans="1:7" x14ac:dyDescent="0.25">
      <c r="A97" s="52" t="s">
        <v>93</v>
      </c>
      <c r="B97" s="53">
        <v>519.75990999999999</v>
      </c>
      <c r="C97" s="63">
        <f>IF(OR(574.81595="",519.75991=""),"-",519.75991/574.81595*100)</f>
        <v>90.421970719497253</v>
      </c>
      <c r="D97" s="53">
        <f>IF(574.81595="","-",574.81595/4798692.63363*100)</f>
        <v>1.1978594877521403E-2</v>
      </c>
      <c r="E97" s="53">
        <f>IF(519.75991="","-",519.75991/4325623.55461*100)</f>
        <v>1.2015837796288812E-2</v>
      </c>
      <c r="F97" s="63">
        <f>IF(OR(4718168.92486="",986.70031="",574.81595=""),"-",(574.81595-986.70031)/4718168.92486*100)</f>
        <v>-8.7297501755349213E-3</v>
      </c>
      <c r="G97" s="63">
        <f>IF(OR(4798692.63363="",519.75991="",574.81595=""),"-",(519.75991-574.81595)/4798692.63363*100)</f>
        <v>-1.1473133247618024E-3</v>
      </c>
    </row>
    <row r="98" spans="1:7" x14ac:dyDescent="0.25">
      <c r="A98" s="52" t="s">
        <v>95</v>
      </c>
      <c r="B98" s="53">
        <v>503.42502999999999</v>
      </c>
      <c r="C98" s="63">
        <f>IF(OR(339.01095="",503.42503=""),"-",503.42503/339.01095*100)</f>
        <v>148.49816208001542</v>
      </c>
      <c r="D98" s="53">
        <f>IF(339.01095="","-",339.01095/4798692.63363*100)</f>
        <v>7.0646523101762634E-3</v>
      </c>
      <c r="E98" s="53">
        <f>IF(503.42503="","-",503.42503/4325623.55461*100)</f>
        <v>1.1638207154283655E-2</v>
      </c>
      <c r="F98" s="63">
        <f>IF(OR(4718168.92486="",408.71217="",339.01095=""),"-",(339.01095-408.71217)/4718168.92486*100)</f>
        <v>-1.4772938635737433E-3</v>
      </c>
      <c r="G98" s="63">
        <f>IF(OR(4798692.63363="",503.42503="",339.01095=""),"-",(503.42503-339.01095)/4798692.63363*100)</f>
        <v>3.4262265277788377E-3</v>
      </c>
    </row>
    <row r="99" spans="1:7" x14ac:dyDescent="0.25">
      <c r="A99" s="52" t="s">
        <v>112</v>
      </c>
      <c r="B99" s="53">
        <v>477.70924000000002</v>
      </c>
      <c r="C99" s="63">
        <f>IF(OR(453.80553="",477.70924=""),"-",477.70924/453.80553*100)</f>
        <v>105.26739063757114</v>
      </c>
      <c r="D99" s="53">
        <f>IF(453.80553="","-",453.80553/4798692.63363*100)</f>
        <v>9.4568576203372286E-3</v>
      </c>
      <c r="E99" s="53">
        <f>IF(477.70924="","-",477.70924/4325623.55461*100)</f>
        <v>1.1043708125985329E-2</v>
      </c>
      <c r="F99" s="63">
        <f>IF(OR(4718168.92486="",75.01705="",453.80553=""),"-",(453.80553-75.01705)/4718168.92486*100)</f>
        <v>8.0282941546277863E-3</v>
      </c>
      <c r="G99" s="63">
        <f>IF(OR(4798692.63363="",477.70924="",453.80553=""),"-",(477.70924-453.80553)/4798692.63363*100)</f>
        <v>4.981296329020753E-4</v>
      </c>
    </row>
    <row r="100" spans="1:7" x14ac:dyDescent="0.25">
      <c r="A100" s="52" t="s">
        <v>102</v>
      </c>
      <c r="B100" s="53">
        <v>390.62065000000001</v>
      </c>
      <c r="C100" s="63">
        <f>IF(OR(1073.01953="",390.62065=""),"-",390.62065/1073.01953*100)</f>
        <v>36.403871418817516</v>
      </c>
      <c r="D100" s="53">
        <f>IF(1073.01953="","-",1073.01953/4798692.63363*100)</f>
        <v>2.2360663870824082E-2</v>
      </c>
      <c r="E100" s="53">
        <f>IF(390.62065="","-",390.62065/4325623.55461*100)</f>
        <v>9.030389377820431E-3</v>
      </c>
      <c r="F100" s="63">
        <f>IF(OR(4718168.92486="",874.95651="",1073.01953=""),"-",(1073.01953-874.95651)/4718168.92486*100)</f>
        <v>4.1978789474113017E-3</v>
      </c>
      <c r="G100" s="63">
        <f>IF(OR(4798692.63363="",390.62065="",1073.01953=""),"-",(390.62065-1073.01953)/4798692.63363*100)</f>
        <v>-1.4220516546895297E-2</v>
      </c>
    </row>
    <row r="101" spans="1:7" x14ac:dyDescent="0.25">
      <c r="A101" s="52" t="s">
        <v>91</v>
      </c>
      <c r="B101" s="53">
        <v>386.36885000000001</v>
      </c>
      <c r="C101" s="63">
        <f>IF(OR(457.07598="",386.36885=""),"-",386.36885/457.07598*100)</f>
        <v>84.530552228975139</v>
      </c>
      <c r="D101" s="53">
        <f>IF(457.07598="","-",457.07598/4798692.63363*100)</f>
        <v>9.5250105580161355E-3</v>
      </c>
      <c r="E101" s="53">
        <f>IF(386.36885="","-",386.36885/4325623.55461*100)</f>
        <v>8.9320960347608232E-3</v>
      </c>
      <c r="F101" s="63">
        <f>IF(OR(4718168.92486="",1031.97892="",457.07598=""),"-",(457.07598-1031.97892)/4718168.92486*100)</f>
        <v>-1.2184874029644006E-2</v>
      </c>
      <c r="G101" s="63">
        <f>IF(OR(4798692.63363="",386.36885="",457.07598=""),"-",(386.36885-457.07598)/4798692.63363*100)</f>
        <v>-1.473466533456909E-3</v>
      </c>
    </row>
    <row r="102" spans="1:7" x14ac:dyDescent="0.25">
      <c r="A102" s="52" t="s">
        <v>134</v>
      </c>
      <c r="B102" s="53">
        <v>358.16352000000001</v>
      </c>
      <c r="C102" s="63">
        <f>IF(OR(933.35531="",358.16352=""),"-",358.16352/933.35531*100)</f>
        <v>38.373759292160663</v>
      </c>
      <c r="D102" s="53">
        <f>IF(933.35531="","-",933.35531/4798692.63363*100)</f>
        <v>1.9450199903592445E-2</v>
      </c>
      <c r="E102" s="53">
        <f>IF(358.16352="","-",358.16352/4325623.55461*100)</f>
        <v>8.2800436856852681E-3</v>
      </c>
      <c r="F102" s="63">
        <f>IF(OR(4718168.92486="",1291.82775="",933.35531=""),"-",(933.35531-1291.82775)/4718168.92486*100)</f>
        <v>-7.597702534795036E-3</v>
      </c>
      <c r="G102" s="63">
        <f>IF(OR(4798692.63363="",358.16352="",933.35531=""),"-",(358.16352-933.35531)/4798692.63363*100)</f>
        <v>-1.1986427010743815E-2</v>
      </c>
    </row>
    <row r="103" spans="1:7" x14ac:dyDescent="0.25">
      <c r="A103" s="52" t="s">
        <v>99</v>
      </c>
      <c r="B103" s="53">
        <v>311.30862000000002</v>
      </c>
      <c r="C103" s="63">
        <f>IF(OR(695.45314="",311.30862=""),"-",311.30862/695.45314*100)</f>
        <v>44.763421443463471</v>
      </c>
      <c r="D103" s="53">
        <f>IF(695.45314="","-",695.45314/4798692.63363*100)</f>
        <v>1.4492554391297202E-2</v>
      </c>
      <c r="E103" s="53">
        <f>IF(311.30862="","-",311.30862/4325623.55461*100)</f>
        <v>7.1968495656129219E-3</v>
      </c>
      <c r="F103" s="63">
        <f>IF(OR(4718168.92486="",599.43859="",695.45314=""),"-",(695.45314-599.43859)/4718168.92486*100)</f>
        <v>2.0349960234382451E-3</v>
      </c>
      <c r="G103" s="63">
        <f>IF(OR(4798692.63363="",311.30862="",695.45314=""),"-",(311.30862-695.45314)/4798692.63363*100)</f>
        <v>-8.0051911911976636E-3</v>
      </c>
    </row>
    <row r="104" spans="1:7" x14ac:dyDescent="0.25">
      <c r="A104" s="52" t="s">
        <v>108</v>
      </c>
      <c r="B104" s="53">
        <v>253.72402</v>
      </c>
      <c r="C104" s="63">
        <f>IF(OR(272.03385="",253.72402=""),"-",253.72402/272.03385*100)</f>
        <v>93.269282480838328</v>
      </c>
      <c r="D104" s="53">
        <f>IF(272.03385="","-",272.03385/4798692.63363*100)</f>
        <v>5.6689159062521229E-3</v>
      </c>
      <c r="E104" s="53">
        <f>IF(253.72402="","-",253.72402/4325623.55461*100)</f>
        <v>5.8656056588557177E-3</v>
      </c>
      <c r="F104" s="63">
        <f>IF(OR(4718168.92486="",56.54058="",272.03385=""),"-",(272.03385-56.54058)/4718168.92486*100)</f>
        <v>4.5673072209129143E-3</v>
      </c>
      <c r="G104" s="63">
        <f>IF(OR(4798692.63363="",253.72402="",272.03385=""),"-",(253.72402-272.03385)/4798692.63363*100)</f>
        <v>-3.8155871604865423E-4</v>
      </c>
    </row>
    <row r="105" spans="1:7" x14ac:dyDescent="0.25">
      <c r="A105" s="52" t="s">
        <v>135</v>
      </c>
      <c r="B105" s="53">
        <v>243.4365</v>
      </c>
      <c r="C105" s="63">
        <f>IF(OR(203.12298="",243.4365=""),"-",243.4365/203.12298*100)</f>
        <v>119.84685336932334</v>
      </c>
      <c r="D105" s="53">
        <f>IF(203.12298="","-",203.12298/4798692.63363*100)</f>
        <v>4.2328816514831955E-3</v>
      </c>
      <c r="E105" s="53">
        <f>IF(243.4365="","-",243.4365/4325623.55461*100)</f>
        <v>5.6277782133990701E-3</v>
      </c>
      <c r="F105" s="63">
        <f>IF(OR(4718168.92486="",172.49037="",203.12298=""),"-",(203.12298-172.49037)/4718168.92486*100)</f>
        <v>6.4924784355636336E-4</v>
      </c>
      <c r="G105" s="63">
        <f>IF(OR(4798692.63363="",243.4365="",203.12298=""),"-",(243.4365-203.12298)/4798692.63363*100)</f>
        <v>8.4009381466686216E-4</v>
      </c>
    </row>
    <row r="106" spans="1:7" x14ac:dyDescent="0.25">
      <c r="A106" s="52" t="s">
        <v>153</v>
      </c>
      <c r="B106" s="53">
        <v>213.15654000000001</v>
      </c>
      <c r="C106" s="63">
        <f>IF(OR(342.56046="",213.15654=""),"-",213.15654/342.56046*100)</f>
        <v>62.224501917121444</v>
      </c>
      <c r="D106" s="53">
        <f>IF(342.56046="","-",342.56046/4798692.63363*100)</f>
        <v>7.1386205817659974E-3</v>
      </c>
      <c r="E106" s="53">
        <f>IF(213.15654="","-",213.15654/4325623.55461*100)</f>
        <v>4.9277644554351031E-3</v>
      </c>
      <c r="F106" s="63">
        <f>IF(OR(4718168.92486="",130.621="",342.56046=""),"-",(342.56046-130.621)/4718168.92486*100)</f>
        <v>4.4919854158525863E-3</v>
      </c>
      <c r="G106" s="63">
        <f>IF(OR(4798692.63363="",213.15654="",342.56046=""),"-",(213.15654-342.56046)/4798692.63363*100)</f>
        <v>-2.6966494810089885E-3</v>
      </c>
    </row>
    <row r="107" spans="1:7" x14ac:dyDescent="0.25">
      <c r="A107" s="52" t="s">
        <v>148</v>
      </c>
      <c r="B107" s="53">
        <v>205.14183</v>
      </c>
      <c r="C107" s="63" t="s">
        <v>104</v>
      </c>
      <c r="D107" s="53">
        <f>IF(122.74016="","-",122.74016/4798692.63363*100)</f>
        <v>2.5577833249793387E-3</v>
      </c>
      <c r="E107" s="53">
        <f>IF(205.14183="","-",205.14183/4325623.55461*100)</f>
        <v>4.7424799548581075E-3</v>
      </c>
      <c r="F107" s="63">
        <f>IF(OR(4718168.92486="",358.01051="",122.74016=""),"-",(122.74016-358.01051)/4718168.92486*100)</f>
        <v>-4.9864757652139614E-3</v>
      </c>
      <c r="G107" s="63">
        <f>IF(OR(4798692.63363="",205.14183="",122.74016=""),"-",(205.14183-122.74016)/4798692.63363*100)</f>
        <v>1.7171691602524404E-3</v>
      </c>
    </row>
    <row r="108" spans="1:7" x14ac:dyDescent="0.25">
      <c r="A108" s="52" t="s">
        <v>179</v>
      </c>
      <c r="B108" s="53">
        <v>141.95885000000001</v>
      </c>
      <c r="C108" s="63" t="s">
        <v>287</v>
      </c>
      <c r="D108" s="53">
        <f>IF(24.65802="","-",24.65802/4798692.63363*100)</f>
        <v>5.1384870594112827E-4</v>
      </c>
      <c r="E108" s="53">
        <f>IF(141.95885="","-",141.95885/4325623.55461*100)</f>
        <v>3.2818123955495036E-3</v>
      </c>
      <c r="F108" s="63">
        <f>IF(OR(4718168.92486="",14.08697="",24.65802=""),"-",(24.65802-14.08697)/4718168.92486*100)</f>
        <v>2.2404984154554553E-4</v>
      </c>
      <c r="G108" s="63">
        <f>IF(OR(4798692.63363="",141.95885="",24.65802=""),"-",(141.95885-24.65802)/4798692.63363*100)</f>
        <v>2.4444330769997059E-3</v>
      </c>
    </row>
    <row r="109" spans="1:7" x14ac:dyDescent="0.25">
      <c r="A109" s="52" t="s">
        <v>240</v>
      </c>
      <c r="B109" s="53">
        <v>141.34557000000001</v>
      </c>
      <c r="C109" s="63" t="s">
        <v>96</v>
      </c>
      <c r="D109" s="53">
        <f>IF(68.88638="","-",68.88638/4798692.63363*100)</f>
        <v>1.4355239074333144E-3</v>
      </c>
      <c r="E109" s="53">
        <f>IF(141.34557="","-",141.34557/4325623.55461*100)</f>
        <v>3.2676345552391413E-3</v>
      </c>
      <c r="F109" s="63">
        <f>IF(OR(4718168.92486="",36.16465="",68.88638=""),"-",(68.88638-36.16465)/4718168.92486*100)</f>
        <v>6.9352603777260771E-4</v>
      </c>
      <c r="G109" s="63">
        <f>IF(OR(4798692.63363="",141.34557="",68.88638=""),"-",(141.34557-68.88638)/4798692.63363*100)</f>
        <v>1.5099777279376991E-3</v>
      </c>
    </row>
    <row r="110" spans="1:7" x14ac:dyDescent="0.25">
      <c r="A110" s="52" t="s">
        <v>155</v>
      </c>
      <c r="B110" s="53">
        <v>137.85902999999999</v>
      </c>
      <c r="C110" s="63" t="s">
        <v>106</v>
      </c>
      <c r="D110" s="53">
        <f>IF(73.30782="","-",73.30782/4798692.63363*100)</f>
        <v>1.5276623363256726E-3</v>
      </c>
      <c r="E110" s="53">
        <f>IF(137.85903="","-",137.85903/4325623.55461*100)</f>
        <v>3.1870325343747903E-3</v>
      </c>
      <c r="F110" s="63">
        <f>IF(OR(4718168.92486="",1.45149="",73.30782=""),"-",(73.30782-1.45149)/4718168.92486*100)</f>
        <v>1.5229706935966088E-3</v>
      </c>
      <c r="G110" s="63">
        <f>IF(OR(4798692.63363="",137.85903="",73.30782=""),"-",(137.85903-73.30782)/4798692.63363*100)</f>
        <v>1.3451832598657153E-3</v>
      </c>
    </row>
    <row r="111" spans="1:7" x14ac:dyDescent="0.25">
      <c r="A111" s="52" t="s">
        <v>164</v>
      </c>
      <c r="B111" s="53">
        <v>122.93989000000001</v>
      </c>
      <c r="C111" s="63">
        <f>IF(OR(151.26617="",122.93989=""),"-",122.93989/151.26617*100)</f>
        <v>81.27388298388199</v>
      </c>
      <c r="D111" s="53">
        <f>IF(151.26617="","-",151.26617/4798692.63363*100)</f>
        <v>3.1522371101641864E-3</v>
      </c>
      <c r="E111" s="53">
        <f>IF(122.93989="","-",122.93989/4325623.55461*100)</f>
        <v>2.8421310464933494E-3</v>
      </c>
      <c r="F111" s="63">
        <f>IF(OR(4718168.92486="",19.32164="",151.26617=""),"-",(151.26617-19.32164)/4718168.92486*100)</f>
        <v>2.7965198385497634E-3</v>
      </c>
      <c r="G111" s="63">
        <f>IF(OR(4798692.63363="",122.93989="",151.26617=""),"-",(122.93989-151.26617)/4798692.63363*100)</f>
        <v>-5.9029160987484198E-4</v>
      </c>
    </row>
    <row r="112" spans="1:7" x14ac:dyDescent="0.25">
      <c r="A112" s="52" t="s">
        <v>163</v>
      </c>
      <c r="B112" s="53">
        <v>114.4924</v>
      </c>
      <c r="C112" s="63">
        <f>IF(OR(135.84796="",114.4924=""),"-",114.4924/135.84796*100)</f>
        <v>84.279808103117631</v>
      </c>
      <c r="D112" s="53">
        <f>IF(135.84796="","-",135.84796/4798692.63363*100)</f>
        <v>2.8309368899344777E-3</v>
      </c>
      <c r="E112" s="53">
        <f>IF(114.4924="","-",114.4924/4325623.55461*100)</f>
        <v>2.6468415143980945E-3</v>
      </c>
      <c r="F112" s="63">
        <f>IF(OR(4718168.92486="",73.33796="",135.84796=""),"-",(135.84796-73.33796)/4718168.92486*100)</f>
        <v>1.3248783796323026E-3</v>
      </c>
      <c r="G112" s="63">
        <f>IF(OR(4798692.63363="",114.4924="",135.84796=""),"-",(114.4924-135.84796)/4798692.63363*100)</f>
        <v>-4.4502871157733339E-4</v>
      </c>
    </row>
    <row r="113" spans="1:7" x14ac:dyDescent="0.25">
      <c r="A113" s="52" t="s">
        <v>61</v>
      </c>
      <c r="B113" s="53">
        <v>109.78619999999999</v>
      </c>
      <c r="C113" s="63">
        <f>IF(OR(306.11471="",109.7862=""),"-",109.7862/306.11471*100)</f>
        <v>35.86439867590812</v>
      </c>
      <c r="D113" s="53">
        <f>IF(306.11471="","-",306.11471/4798692.63363*100)</f>
        <v>6.3791272617608284E-3</v>
      </c>
      <c r="E113" s="53">
        <f>IF(109.7862="","-",109.7862/4325623.55461*100)</f>
        <v>2.5380433274873443E-3</v>
      </c>
      <c r="F113" s="63">
        <f>IF(OR(4718168.92486="",481.03435="",306.11471=""),"-",(306.11471-481.03435)/4718168.92486*100)</f>
        <v>-3.7073628092955647E-3</v>
      </c>
      <c r="G113" s="63">
        <f>IF(OR(4798692.63363="",109.7862="",306.11471=""),"-",(109.7862-306.11471)/4798692.63363*100)</f>
        <v>-4.0912916285593829E-3</v>
      </c>
    </row>
    <row r="114" spans="1:7" x14ac:dyDescent="0.25">
      <c r="A114" s="52" t="s">
        <v>283</v>
      </c>
      <c r="B114" s="53">
        <v>106.7526</v>
      </c>
      <c r="C114" s="63" t="str">
        <f>IF(OR(""="",106.7526=""),"-",106.7526/""*100)</f>
        <v>-</v>
      </c>
      <c r="D114" s="53" t="str">
        <f>IF(""="","-",""/4798692.63363*100)</f>
        <v>-</v>
      </c>
      <c r="E114" s="53">
        <f>IF(106.7526="","-",106.7526/4325623.55461*100)</f>
        <v>2.4679123981149317E-3</v>
      </c>
      <c r="F114" s="63" t="str">
        <f>IF(OR(4718168.92486="",0.02723="",""=""),"-",(""-0.02723)/4718168.92486*100)</f>
        <v>-</v>
      </c>
      <c r="G114" s="63" t="str">
        <f>IF(OR(4798692.63363="",106.7526="",""=""),"-",(106.7526-"")/4798692.63363*100)</f>
        <v>-</v>
      </c>
    </row>
    <row r="115" spans="1:7" x14ac:dyDescent="0.25">
      <c r="A115" s="52" t="s">
        <v>147</v>
      </c>
      <c r="B115" s="53">
        <v>98.703299999999999</v>
      </c>
      <c r="C115" s="63" t="s">
        <v>288</v>
      </c>
      <c r="D115" s="53">
        <f>IF(34.77972="","-",34.77972/4798692.63363*100)</f>
        <v>7.247749054869277E-4</v>
      </c>
      <c r="E115" s="53">
        <f>IF(98.7033="","-",98.7033/4325623.55461*100)</f>
        <v>2.2818282440414334E-3</v>
      </c>
      <c r="F115" s="63">
        <f>IF(OR(4718168.92486="",18.94727="",34.77972=""),"-",(34.77972-18.94727)/4718168.92486*100)</f>
        <v>3.3556344107517913E-4</v>
      </c>
      <c r="G115" s="63">
        <f>IF(OR(4798692.63363="",98.7033="",34.77972=""),"-",(98.7033-34.77972)/4798692.63363*100)</f>
        <v>1.3321040725136966E-3</v>
      </c>
    </row>
    <row r="116" spans="1:7" x14ac:dyDescent="0.25">
      <c r="A116" s="52" t="s">
        <v>174</v>
      </c>
      <c r="B116" s="53">
        <v>96.671360000000007</v>
      </c>
      <c r="C116" s="63">
        <f>IF(OR(118.41813="",96.67136=""),"-",96.67136/118.41813*100)</f>
        <v>81.635607655685831</v>
      </c>
      <c r="D116" s="53">
        <f>IF(118.41813="","-",118.41813/4798692.63363*100)</f>
        <v>2.4677165019927915E-3</v>
      </c>
      <c r="E116" s="53">
        <f>IF(96.67136="","-",96.67136/4325623.55461*100)</f>
        <v>2.234853744888948E-3</v>
      </c>
      <c r="F116" s="63">
        <f>IF(OR(4718168.92486="",82.81713="",118.41813=""),"-",(118.41813-82.81713)/4718168.92486*100)</f>
        <v>7.5455119490144948E-4</v>
      </c>
      <c r="G116" s="63">
        <f>IF(OR(4798692.63363="",96.67136="",118.41813=""),"-",(96.67136-118.41813)/4798692.63363*100)</f>
        <v>-4.5318114037134154E-4</v>
      </c>
    </row>
    <row r="117" spans="1:7" x14ac:dyDescent="0.25">
      <c r="A117" s="52" t="s">
        <v>154</v>
      </c>
      <c r="B117" s="53">
        <v>91.405709999999999</v>
      </c>
      <c r="C117" s="63">
        <f>IF(OR(143.42514="",91.40571=""),"-",91.40571/143.42514*100)</f>
        <v>63.730605387591041</v>
      </c>
      <c r="D117" s="53">
        <f>IF(143.42514="","-",143.42514/4798692.63363*100)</f>
        <v>2.9888378137589776E-3</v>
      </c>
      <c r="E117" s="53">
        <f>IF(91.40571="","-",91.40571/4325623.55461*100)</f>
        <v>2.1131221625281071E-3</v>
      </c>
      <c r="F117" s="63">
        <f>IF(OR(4718168.92486="",99.91526="",143.42514=""),"-",(143.42514-99.91526)/4718168.92486*100)</f>
        <v>9.2217724063983243E-4</v>
      </c>
      <c r="G117" s="63">
        <f>IF(OR(4798692.63363="",91.40571="",143.42514=""),"-",(91.40571-143.42514)/4798692.63363*100)</f>
        <v>-1.0840333809971402E-3</v>
      </c>
    </row>
    <row r="118" spans="1:7" x14ac:dyDescent="0.25">
      <c r="A118" s="52" t="s">
        <v>110</v>
      </c>
      <c r="B118" s="53">
        <v>86.997029999999995</v>
      </c>
      <c r="C118" s="63">
        <f>IF(OR(61.26008="",86.99703=""),"-",86.99703/61.26008*100)</f>
        <v>142.01259613111833</v>
      </c>
      <c r="D118" s="53">
        <f>IF(61.26008="","-",61.26008/4798692.63363*100)</f>
        <v>1.2765993714762983E-3</v>
      </c>
      <c r="E118" s="53">
        <f>IF(86.99703="","-",86.99703/4325623.55461*100)</f>
        <v>2.0112020591177794E-3</v>
      </c>
      <c r="F118" s="63">
        <f>IF(OR(4718168.92486="",206.52197="",61.26008=""),"-",(61.26008-206.52197)/4718168.92486*100)</f>
        <v>-3.078776794841238E-3</v>
      </c>
      <c r="G118" s="63">
        <f>IF(OR(4798692.63363="",86.99703="",61.26008=""),"-",(86.99703-61.26008)/4798692.63363*100)</f>
        <v>5.3633253815073213E-4</v>
      </c>
    </row>
    <row r="119" spans="1:7" x14ac:dyDescent="0.25">
      <c r="A119" s="52" t="s">
        <v>149</v>
      </c>
      <c r="B119" s="53">
        <v>84.849270000000004</v>
      </c>
      <c r="C119" s="63">
        <f>IF(OR(90.85723="",84.84927=""),"-",84.84927/90.85723*100)</f>
        <v>93.387471751009798</v>
      </c>
      <c r="D119" s="53">
        <f>IF(90.85723="","-",90.85723/4798692.63363*100)</f>
        <v>1.8933746529889849E-3</v>
      </c>
      <c r="E119" s="53">
        <f>IF(84.84927="","-",84.84927/4325623.55461*100)</f>
        <v>1.9615500269220734E-3</v>
      </c>
      <c r="F119" s="63">
        <f>IF(OR(4718168.92486="",36.47897="",90.85723=""),"-",(90.85723-36.47897)/4718168.92486*100)</f>
        <v>1.1525288913137748E-3</v>
      </c>
      <c r="G119" s="63">
        <f>IF(OR(4798692.63363="",84.84927="",90.85723=""),"-",(84.84927-90.85723)/4798692.63363*100)</f>
        <v>-1.2519993378811678E-4</v>
      </c>
    </row>
    <row r="120" spans="1:7" x14ac:dyDescent="0.25">
      <c r="A120" s="52" t="s">
        <v>144</v>
      </c>
      <c r="B120" s="53">
        <v>71.612579999999994</v>
      </c>
      <c r="C120" s="63">
        <f>IF(OR(68.81472="",71.61258=""),"-",71.61258/68.81472*100)</f>
        <v>104.06578708741385</v>
      </c>
      <c r="D120" s="53">
        <f>IF(68.81472="","-",68.81472/4798692.63363*100)</f>
        <v>1.4340305840331491E-3</v>
      </c>
      <c r="E120" s="53">
        <f>IF(71.61258="","-",71.61258/4325623.55461*100)</f>
        <v>1.6555435094133292E-3</v>
      </c>
      <c r="F120" s="63">
        <f>IF(OR(4718168.92486="",263.80301="",68.81472=""),"-",(68.81472-263.80301)/4718168.92486*100)</f>
        <v>-4.1327110814665417E-3</v>
      </c>
      <c r="G120" s="63">
        <f>IF(OR(4798692.63363="",71.61258="",68.81472=""),"-",(71.61258-68.81472)/4798692.63363*100)</f>
        <v>5.8304630315185276E-5</v>
      </c>
    </row>
    <row r="121" spans="1:7" x14ac:dyDescent="0.25">
      <c r="A121" s="52" t="s">
        <v>249</v>
      </c>
      <c r="B121" s="53">
        <v>70.276830000000004</v>
      </c>
      <c r="C121" s="63">
        <f>IF(OR(58.54594="",70.27683=""),"-",70.27683/58.54594*100)</f>
        <v>120.03706832617257</v>
      </c>
      <c r="D121" s="53">
        <f>IF(58.54594="","-",58.54594/4798692.63363*100)</f>
        <v>1.2200393830123805E-3</v>
      </c>
      <c r="E121" s="53">
        <f>IF(70.27683="","-",70.27683/4325623.55461*100)</f>
        <v>1.6246635684490625E-3</v>
      </c>
      <c r="F121" s="63">
        <f>IF(OR(4718168.92486="",93.59891="",58.54594=""),"-",(58.54594-93.59891)/4718168.92486*100)</f>
        <v>-7.4293588377699117E-4</v>
      </c>
      <c r="G121" s="63">
        <f>IF(OR(4798692.63363="",70.27683="",58.54594=""),"-",(70.27683-58.54594)/4798692.63363*100)</f>
        <v>2.4446012478040503E-4</v>
      </c>
    </row>
    <row r="122" spans="1:7" x14ac:dyDescent="0.25">
      <c r="A122" s="56" t="s">
        <v>180</v>
      </c>
      <c r="B122" s="57">
        <v>56.439660000000003</v>
      </c>
      <c r="C122" s="66">
        <f>IF(OR(98.72405="",56.43966=""),"-",56.43966/98.72405*100)</f>
        <v>57.169109249468598</v>
      </c>
      <c r="D122" s="57">
        <f>IF(98.72405="","-",98.72405/4798692.63363*100)</f>
        <v>2.0573113874417836E-3</v>
      </c>
      <c r="E122" s="57">
        <f>IF(56.43966="","-",56.43966/4325623.55461*100)</f>
        <v>1.3047751217243552E-3</v>
      </c>
      <c r="F122" s="66">
        <f>IF(OR(4718168.92486="",87.62282="",98.72405=""),"-",(98.72405-87.62282)/4718168.92486*100)</f>
        <v>2.3528682793673826E-4</v>
      </c>
      <c r="G122" s="66">
        <f>IF(OR(4798692.63363="",56.43966="",98.72405=""),"-",(56.43966-98.72405)/4798692.63363*100)</f>
        <v>-8.8116479275343205E-4</v>
      </c>
    </row>
    <row r="123" spans="1:7" x14ac:dyDescent="0.25">
      <c r="A123" s="37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1"/>
  <sheetViews>
    <sheetView workbookViewId="0">
      <selection activeCell="B148" sqref="B148"/>
    </sheetView>
  </sheetViews>
  <sheetFormatPr defaultRowHeight="15.75" x14ac:dyDescent="0.25"/>
  <cols>
    <col min="1" max="1" width="43.25" customWidth="1"/>
    <col min="2" max="2" width="16" customWidth="1"/>
    <col min="3" max="3" width="15.625" customWidth="1"/>
    <col min="4" max="4" width="14.875" customWidth="1"/>
  </cols>
  <sheetData>
    <row r="1" spans="1:5" x14ac:dyDescent="0.25">
      <c r="A1" s="103" t="s">
        <v>159</v>
      </c>
      <c r="B1" s="103"/>
      <c r="C1" s="103"/>
      <c r="D1" s="103"/>
    </row>
    <row r="2" spans="1:5" x14ac:dyDescent="0.25">
      <c r="A2" s="4"/>
    </row>
    <row r="3" spans="1:5" ht="25.5" customHeight="1" x14ac:dyDescent="0.25">
      <c r="A3" s="104"/>
      <c r="B3" s="108" t="s">
        <v>275</v>
      </c>
      <c r="C3" s="109"/>
      <c r="D3" s="106" t="s">
        <v>276</v>
      </c>
      <c r="E3" s="1"/>
    </row>
    <row r="4" spans="1:5" ht="27.75" customHeight="1" x14ac:dyDescent="0.25">
      <c r="A4" s="105"/>
      <c r="B4" s="21">
        <v>2019</v>
      </c>
      <c r="C4" s="20">
        <v>2020</v>
      </c>
      <c r="D4" s="107"/>
      <c r="E4" s="1"/>
    </row>
    <row r="5" spans="1:5" ht="16.5" customHeight="1" x14ac:dyDescent="0.25">
      <c r="A5" s="43" t="s">
        <v>259</v>
      </c>
      <c r="B5" s="50">
        <v>-2504372.50074</v>
      </c>
      <c r="C5" s="50">
        <v>-2320708.0203499999</v>
      </c>
      <c r="D5" s="61">
        <f>IF(-2504372.50074="","-",-2320708.02035/-2504372.50074*100)</f>
        <v>92.66624751965891</v>
      </c>
    </row>
    <row r="6" spans="1:5" x14ac:dyDescent="0.25">
      <c r="A6" s="44" t="s">
        <v>151</v>
      </c>
      <c r="B6" s="39"/>
      <c r="C6" s="39"/>
      <c r="D6" s="46"/>
    </row>
    <row r="7" spans="1:5" x14ac:dyDescent="0.25">
      <c r="A7" s="42" t="s">
        <v>266</v>
      </c>
      <c r="B7" s="51">
        <v>-883117.49036000005</v>
      </c>
      <c r="C7" s="51">
        <v>-641577.16009999998</v>
      </c>
      <c r="D7" s="62">
        <f>IF(-883117.49036="","-",-641577.1601/-883117.49036*100)</f>
        <v>72.649128468564598</v>
      </c>
    </row>
    <row r="8" spans="1:5" x14ac:dyDescent="0.25">
      <c r="A8" s="52" t="s">
        <v>4</v>
      </c>
      <c r="B8" s="53">
        <v>-194601.75943000001</v>
      </c>
      <c r="C8" s="53">
        <v>-175088.82861999999</v>
      </c>
      <c r="D8" s="63">
        <f>IF(OR(-194601.75943="",-175088.82862="",-194601.75943=0),"-",-175088.82862/-194601.75943*100)</f>
        <v>89.97289085815332</v>
      </c>
    </row>
    <row r="9" spans="1:5" x14ac:dyDescent="0.25">
      <c r="A9" s="52" t="s">
        <v>3</v>
      </c>
      <c r="B9" s="53">
        <v>-110514.37453</v>
      </c>
      <c r="C9" s="53">
        <v>-107709.40518</v>
      </c>
      <c r="D9" s="63">
        <f>IF(OR(-110514.37453="",-107709.40518="",-110514.37453=0),"-",-107709.40518/-110514.37453*100)</f>
        <v>97.461896371463823</v>
      </c>
    </row>
    <row r="10" spans="1:5" x14ac:dyDescent="0.25">
      <c r="A10" s="52" t="s">
        <v>5</v>
      </c>
      <c r="B10" s="53">
        <v>-71608.459310000006</v>
      </c>
      <c r="C10" s="53">
        <v>-88895.160759999999</v>
      </c>
      <c r="D10" s="63">
        <f>IF(OR(-71608.45931="",-88895.16076="",-71608.45931=0),"-",-88895.16076/-71608.45931*100)</f>
        <v>124.14058564668203</v>
      </c>
    </row>
    <row r="11" spans="1:5" x14ac:dyDescent="0.25">
      <c r="A11" s="52" t="s">
        <v>125</v>
      </c>
      <c r="B11" s="53">
        <v>-92914.146410000001</v>
      </c>
      <c r="C11" s="53">
        <v>-73386.053140000004</v>
      </c>
      <c r="D11" s="63">
        <f>IF(OR(-92914.14641="",-73386.05314="",-92914.14641=0),"-",-73386.05314/-92914.14641*100)</f>
        <v>78.98264793411667</v>
      </c>
    </row>
    <row r="12" spans="1:5" x14ac:dyDescent="0.25">
      <c r="A12" s="52" t="s">
        <v>43</v>
      </c>
      <c r="B12" s="53">
        <v>-84873.181769999996</v>
      </c>
      <c r="C12" s="53">
        <v>-62074.314310000002</v>
      </c>
      <c r="D12" s="63">
        <f>IF(OR(-84873.18177="",-62074.31431="",-84873.18177=0),"-",-62074.31431/-84873.18177*100)</f>
        <v>73.137725033352424</v>
      </c>
    </row>
    <row r="13" spans="1:5" x14ac:dyDescent="0.25">
      <c r="A13" s="52" t="s">
        <v>41</v>
      </c>
      <c r="B13" s="53">
        <v>-38615.377529999998</v>
      </c>
      <c r="C13" s="53">
        <v>-33928.459690000003</v>
      </c>
      <c r="D13" s="63">
        <f>IF(OR(-38615.37753="",-33928.45969="",-38615.37753=0),"-",-33928.45969/-38615.37753*100)</f>
        <v>87.862561135499035</v>
      </c>
    </row>
    <row r="14" spans="1:5" x14ac:dyDescent="0.25">
      <c r="A14" s="52" t="s">
        <v>8</v>
      </c>
      <c r="B14" s="53">
        <v>-52763.064559999999</v>
      </c>
      <c r="C14" s="53">
        <v>-30707.54</v>
      </c>
      <c r="D14" s="63">
        <f>IF(OR(-52763.06456="",-30707.54="",-52763.06456=0),"-",-30707.54/-52763.06456*100)</f>
        <v>58.198931877962934</v>
      </c>
    </row>
    <row r="15" spans="1:5" x14ac:dyDescent="0.25">
      <c r="A15" s="52" t="s">
        <v>42</v>
      </c>
      <c r="B15" s="53">
        <v>-22911.489979999998</v>
      </c>
      <c r="C15" s="53">
        <v>-22602.989850000002</v>
      </c>
      <c r="D15" s="63">
        <f>IF(OR(-22911.48998="",-22602.98985="",-22911.48998=0),"-",-22602.98985/-22911.48998*100)</f>
        <v>98.653513454300466</v>
      </c>
    </row>
    <row r="16" spans="1:5" x14ac:dyDescent="0.25">
      <c r="A16" s="52" t="s">
        <v>53</v>
      </c>
      <c r="B16" s="53">
        <v>-18852.629769999901</v>
      </c>
      <c r="C16" s="53">
        <v>-20947.136269999999</v>
      </c>
      <c r="D16" s="63">
        <f>IF(OR(-18852.6297699999="",-20947.13627="",-18852.6297699999=0),"-",-20947.13627/-18852.6297699999*100)</f>
        <v>111.10989037366595</v>
      </c>
    </row>
    <row r="17" spans="1:4" x14ac:dyDescent="0.25">
      <c r="A17" s="52" t="s">
        <v>51</v>
      </c>
      <c r="B17" s="53">
        <v>-19862.164970000002</v>
      </c>
      <c r="C17" s="53">
        <v>-17141.132720000001</v>
      </c>
      <c r="D17" s="63">
        <f>IF(OR(-19862.16497="",-17141.13272="",-19862.16497=0),"-",-17141.13272/-19862.16497*100)</f>
        <v>86.30042468124762</v>
      </c>
    </row>
    <row r="18" spans="1:4" x14ac:dyDescent="0.25">
      <c r="A18" s="52" t="s">
        <v>45</v>
      </c>
      <c r="B18" s="53">
        <v>-16980.503789999999</v>
      </c>
      <c r="C18" s="53">
        <v>-16089.3089</v>
      </c>
      <c r="D18" s="63">
        <f>IF(OR(-16980.50379="",-16089.3089="",-16980.50379=0),"-",-16089.3089/-16980.50379*100)</f>
        <v>94.751658130868691</v>
      </c>
    </row>
    <row r="19" spans="1:4" x14ac:dyDescent="0.25">
      <c r="A19" s="52" t="s">
        <v>6</v>
      </c>
      <c r="B19" s="53">
        <v>-3047.3817199999999</v>
      </c>
      <c r="C19" s="53">
        <v>-10353.80737</v>
      </c>
      <c r="D19" s="63" t="s">
        <v>300</v>
      </c>
    </row>
    <row r="20" spans="1:4" x14ac:dyDescent="0.25">
      <c r="A20" s="52" t="s">
        <v>7</v>
      </c>
      <c r="B20" s="53">
        <v>-43150.526019999998</v>
      </c>
      <c r="C20" s="53">
        <v>-9835.5481299999992</v>
      </c>
      <c r="D20" s="63">
        <f>IF(OR(-43150.52602="",-9835.54813="",-43150.52602=0),"-",-9835.54813/-43150.52602*100)</f>
        <v>22.793576433903226</v>
      </c>
    </row>
    <row r="21" spans="1:4" x14ac:dyDescent="0.25">
      <c r="A21" s="52" t="s">
        <v>49</v>
      </c>
      <c r="B21" s="53">
        <v>-9976.5288199999995</v>
      </c>
      <c r="C21" s="53">
        <v>-9683.2856699999993</v>
      </c>
      <c r="D21" s="63">
        <f>IF(OR(-9976.52882="",-9683.28567="",-9976.52882=0),"-",-9683.28567/-9976.52882*100)</f>
        <v>97.060669544580136</v>
      </c>
    </row>
    <row r="22" spans="1:4" x14ac:dyDescent="0.25">
      <c r="A22" s="52" t="s">
        <v>50</v>
      </c>
      <c r="B22" s="53">
        <v>-10639.114740000001</v>
      </c>
      <c r="C22" s="53">
        <v>-8814.8578400000006</v>
      </c>
      <c r="D22" s="63">
        <f>IF(OR(-10639.11474="",-8814.85784="",-10639.11474=0),"-",-8814.85784/-10639.11474*100)</f>
        <v>82.853301758826603</v>
      </c>
    </row>
    <row r="23" spans="1:4" x14ac:dyDescent="0.25">
      <c r="A23" s="52" t="s">
        <v>52</v>
      </c>
      <c r="B23" s="53">
        <v>-12272.423650000001</v>
      </c>
      <c r="C23" s="53">
        <v>-6728.3928900000001</v>
      </c>
      <c r="D23" s="63">
        <f>IF(OR(-12272.42365="",-6728.39289="",-12272.42365=0),"-",-6728.39289/-12272.42365*100)</f>
        <v>54.825298424244018</v>
      </c>
    </row>
    <row r="24" spans="1:4" x14ac:dyDescent="0.25">
      <c r="A24" s="52" t="s">
        <v>54</v>
      </c>
      <c r="B24" s="53">
        <v>-5751.7241299999996</v>
      </c>
      <c r="C24" s="53">
        <v>-5123.9530999999997</v>
      </c>
      <c r="D24" s="63">
        <f>IF(OR(-5751.72413="",-5123.9531="",-5751.72413=0),"-",-5123.9531/-5751.72413*100)</f>
        <v>89.085515650417676</v>
      </c>
    </row>
    <row r="25" spans="1:4" x14ac:dyDescent="0.25">
      <c r="A25" s="52" t="s">
        <v>44</v>
      </c>
      <c r="B25" s="53">
        <v>-6137.2472100000005</v>
      </c>
      <c r="C25" s="53">
        <v>-4968.7460199999996</v>
      </c>
      <c r="D25" s="63">
        <f>IF(OR(-6137.24721="",-4968.74602="",-6137.24721=0),"-",-4968.74602/-6137.24721*100)</f>
        <v>80.960499878576655</v>
      </c>
    </row>
    <row r="26" spans="1:4" x14ac:dyDescent="0.25">
      <c r="A26" s="52" t="s">
        <v>46</v>
      </c>
      <c r="B26" s="53">
        <v>-2673.0352600000001</v>
      </c>
      <c r="C26" s="53">
        <v>-3275.2405600000002</v>
      </c>
      <c r="D26" s="63">
        <f>IF(OR(-2673.03526="",-3275.24056="",-2673.03526=0),"-",-3275.24056/-2673.03526*100)</f>
        <v>122.52889473668971</v>
      </c>
    </row>
    <row r="27" spans="1:4" x14ac:dyDescent="0.25">
      <c r="A27" s="52" t="s">
        <v>126</v>
      </c>
      <c r="B27" s="53">
        <v>-3758.3123599999999</v>
      </c>
      <c r="C27" s="53">
        <v>-2658.5185999999999</v>
      </c>
      <c r="D27" s="63">
        <f>IF(OR(-3758.31236="",-2658.5186="",-3758.31236=0),"-",-2658.5186/-3758.31236*100)</f>
        <v>70.737031554237291</v>
      </c>
    </row>
    <row r="28" spans="1:4" x14ac:dyDescent="0.25">
      <c r="A28" s="52" t="s">
        <v>55</v>
      </c>
      <c r="B28" s="53">
        <v>-1665.5003899999999</v>
      </c>
      <c r="C28" s="53">
        <v>-1037.45848</v>
      </c>
      <c r="D28" s="63">
        <f>IF(OR(-1665.50039="",-1037.45848="",-1665.50039=0),"-",-1037.45848/-1665.50039*100)</f>
        <v>62.291097992477809</v>
      </c>
    </row>
    <row r="29" spans="1:4" x14ac:dyDescent="0.25">
      <c r="A29" s="52" t="s">
        <v>56</v>
      </c>
      <c r="B29" s="53">
        <v>364.92833999999999</v>
      </c>
      <c r="C29" s="53">
        <v>-107.61638000000001</v>
      </c>
      <c r="D29" s="63" t="s">
        <v>22</v>
      </c>
    </row>
    <row r="30" spans="1:4" x14ac:dyDescent="0.25">
      <c r="A30" s="52" t="s">
        <v>47</v>
      </c>
      <c r="B30" s="53">
        <v>-1041.8256699999999</v>
      </c>
      <c r="C30" s="53">
        <v>1069.1417200000001</v>
      </c>
      <c r="D30" s="63" t="s">
        <v>22</v>
      </c>
    </row>
    <row r="31" spans="1:4" x14ac:dyDescent="0.25">
      <c r="A31" s="52" t="s">
        <v>10</v>
      </c>
      <c r="B31" s="53">
        <v>-17777.71111</v>
      </c>
      <c r="C31" s="53">
        <v>1961.76719</v>
      </c>
      <c r="D31" s="63" t="s">
        <v>22</v>
      </c>
    </row>
    <row r="32" spans="1:4" x14ac:dyDescent="0.25">
      <c r="A32" s="52" t="s">
        <v>9</v>
      </c>
      <c r="B32" s="53">
        <v>9363.6355199999998</v>
      </c>
      <c r="C32" s="53">
        <v>4821.2921500000002</v>
      </c>
      <c r="D32" s="63">
        <f>IF(OR(9363.63552="",4821.29215="",9363.63552=0),"-",4821.29215/9363.63552*100)</f>
        <v>51.489532454590893</v>
      </c>
    </row>
    <row r="33" spans="1:4" x14ac:dyDescent="0.25">
      <c r="A33" s="52" t="s">
        <v>48</v>
      </c>
      <c r="B33" s="53">
        <v>8767.2111199999999</v>
      </c>
      <c r="C33" s="53">
        <v>9527.1666299999997</v>
      </c>
      <c r="D33" s="63">
        <f>IF(OR(8767.21112="",9527.16663="",8767.21112=0),"-",9527.16663/8767.21112*100)</f>
        <v>108.66815569510318</v>
      </c>
    </row>
    <row r="34" spans="1:4" x14ac:dyDescent="0.25">
      <c r="A34" s="52" t="s">
        <v>2</v>
      </c>
      <c r="B34" s="53">
        <v>-59224.782209999998</v>
      </c>
      <c r="C34" s="53">
        <v>52201.226690000003</v>
      </c>
      <c r="D34" s="63" t="s">
        <v>22</v>
      </c>
    </row>
    <row r="35" spans="1:4" x14ac:dyDescent="0.25">
      <c r="A35" s="42" t="s">
        <v>169</v>
      </c>
      <c r="B35" s="51">
        <v>-797861.81009000004</v>
      </c>
      <c r="C35" s="51">
        <v>-761177.19278000004</v>
      </c>
      <c r="D35" s="62">
        <f>IF(-797861.81009="","-",-761177.19278/-797861.81009*100)</f>
        <v>95.402133947749434</v>
      </c>
    </row>
    <row r="36" spans="1:4" x14ac:dyDescent="0.25">
      <c r="A36" s="52" t="s">
        <v>12</v>
      </c>
      <c r="B36" s="53">
        <v>-412003.87663000001</v>
      </c>
      <c r="C36" s="53">
        <v>-380317.58552000002</v>
      </c>
      <c r="D36" s="63">
        <f>IF(OR(-412003.87663="",-380317.58552="",-412003.87663=0),"-",-380317.58552/-412003.87663*100)</f>
        <v>92.309225007983159</v>
      </c>
    </row>
    <row r="37" spans="1:4" x14ac:dyDescent="0.25">
      <c r="A37" s="52" t="s">
        <v>127</v>
      </c>
      <c r="B37" s="53">
        <v>-344961.07922000001</v>
      </c>
      <c r="C37" s="53">
        <v>-293630.01776999998</v>
      </c>
      <c r="D37" s="63">
        <f>IF(OR(-344961.07922="",-293630.01777="",-344961.07922=0),"-",-293630.01777/-344961.07922*100)</f>
        <v>85.119752765713173</v>
      </c>
    </row>
    <row r="38" spans="1:4" x14ac:dyDescent="0.25">
      <c r="A38" s="52" t="s">
        <v>13</v>
      </c>
      <c r="B38" s="53">
        <v>410.12921999999998</v>
      </c>
      <c r="C38" s="53">
        <v>-43658.771549999998</v>
      </c>
      <c r="D38" s="63" t="s">
        <v>22</v>
      </c>
    </row>
    <row r="39" spans="1:4" x14ac:dyDescent="0.25">
      <c r="A39" s="52" t="s">
        <v>11</v>
      </c>
      <c r="B39" s="53">
        <v>-42336.935689999998</v>
      </c>
      <c r="C39" s="53">
        <v>-39229.281410000003</v>
      </c>
      <c r="D39" s="63">
        <f>IF(OR(-42336.93569="",-39229.28141="",-42336.93569=0),"-",-39229.28141/-42336.93569*100)</f>
        <v>92.659709000304375</v>
      </c>
    </row>
    <row r="40" spans="1:4" x14ac:dyDescent="0.25">
      <c r="A40" s="52" t="s">
        <v>15</v>
      </c>
      <c r="B40" s="53">
        <v>-3974.75551</v>
      </c>
      <c r="C40" s="53">
        <v>-2277.7254400000002</v>
      </c>
      <c r="D40" s="63">
        <f>IF(OR(-3974.75551="",-2277.72544="",-3974.75551=0),"-",-2277.72544/-3974.75551*100)</f>
        <v>57.304793572070558</v>
      </c>
    </row>
    <row r="41" spans="1:4" x14ac:dyDescent="0.25">
      <c r="A41" s="52" t="s">
        <v>14</v>
      </c>
      <c r="B41" s="53">
        <v>3347.44596</v>
      </c>
      <c r="C41" s="53">
        <v>-1787.53081</v>
      </c>
      <c r="D41" s="63" t="s">
        <v>22</v>
      </c>
    </row>
    <row r="42" spans="1:4" x14ac:dyDescent="0.25">
      <c r="A42" s="52" t="s">
        <v>16</v>
      </c>
      <c r="B42" s="53">
        <v>-1560.3515199999999</v>
      </c>
      <c r="C42" s="53">
        <v>-1155.5916099999999</v>
      </c>
      <c r="D42" s="63">
        <f>IF(OR(-1560.35152="",-1155.59161="",-1560.35152=0),"-",-1155.59161/-1560.35152*100)</f>
        <v>74.059697137988508</v>
      </c>
    </row>
    <row r="43" spans="1:4" x14ac:dyDescent="0.25">
      <c r="A43" s="52" t="s">
        <v>18</v>
      </c>
      <c r="B43" s="53">
        <v>140.90352999999999</v>
      </c>
      <c r="C43" s="53">
        <v>251.27453</v>
      </c>
      <c r="D43" s="63" t="s">
        <v>243</v>
      </c>
    </row>
    <row r="44" spans="1:4" x14ac:dyDescent="0.25">
      <c r="A44" s="52" t="s">
        <v>129</v>
      </c>
      <c r="B44" s="53">
        <v>656.90346999999997</v>
      </c>
      <c r="C44" s="53">
        <v>305.02238999999997</v>
      </c>
      <c r="D44" s="63">
        <f>IF(OR(656.90347="",305.02239="",656.90347=0),"-",305.02239/656.90347*100)</f>
        <v>46.433365620674827</v>
      </c>
    </row>
    <row r="45" spans="1:4" x14ac:dyDescent="0.25">
      <c r="A45" s="52" t="s">
        <v>17</v>
      </c>
      <c r="B45" s="53">
        <v>2419.8063000000002</v>
      </c>
      <c r="C45" s="53">
        <v>323.01441</v>
      </c>
      <c r="D45" s="63">
        <f>IF(OR(2419.8063="",323.01441="",2419.8063=0),"-",323.01441/2419.8063*100)</f>
        <v>13.348771345871773</v>
      </c>
    </row>
    <row r="46" spans="1:4" x14ac:dyDescent="0.25">
      <c r="A46" s="42" t="s">
        <v>170</v>
      </c>
      <c r="B46" s="51">
        <v>-823393.20028999995</v>
      </c>
      <c r="C46" s="51">
        <v>-917953.66746999999</v>
      </c>
      <c r="D46" s="62">
        <f>IF(-823393.20029="","-",-917953.66747/-823393.20029*100)</f>
        <v>111.48424193285733</v>
      </c>
    </row>
    <row r="47" spans="1:4" x14ac:dyDescent="0.25">
      <c r="A47" s="52" t="s">
        <v>60</v>
      </c>
      <c r="B47" s="53">
        <f>IF(-478964.17535="","-",-478964.17535)</f>
        <v>-478964.17534999998</v>
      </c>
      <c r="C47" s="53">
        <f>IF(-499081.26665="","-",-499081.26665)</f>
        <v>-499081.26665000001</v>
      </c>
      <c r="D47" s="63">
        <f>IF(OR(-478964.17535="",-499081.26665="",-478964.17535=0),"-",-499081.26665/-478964.17535*100)</f>
        <v>104.20012442168552</v>
      </c>
    </row>
    <row r="48" spans="1:4" x14ac:dyDescent="0.25">
      <c r="A48" s="52" t="s">
        <v>57</v>
      </c>
      <c r="B48" s="53">
        <f>IF(-164585.40736="","-",-164585.40736)</f>
        <v>-164585.40736000001</v>
      </c>
      <c r="C48" s="53">
        <f>IF(-172791.73949="","-",-172791.73949)</f>
        <v>-172791.73949000001</v>
      </c>
      <c r="D48" s="63">
        <f>IF(OR(-164585.40736="",-172791.73949="",-164585.40736=0),"-",-172791.73949/-164585.40736*100)</f>
        <v>104.98606301836358</v>
      </c>
    </row>
    <row r="49" spans="1:5" x14ac:dyDescent="0.25">
      <c r="A49" s="52" t="s">
        <v>77</v>
      </c>
      <c r="B49" s="53">
        <f>IF(-39491.7597="","-",-39491.7597)</f>
        <v>-39491.759700000002</v>
      </c>
      <c r="C49" s="53">
        <f>IF(-41696.65819="","-",-41696.65819)</f>
        <v>-41696.658190000002</v>
      </c>
      <c r="D49" s="63">
        <f>IF(OR(-39491.7597="",-41696.65819="",-39491.7597=0),"-",-41696.65819/-39491.7597*100)</f>
        <v>105.58318623112659</v>
      </c>
    </row>
    <row r="50" spans="1:5" x14ac:dyDescent="0.25">
      <c r="A50" s="52" t="s">
        <v>37</v>
      </c>
      <c r="B50" s="53">
        <f>IF(-33231.73992="","-",-33231.73992)</f>
        <v>-33231.73992</v>
      </c>
      <c r="C50" s="53">
        <f>IF(-33619.51715="","-",-33619.51715)</f>
        <v>-33619.51715</v>
      </c>
      <c r="D50" s="63">
        <f>IF(OR(-33231.73992="",-33619.51715="",-33231.73992=0),"-",-33619.51715/-33231.73992*100)</f>
        <v>101.16688813445674</v>
      </c>
    </row>
    <row r="51" spans="1:5" x14ac:dyDescent="0.25">
      <c r="A51" s="52" t="s">
        <v>73</v>
      </c>
      <c r="B51" s="53">
        <f>IF(-39430.04966="","-",-39430.04966)</f>
        <v>-39430.049659999997</v>
      </c>
      <c r="C51" s="53">
        <f>IF(-33338.98546="","-",-33338.98546)</f>
        <v>-33338.985460000004</v>
      </c>
      <c r="D51" s="63">
        <f>IF(OR(-39430.04966="",-33338.98546="",-39430.04966=0),"-",-33338.98546/-39430.04966*100)</f>
        <v>84.552227926359663</v>
      </c>
    </row>
    <row r="52" spans="1:5" x14ac:dyDescent="0.25">
      <c r="A52" s="52" t="s">
        <v>19</v>
      </c>
      <c r="B52" s="53">
        <f>IF(-42424.82877="","-",-42424.82877)</f>
        <v>-42424.82877</v>
      </c>
      <c r="C52" s="53">
        <f>IF(-33289.50203="","-",-33289.50203)</f>
        <v>-33289.502030000003</v>
      </c>
      <c r="D52" s="63">
        <f>IF(OR(-42424.82877="",-33289.50203="",-42424.82877=0),"-",-33289.50203/-42424.82877*100)</f>
        <v>78.467027434510499</v>
      </c>
    </row>
    <row r="53" spans="1:5" x14ac:dyDescent="0.25">
      <c r="A53" s="52" t="s">
        <v>70</v>
      </c>
      <c r="B53" s="53">
        <f>IF(-29243.15733="","-",-29243.15733)</f>
        <v>-29243.157329999998</v>
      </c>
      <c r="C53" s="53">
        <f>IF(-32719.70066="","-",-32719.70066)</f>
        <v>-32719.700659999999</v>
      </c>
      <c r="D53" s="63">
        <f>IF(OR(-29243.15733="",-32719.70066="",-29243.15733=0),"-",-32719.70066/-29243.15733*100)</f>
        <v>111.88839936388632</v>
      </c>
    </row>
    <row r="54" spans="1:5" x14ac:dyDescent="0.25">
      <c r="A54" s="52" t="s">
        <v>67</v>
      </c>
      <c r="B54" s="53">
        <f>IF(-12541.48982="","-",-12541.48982)</f>
        <v>-12541.489820000001</v>
      </c>
      <c r="C54" s="53">
        <f>IF(-21636.89746="","-",-21636.89746)</f>
        <v>-21636.89746</v>
      </c>
      <c r="D54" s="63" t="s">
        <v>104</v>
      </c>
    </row>
    <row r="55" spans="1:5" x14ac:dyDescent="0.25">
      <c r="A55" s="52" t="s">
        <v>80</v>
      </c>
      <c r="B55" s="53">
        <f>IF(-13742.97142="","-",-13742.97142)</f>
        <v>-13742.97142</v>
      </c>
      <c r="C55" s="53">
        <f>IF(-15719.67503="","-",-15719.67503)</f>
        <v>-15719.67503</v>
      </c>
      <c r="D55" s="63">
        <f>IF(OR(-13742.97142="",-15719.67503="",-13742.97142=0),"-",-15719.67503/-13742.97142*100)</f>
        <v>114.3833785983381</v>
      </c>
    </row>
    <row r="56" spans="1:5" x14ac:dyDescent="0.25">
      <c r="A56" s="52" t="s">
        <v>71</v>
      </c>
      <c r="B56" s="53">
        <f>IF(-15381.28888="","-",-15381.28888)</f>
        <v>-15381.28888</v>
      </c>
      <c r="C56" s="53">
        <f>IF(-13038.39905="","-",-13038.39905)</f>
        <v>-13038.39905</v>
      </c>
      <c r="D56" s="63">
        <f>IF(OR(-15381.28888="",-13038.39905="",-15381.28888=0),"-",-13038.39905/-15381.28888*100)</f>
        <v>84.767922582570989</v>
      </c>
    </row>
    <row r="57" spans="1:5" x14ac:dyDescent="0.25">
      <c r="A57" s="52" t="s">
        <v>72</v>
      </c>
      <c r="B57" s="53">
        <f>IF(-6968.43987="","-",-6968.43987)</f>
        <v>-6968.4398700000002</v>
      </c>
      <c r="C57" s="53">
        <f>IF(-8310.15802="","-",-8310.15802)</f>
        <v>-8310.1580200000008</v>
      </c>
      <c r="D57" s="63">
        <f>IF(OR(-6968.43987="",-8310.15802="",-6968.43987=0),"-",-8310.15802/-6968.43987*100)</f>
        <v>119.25421148823088</v>
      </c>
    </row>
    <row r="58" spans="1:5" x14ac:dyDescent="0.25">
      <c r="A58" s="52" t="s">
        <v>62</v>
      </c>
      <c r="B58" s="53">
        <f>IF(-1430.406="","-",-1430.406)</f>
        <v>-1430.4059999999999</v>
      </c>
      <c r="C58" s="53">
        <f>IF(-7864.56964="","-",-7864.56964)</f>
        <v>-7864.5696399999997</v>
      </c>
      <c r="D58" s="63" t="s">
        <v>270</v>
      </c>
    </row>
    <row r="59" spans="1:5" x14ac:dyDescent="0.25">
      <c r="A59" s="52" t="s">
        <v>83</v>
      </c>
      <c r="B59" s="53">
        <f>IF(-7909.37885="","-",-7909.37885)</f>
        <v>-7909.3788500000001</v>
      </c>
      <c r="C59" s="53">
        <f>IF(-7661.85054="","-",-7661.85054)</f>
        <v>-7661.8505400000004</v>
      </c>
      <c r="D59" s="63">
        <f>IF(OR(-7909.37885="",-7661.85054="",-7909.37885=0),"-",-7661.85054/-7909.37885*100)</f>
        <v>96.870445648206626</v>
      </c>
    </row>
    <row r="60" spans="1:5" x14ac:dyDescent="0.25">
      <c r="A60" s="52" t="s">
        <v>84</v>
      </c>
      <c r="B60" s="53">
        <f>IF(-8007.24872="","-",-8007.24872)</f>
        <v>-8007.2487199999996</v>
      </c>
      <c r="C60" s="53">
        <f>IF(-7555.46511="","-",-7555.46511)</f>
        <v>-7555.4651100000001</v>
      </c>
      <c r="D60" s="63">
        <f>IF(OR(-8007.24872="",-7555.46511="",-8007.24872=0),"-",-7555.46511/-8007.24872*100)</f>
        <v>94.357817200412882</v>
      </c>
    </row>
    <row r="61" spans="1:5" x14ac:dyDescent="0.25">
      <c r="A61" s="52" t="s">
        <v>75</v>
      </c>
      <c r="B61" s="53">
        <f>IF(-4764.30489="","-",-4764.30489)</f>
        <v>-4764.3048900000003</v>
      </c>
      <c r="C61" s="53">
        <f>IF(-7427.24121="","-",-7427.24121)</f>
        <v>-7427.2412100000001</v>
      </c>
      <c r="D61" s="63" t="s">
        <v>105</v>
      </c>
      <c r="E61" s="1"/>
    </row>
    <row r="62" spans="1:5" x14ac:dyDescent="0.25">
      <c r="A62" s="52" t="s">
        <v>79</v>
      </c>
      <c r="B62" s="53">
        <f>IF(-7080.91036="","-",-7080.91036)</f>
        <v>-7080.9103599999999</v>
      </c>
      <c r="C62" s="53">
        <f>IF(-6408.65895="","-",-6408.65895)</f>
        <v>-6408.65895</v>
      </c>
      <c r="D62" s="63">
        <f>IF(OR(-7080.91036="",-6408.65895="",-7080.91036=0),"-",-6408.65895/-7080.91036*100)</f>
        <v>90.506144325769995</v>
      </c>
    </row>
    <row r="63" spans="1:5" x14ac:dyDescent="0.25">
      <c r="A63" s="52" t="s">
        <v>64</v>
      </c>
      <c r="B63" s="53">
        <f>IF(-4749.02805="","-",-4749.02805)</f>
        <v>-4749.0280499999999</v>
      </c>
      <c r="C63" s="53">
        <f>IF(-5666.10104="","-",-5666.10104)</f>
        <v>-5666.1010399999996</v>
      </c>
      <c r="D63" s="63">
        <f>IF(OR(-4749.02805="",-5666.10104="",-4749.02805=0),"-",-5666.10104/-4749.02805*100)</f>
        <v>119.31075117570636</v>
      </c>
    </row>
    <row r="64" spans="1:5" x14ac:dyDescent="0.25">
      <c r="A64" s="52" t="s">
        <v>85</v>
      </c>
      <c r="B64" s="53">
        <f>IF(-5935.83362="","-",-5935.83362)</f>
        <v>-5935.8336200000003</v>
      </c>
      <c r="C64" s="53">
        <f>IF(-5101.45819="","-",-5101.45819)</f>
        <v>-5101.4581900000003</v>
      </c>
      <c r="D64" s="63">
        <f>IF(OR(-5935.83362="",-5101.45819="",-5935.83362=0),"-",-5101.45819/-5935.83362*100)</f>
        <v>85.94341614986169</v>
      </c>
    </row>
    <row r="65" spans="1:5" x14ac:dyDescent="0.25">
      <c r="A65" s="52" t="s">
        <v>124</v>
      </c>
      <c r="B65" s="53">
        <f>IF(-4844.37396="","-",-4844.37396)</f>
        <v>-4844.3739599999999</v>
      </c>
      <c r="C65" s="53">
        <f>IF(-4201.4935="","-",-4201.4935)</f>
        <v>-4201.4934999999996</v>
      </c>
      <c r="D65" s="63">
        <f>IF(OR(-4844.37396="",-4201.4935="",-4844.37396=0),"-",-4201.4935/-4844.37396*100)</f>
        <v>86.729338706956455</v>
      </c>
    </row>
    <row r="66" spans="1:5" x14ac:dyDescent="0.25">
      <c r="A66" s="52" t="s">
        <v>63</v>
      </c>
      <c r="B66" s="53">
        <f>IF(-3204.82205="","-",-3204.82205)</f>
        <v>-3204.8220500000002</v>
      </c>
      <c r="C66" s="53">
        <f>IF(-3928.30544="","-",-3928.30544)</f>
        <v>-3928.3054400000001</v>
      </c>
      <c r="D66" s="63">
        <f>IF(OR(-3204.82205="",-3928.30544="",-3204.82205=0),"-",-3928.30544/-3204.82205*100)</f>
        <v>122.57483812556768</v>
      </c>
    </row>
    <row r="67" spans="1:5" x14ac:dyDescent="0.25">
      <c r="A67" s="52" t="s">
        <v>76</v>
      </c>
      <c r="B67" s="53">
        <f>IF(-2434.04694="","-",-2434.04694)</f>
        <v>-2434.0469400000002</v>
      </c>
      <c r="C67" s="53">
        <f>IF(-3801.46983="","-",-3801.46983)</f>
        <v>-3801.46983</v>
      </c>
      <c r="D67" s="63" t="s">
        <v>105</v>
      </c>
    </row>
    <row r="68" spans="1:5" x14ac:dyDescent="0.25">
      <c r="A68" s="52" t="s">
        <v>82</v>
      </c>
      <c r="B68" s="53">
        <f>IF(-3346.42903="","-",-3346.42903)</f>
        <v>-3346.4290299999998</v>
      </c>
      <c r="C68" s="53">
        <f>IF(-3659.66855="","-",-3659.66855)</f>
        <v>-3659.6685499999999</v>
      </c>
      <c r="D68" s="63">
        <f>IF(OR(-3346.42903="",-3659.66855="",-3346.42903=0),"-",-3659.66855/-3346.42903*100)</f>
        <v>109.36041126800768</v>
      </c>
      <c r="E68" s="1"/>
    </row>
    <row r="69" spans="1:5" x14ac:dyDescent="0.25">
      <c r="A69" s="52" t="s">
        <v>81</v>
      </c>
      <c r="B69" s="53">
        <f>IF(-4141.65801="","-",-4141.65801)</f>
        <v>-4141.6580100000001</v>
      </c>
      <c r="C69" s="53">
        <f>IF(-3542.5144="","-",-3542.5144)</f>
        <v>-3542.5144</v>
      </c>
      <c r="D69" s="63">
        <f>IF(OR(-4141.65801="",-3542.5144="",-4141.65801=0),"-",-3542.5144/-4141.65801*100)</f>
        <v>85.533725658821353</v>
      </c>
    </row>
    <row r="70" spans="1:5" x14ac:dyDescent="0.25">
      <c r="A70" s="52" t="s">
        <v>143</v>
      </c>
      <c r="B70" s="53">
        <f>IF(-2717.37173="","-",-2717.37173)</f>
        <v>-2717.3717299999998</v>
      </c>
      <c r="C70" s="53">
        <f>IF(-3121.28088="","-",-3121.28088)</f>
        <v>-3121.2808799999998</v>
      </c>
      <c r="D70" s="63">
        <f>IF(OR(-2717.37173="",-3121.28088="",-2717.37173=0),"-",-3121.28088/-2717.37173*100)</f>
        <v>114.8639637904822</v>
      </c>
    </row>
    <row r="71" spans="1:5" x14ac:dyDescent="0.25">
      <c r="A71" s="52" t="s">
        <v>87</v>
      </c>
      <c r="B71" s="53">
        <f>IF(-3028.39300999999="","-",-3028.39300999999)</f>
        <v>-3028.3930099999902</v>
      </c>
      <c r="C71" s="53">
        <f>IF(-2969.27843="","-",-2969.27843)</f>
        <v>-2969.2784299999998</v>
      </c>
      <c r="D71" s="63">
        <f>IF(OR(-3028.39300999999="",-2969.27843="",-3028.39300999999=0),"-",-2969.27843/-3028.39300999999*100)</f>
        <v>98.047988494069642</v>
      </c>
    </row>
    <row r="72" spans="1:5" x14ac:dyDescent="0.25">
      <c r="A72" s="52" t="s">
        <v>86</v>
      </c>
      <c r="B72" s="53">
        <f>IF(-5065.98648="","-",-5065.98648)</f>
        <v>-5065.9864799999996</v>
      </c>
      <c r="C72" s="53">
        <f>IF(-2828.81831="","-",-2828.81831)</f>
        <v>-2828.8183100000001</v>
      </c>
      <c r="D72" s="63">
        <f>IF(OR(-5065.98648="",-2828.81831="",-5065.98648=0),"-",-2828.81831/-5065.98648*100)</f>
        <v>55.839436626368574</v>
      </c>
    </row>
    <row r="73" spans="1:5" x14ac:dyDescent="0.25">
      <c r="A73" s="52" t="s">
        <v>92</v>
      </c>
      <c r="B73" s="53">
        <f>IF(-937.33206="","-",-937.33206)</f>
        <v>-937.33205999999996</v>
      </c>
      <c r="C73" s="53">
        <f>IF(-1662.24442="","-",-1662.24442)</f>
        <v>-1662.24442</v>
      </c>
      <c r="D73" s="63" t="s">
        <v>243</v>
      </c>
    </row>
    <row r="74" spans="1:5" x14ac:dyDescent="0.25">
      <c r="A74" s="52" t="s">
        <v>89</v>
      </c>
      <c r="B74" s="53">
        <f>IF(-2206.0063="","-",-2206.0063)</f>
        <v>-2206.0063</v>
      </c>
      <c r="C74" s="53">
        <f>IF(-1550.81802="","-",-1550.81802)</f>
        <v>-1550.8180199999999</v>
      </c>
      <c r="D74" s="63">
        <f>IF(OR(-2206.0063="",-1550.81802="",-2206.0063=0),"-",-1550.81802/-2206.0063*100)</f>
        <v>70.299800141096597</v>
      </c>
    </row>
    <row r="75" spans="1:5" x14ac:dyDescent="0.25">
      <c r="A75" s="52" t="s">
        <v>40</v>
      </c>
      <c r="B75" s="53">
        <f>IF(-1718.03507="","-",-1718.03507)</f>
        <v>-1718.0350699999999</v>
      </c>
      <c r="C75" s="53">
        <f>IF(-1548.53526="","-",-1548.53526)</f>
        <v>-1548.5352600000001</v>
      </c>
      <c r="D75" s="63">
        <f>IF(OR(-1718.03507="",-1548.53526="",-1718.03507=0),"-",-1548.53526/-1718.03507*100)</f>
        <v>90.13408905558606</v>
      </c>
    </row>
    <row r="76" spans="1:5" x14ac:dyDescent="0.25">
      <c r="A76" s="52" t="s">
        <v>146</v>
      </c>
      <c r="B76" s="53">
        <f>IF(-2315.87666="","-",-2315.87666)</f>
        <v>-2315.8766599999999</v>
      </c>
      <c r="C76" s="53">
        <f>IF(-1545.23962="","-",-1545.23962)</f>
        <v>-1545.2396200000001</v>
      </c>
      <c r="D76" s="63">
        <f>IF(OR(-2315.87666="",-1545.23962="",-2315.87666=0),"-",-1545.23962/-2315.87666*100)</f>
        <v>66.72374426019735</v>
      </c>
      <c r="E76" s="12"/>
    </row>
    <row r="77" spans="1:5" x14ac:dyDescent="0.25">
      <c r="A77" s="52" t="s">
        <v>74</v>
      </c>
      <c r="B77" s="53">
        <f>IF(-1217.6933="","-",-1217.6933)</f>
        <v>-1217.6932999999999</v>
      </c>
      <c r="C77" s="53">
        <f>IF(-1505.06384="","-",-1505.06384)</f>
        <v>-1505.06384</v>
      </c>
      <c r="D77" s="63">
        <f>IF(OR(-1217.6933="",-1505.06384="",-1217.6933=0),"-",-1505.06384/-1217.6933*100)</f>
        <v>123.59958291632221</v>
      </c>
    </row>
    <row r="78" spans="1:5" x14ac:dyDescent="0.25">
      <c r="A78" s="52" t="s">
        <v>88</v>
      </c>
      <c r="B78" s="53">
        <f>IF(-1944.29941="","-",-1944.29941)</f>
        <v>-1944.2994100000001</v>
      </c>
      <c r="C78" s="53">
        <f>IF(-1155.80178="","-",-1155.80178)</f>
        <v>-1155.80178</v>
      </c>
      <c r="D78" s="63">
        <f>IF(OR(-1944.29941="",-1155.80178="",-1944.29941=0),"-",-1155.80178/-1944.29941*100)</f>
        <v>59.445668401452636</v>
      </c>
    </row>
    <row r="79" spans="1:5" x14ac:dyDescent="0.25">
      <c r="A79" s="52" t="s">
        <v>98</v>
      </c>
      <c r="B79" s="53">
        <f>IF(-919.65238="","-",-919.65238)</f>
        <v>-919.65237999999999</v>
      </c>
      <c r="C79" s="53">
        <f>IF(-1098.04223="","-",-1098.04223)</f>
        <v>-1098.04223</v>
      </c>
      <c r="D79" s="63">
        <f>IF(OR(-919.65238="",-1098.04223="",-919.65238=0),"-",-1098.04223/-919.65238*100)</f>
        <v>119.39753040165024</v>
      </c>
    </row>
    <row r="80" spans="1:5" x14ac:dyDescent="0.25">
      <c r="A80" s="52" t="s">
        <v>145</v>
      </c>
      <c r="B80" s="53">
        <f>IF(1.14925="","-",1.14925)</f>
        <v>1.1492500000000001</v>
      </c>
      <c r="C80" s="53">
        <f>IF(-1073.81133="","-",-1073.81133)</f>
        <v>-1073.81133</v>
      </c>
      <c r="D80" s="63" t="s">
        <v>22</v>
      </c>
    </row>
    <row r="81" spans="1:5" x14ac:dyDescent="0.25">
      <c r="A81" s="52" t="s">
        <v>90</v>
      </c>
      <c r="B81" s="53">
        <f>IF(-1048.76468="","-",-1048.76468)</f>
        <v>-1048.76468</v>
      </c>
      <c r="C81" s="53">
        <f>IF(-998.60191="","-",-998.60191)</f>
        <v>-998.60190999999998</v>
      </c>
      <c r="D81" s="63">
        <f>IF(OR(-1048.76468="",-998.60191="",-1048.76468=0),"-",-998.60191/-1048.76468*100)</f>
        <v>95.216966116746036</v>
      </c>
    </row>
    <row r="82" spans="1:5" x14ac:dyDescent="0.25">
      <c r="A82" s="52" t="s">
        <v>173</v>
      </c>
      <c r="B82" s="53">
        <f>IF(-505.40079="","-",-505.40079)</f>
        <v>-505.40078999999997</v>
      </c>
      <c r="C82" s="53">
        <f>IF(-915.76693="","-",-915.76693)</f>
        <v>-915.76693</v>
      </c>
      <c r="D82" s="63" t="s">
        <v>243</v>
      </c>
    </row>
    <row r="83" spans="1:5" x14ac:dyDescent="0.25">
      <c r="A83" s="52" t="s">
        <v>39</v>
      </c>
      <c r="B83" s="53">
        <f>IF(-1631.41926="","-",-1631.41926)</f>
        <v>-1631.4192599999999</v>
      </c>
      <c r="C83" s="53">
        <f>IF(-808.01188="","-",-808.01188)</f>
        <v>-808.01188000000002</v>
      </c>
      <c r="D83" s="63">
        <f>IF(OR(-1631.41926="",-808.01188="",-1631.41926=0),"-",-808.01188/-1631.41926*100)</f>
        <v>49.528156238636051</v>
      </c>
    </row>
    <row r="84" spans="1:5" x14ac:dyDescent="0.25">
      <c r="A84" s="52" t="s">
        <v>69</v>
      </c>
      <c r="B84" s="53">
        <f>IF(845.1172="","-",845.1172)</f>
        <v>845.11720000000003</v>
      </c>
      <c r="C84" s="53">
        <f>IF(-767.16882="","-",-767.16882)</f>
        <v>-767.16881999999998</v>
      </c>
      <c r="D84" s="63" t="s">
        <v>22</v>
      </c>
    </row>
    <row r="85" spans="1:5" x14ac:dyDescent="0.25">
      <c r="A85" s="52" t="s">
        <v>66</v>
      </c>
      <c r="B85" s="53">
        <f>IF(5759.25158999999="","-",5759.25158999999)</f>
        <v>5759.2515899999898</v>
      </c>
      <c r="C85" s="53">
        <f>IF(-765.4955="","-",-765.4955)</f>
        <v>-765.49549999999999</v>
      </c>
      <c r="D85" s="63" t="s">
        <v>22</v>
      </c>
    </row>
    <row r="86" spans="1:5" x14ac:dyDescent="0.25">
      <c r="A86" s="52" t="s">
        <v>178</v>
      </c>
      <c r="B86" s="53">
        <f>IF(3="","-",3)</f>
        <v>3</v>
      </c>
      <c r="C86" s="53">
        <f>IF(-625.2805="","-",-625.2805)</f>
        <v>-625.28049999999996</v>
      </c>
      <c r="D86" s="63" t="s">
        <v>22</v>
      </c>
    </row>
    <row r="87" spans="1:5" x14ac:dyDescent="0.25">
      <c r="A87" s="52" t="s">
        <v>65</v>
      </c>
      <c r="B87" s="53">
        <f>IF(791.70769="","-",791.70769)</f>
        <v>791.70768999999996</v>
      </c>
      <c r="C87" s="53">
        <f>IF(-558.00502="","-",-558.00502)</f>
        <v>-558.00501999999994</v>
      </c>
      <c r="D87" s="63" t="s">
        <v>22</v>
      </c>
    </row>
    <row r="88" spans="1:5" x14ac:dyDescent="0.25">
      <c r="A88" s="52" t="s">
        <v>93</v>
      </c>
      <c r="B88" s="53">
        <f>IF(-572.20095="","-",-572.20095)</f>
        <v>-572.20095000000003</v>
      </c>
      <c r="C88" s="53">
        <f>IF(-493.69537="","-",-493.69537)</f>
        <v>-493.69537000000003</v>
      </c>
      <c r="D88" s="63">
        <f>IF(OR(-572.20095="",-493.69537="",-572.20095=0),"-",-493.69537/-572.20095*100)</f>
        <v>86.280068217293234</v>
      </c>
    </row>
    <row r="89" spans="1:5" x14ac:dyDescent="0.25">
      <c r="A89" s="52" t="s">
        <v>112</v>
      </c>
      <c r="B89" s="53">
        <f>IF(-197.35359="","-",-197.35359)</f>
        <v>-197.35359</v>
      </c>
      <c r="C89" s="53">
        <f>IF(-477.70924="","-",-477.70924)</f>
        <v>-477.70924000000002</v>
      </c>
      <c r="D89" s="63" t="s">
        <v>279</v>
      </c>
    </row>
    <row r="90" spans="1:5" x14ac:dyDescent="0.25">
      <c r="A90" s="52" t="s">
        <v>260</v>
      </c>
      <c r="B90" s="53">
        <f>IF(-869.52625="","-",-869.52625)</f>
        <v>-869.52625</v>
      </c>
      <c r="C90" s="53">
        <f>IF(-428.19598="","-",-428.19598)</f>
        <v>-428.19598000000002</v>
      </c>
      <c r="D90" s="63">
        <f>IF(OR(-869.52625="",-428.19598="",-869.52625=0),"-",-428.19598/-869.52625*100)</f>
        <v>49.244744480112018</v>
      </c>
    </row>
    <row r="91" spans="1:5" x14ac:dyDescent="0.25">
      <c r="A91" s="52" t="s">
        <v>172</v>
      </c>
      <c r="B91" s="53">
        <f>IF(-788.42213="","-",-788.42213)</f>
        <v>-788.42213000000004</v>
      </c>
      <c r="C91" s="53">
        <f>IF(-411.15513="","-",-411.15513)</f>
        <v>-411.15512999999999</v>
      </c>
      <c r="D91" s="63">
        <f>IF(OR(-788.42213="",-411.15513="",-788.42213=0),"-",-411.15513/-788.42213*100)</f>
        <v>52.149110781555549</v>
      </c>
    </row>
    <row r="92" spans="1:5" x14ac:dyDescent="0.25">
      <c r="A92" s="52" t="s">
        <v>95</v>
      </c>
      <c r="B92" s="53">
        <f>IF(-257.13121="","-",-257.13121)</f>
        <v>-257.13121000000001</v>
      </c>
      <c r="C92" s="53">
        <f>IF(-387.30076="","-",-387.30076)</f>
        <v>-387.30076000000003</v>
      </c>
      <c r="D92" s="63" t="s">
        <v>128</v>
      </c>
    </row>
    <row r="93" spans="1:5" x14ac:dyDescent="0.25">
      <c r="A93" s="52" t="s">
        <v>134</v>
      </c>
      <c r="B93" s="53">
        <f>IF(-933.35531="","-",-933.35531)</f>
        <v>-933.35531000000003</v>
      </c>
      <c r="C93" s="53">
        <f>IF(-358.16352="","-",-358.16352)</f>
        <v>-358.16352000000001</v>
      </c>
      <c r="D93" s="63">
        <f>IF(OR(-933.35531="",-358.16352="",-933.35531=0),"-",-358.16352/-933.35531*100)</f>
        <v>38.373759292160663</v>
      </c>
    </row>
    <row r="94" spans="1:5" x14ac:dyDescent="0.25">
      <c r="A94" s="52" t="s">
        <v>91</v>
      </c>
      <c r="B94" s="53">
        <f>IF(-347.55659="","-",-347.55659)</f>
        <v>-347.55659000000003</v>
      </c>
      <c r="C94" s="53">
        <f>IF(-267.41644="","-",-267.41644)</f>
        <v>-267.41644000000002</v>
      </c>
      <c r="D94" s="63">
        <f>IF(OR(-347.55659="",-267.41644="",-347.55659=0),"-",-267.41644/-347.55659*100)</f>
        <v>76.941841327192222</v>
      </c>
    </row>
    <row r="95" spans="1:5" x14ac:dyDescent="0.25">
      <c r="A95" s="52" t="s">
        <v>153</v>
      </c>
      <c r="B95" s="53">
        <f>IF(-281.97698="","-",-281.97698)</f>
        <v>-281.97698000000003</v>
      </c>
      <c r="C95" s="53">
        <f>IF(-209.48843="","-",-209.48843)</f>
        <v>-209.48842999999999</v>
      </c>
      <c r="D95" s="63">
        <f>IF(OR(-281.97698="",-209.48843="",-281.97698=0),"-",-209.48843/-281.97698*100)</f>
        <v>74.292741911059537</v>
      </c>
    </row>
    <row r="96" spans="1:5" x14ac:dyDescent="0.25">
      <c r="A96" s="52" t="s">
        <v>148</v>
      </c>
      <c r="B96" s="53">
        <f>IF(-122.74016="","-",-122.74016)</f>
        <v>-122.74016</v>
      </c>
      <c r="C96" s="53">
        <f>IF(-205.14183="","-",-205.14183)</f>
        <v>-205.14183</v>
      </c>
      <c r="D96" s="63" t="s">
        <v>104</v>
      </c>
      <c r="E96" s="12"/>
    </row>
    <row r="97" spans="1:5" x14ac:dyDescent="0.25">
      <c r="A97" s="52" t="s">
        <v>99</v>
      </c>
      <c r="B97" s="53">
        <f>IF(-616.04127="","-",-616.04127)</f>
        <v>-616.04127000000005</v>
      </c>
      <c r="C97" s="53">
        <f>IF(-181.89201="","-",-181.89201)</f>
        <v>-181.89201</v>
      </c>
      <c r="D97" s="63">
        <f>IF(OR(-616.04127="",-181.89201="",-616.04127=0),"-",-181.89201/-616.04127*100)</f>
        <v>29.525945558809717</v>
      </c>
    </row>
    <row r="98" spans="1:5" x14ac:dyDescent="0.25">
      <c r="A98" s="52" t="s">
        <v>102</v>
      </c>
      <c r="B98" s="53">
        <f>IF(-595.20908="","-",-595.20908)</f>
        <v>-595.20907999999997</v>
      </c>
      <c r="C98" s="53">
        <f>IF(-175.71118="","-",-175.71118)</f>
        <v>-175.71118000000001</v>
      </c>
      <c r="D98" s="63">
        <f>IF(OR(-595.20908="",-175.71118="",-595.20908=0),"-",-175.71118/-595.20908*100)</f>
        <v>29.520917254824141</v>
      </c>
      <c r="E98" s="11"/>
    </row>
    <row r="99" spans="1:5" x14ac:dyDescent="0.25">
      <c r="A99" s="52" t="s">
        <v>240</v>
      </c>
      <c r="B99" s="53">
        <f>IF(-68.72039="","-",-68.72039)</f>
        <v>-68.720389999999995</v>
      </c>
      <c r="C99" s="53">
        <f>IF(-141.34557="","-",-141.34557)</f>
        <v>-141.34557000000001</v>
      </c>
      <c r="D99" s="63" t="s">
        <v>96</v>
      </c>
    </row>
    <row r="100" spans="1:5" x14ac:dyDescent="0.25">
      <c r="A100" s="52" t="s">
        <v>179</v>
      </c>
      <c r="B100" s="53">
        <f>IF(-24.33082="","-",-24.33082)</f>
        <v>-24.330819999999999</v>
      </c>
      <c r="C100" s="53">
        <f>IF(-126.92038="","-",-126.92038)</f>
        <v>-126.92037999999999</v>
      </c>
      <c r="D100" s="63" t="s">
        <v>301</v>
      </c>
      <c r="E100" s="11"/>
    </row>
    <row r="101" spans="1:5" x14ac:dyDescent="0.25">
      <c r="A101" s="52" t="s">
        <v>108</v>
      </c>
      <c r="B101" s="53">
        <f>IF(151.12456="","-",151.12456)</f>
        <v>151.12456</v>
      </c>
      <c r="C101" s="53">
        <f>IF(-117.46958="","-",-117.46958)</f>
        <v>-117.46957999999999</v>
      </c>
      <c r="D101" s="63" t="s">
        <v>22</v>
      </c>
      <c r="E101" s="1"/>
    </row>
    <row r="102" spans="1:5" x14ac:dyDescent="0.25">
      <c r="A102" s="52" t="s">
        <v>163</v>
      </c>
      <c r="B102" s="53">
        <f>IF(-134.80998="","-",-134.80998)</f>
        <v>-134.80998</v>
      </c>
      <c r="C102" s="53">
        <f>IF(-114.4924="","-",-114.4924)</f>
        <v>-114.4924</v>
      </c>
      <c r="D102" s="63">
        <f>IF(OR(-134.80998="",-114.4924="",-134.80998=0),"-",-114.4924/-134.80998*100)</f>
        <v>84.928727086822505</v>
      </c>
    </row>
    <row r="103" spans="1:5" x14ac:dyDescent="0.25">
      <c r="A103" s="52" t="s">
        <v>103</v>
      </c>
      <c r="B103" s="53">
        <f>IF(-280.14664="","-",-280.14664)</f>
        <v>-280.14663999999999</v>
      </c>
      <c r="C103" s="53">
        <f>IF(-107.80911="","-",-107.80911)</f>
        <v>-107.80911</v>
      </c>
      <c r="D103" s="63">
        <f>IF(OR(-280.14664="",-107.80911="",-280.14664=0),"-",-107.80911/-280.14664*100)</f>
        <v>38.483099422502448</v>
      </c>
    </row>
    <row r="104" spans="1:5" x14ac:dyDescent="0.25">
      <c r="A104" s="52" t="s">
        <v>164</v>
      </c>
      <c r="B104" s="53">
        <f>IF(-150.70653="","-",-150.70653)</f>
        <v>-150.70652999999999</v>
      </c>
      <c r="C104" s="53">
        <f>IF(-100.02999="","-",-100.02999)</f>
        <v>-100.02999</v>
      </c>
      <c r="D104" s="63">
        <f>IF(OR(-150.70653="",-100.02999="",-150.70653=0),"-",-100.02999/-150.70653*100)</f>
        <v>66.374025067128812</v>
      </c>
    </row>
    <row r="105" spans="1:5" x14ac:dyDescent="0.25">
      <c r="A105" s="52" t="s">
        <v>147</v>
      </c>
      <c r="B105" s="53">
        <f>IF(-34.77972="","-",-34.77972)</f>
        <v>-34.779719999999998</v>
      </c>
      <c r="C105" s="53">
        <f>IF(-98.10542="","-",-98.10542)</f>
        <v>-98.105419999999995</v>
      </c>
      <c r="D105" s="63" t="s">
        <v>288</v>
      </c>
      <c r="E105" s="12"/>
    </row>
    <row r="106" spans="1:5" x14ac:dyDescent="0.25">
      <c r="A106" s="52" t="s">
        <v>174</v>
      </c>
      <c r="B106" s="53">
        <f>IF(-118.41813="","-",-118.41813)</f>
        <v>-118.41813</v>
      </c>
      <c r="C106" s="53">
        <f>IF(-96.67136="","-",-96.67136)</f>
        <v>-96.671360000000007</v>
      </c>
      <c r="D106" s="63">
        <f>IF(OR(-118.41813="",-96.67136="",-118.41813=0),"-",-96.67136/-118.41813*100)</f>
        <v>81.635607655685831</v>
      </c>
      <c r="E106" s="10"/>
    </row>
    <row r="107" spans="1:5" x14ac:dyDescent="0.25">
      <c r="A107" s="52" t="s">
        <v>154</v>
      </c>
      <c r="B107" s="53">
        <f>IF(-143.42514="","-",-143.42514)</f>
        <v>-143.42514</v>
      </c>
      <c r="C107" s="53">
        <f>IF(-91.40571="","-",-91.40571)</f>
        <v>-91.405709999999999</v>
      </c>
      <c r="D107" s="63">
        <f>IF(OR(-143.42514="",-91.40571="",-143.42514=0),"-",-91.40571/-143.42514*100)</f>
        <v>63.730605387591041</v>
      </c>
    </row>
    <row r="108" spans="1:5" x14ac:dyDescent="0.25">
      <c r="A108" s="52" t="s">
        <v>283</v>
      </c>
      <c r="B108" s="53">
        <f>IF(413.69755="","-",413.69755)</f>
        <v>413.69754999999998</v>
      </c>
      <c r="C108" s="53">
        <f>IF(-90.91328="","-",-90.91328)</f>
        <v>-90.91328</v>
      </c>
      <c r="D108" s="63" t="s">
        <v>22</v>
      </c>
    </row>
    <row r="109" spans="1:5" x14ac:dyDescent="0.25">
      <c r="A109" s="52" t="s">
        <v>249</v>
      </c>
      <c r="B109" s="53">
        <f>IF(-51.26234="","-",-51.26234)</f>
        <v>-51.262340000000002</v>
      </c>
      <c r="C109" s="53">
        <f>IF(-67.37683="","-",-67.37683)</f>
        <v>-67.376829999999998</v>
      </c>
      <c r="D109" s="63">
        <f>IF(OR(-51.26234="",-67.37683="",-51.26234=0),"-",-67.37683/-51.26234*100)</f>
        <v>131.43533830098275</v>
      </c>
    </row>
    <row r="110" spans="1:5" x14ac:dyDescent="0.25">
      <c r="A110" s="52" t="s">
        <v>180</v>
      </c>
      <c r="B110" s="53">
        <f>IF(-98.72405="","-",-98.72405)</f>
        <v>-98.724050000000005</v>
      </c>
      <c r="C110" s="53">
        <f>IF(-56.43966="","-",-56.43966)</f>
        <v>-56.439660000000003</v>
      </c>
      <c r="D110" s="63">
        <f>IF(OR(-98.72405="",-56.43966="",-98.72405=0),"-",-56.43966/-98.72405*100)</f>
        <v>57.169109249468598</v>
      </c>
    </row>
    <row r="111" spans="1:5" x14ac:dyDescent="0.25">
      <c r="A111" s="52" t="s">
        <v>149</v>
      </c>
      <c r="B111" s="53">
        <f>IF(751.77227="","-",751.77227)</f>
        <v>751.77227000000005</v>
      </c>
      <c r="C111" s="53">
        <f>IF(-46.54915="","-",-46.54915)</f>
        <v>-46.549149999999997</v>
      </c>
      <c r="D111" s="63" t="s">
        <v>22</v>
      </c>
    </row>
    <row r="112" spans="1:5" x14ac:dyDescent="0.25">
      <c r="A112" s="52" t="s">
        <v>155</v>
      </c>
      <c r="B112" s="53">
        <f>IF(0.36483="","-",0.36483)</f>
        <v>0.36482999999999999</v>
      </c>
      <c r="C112" s="53">
        <f>IF(-44.85408="","-",-44.85408)</f>
        <v>-44.854080000000003</v>
      </c>
      <c r="D112" s="63" t="s">
        <v>22</v>
      </c>
    </row>
    <row r="113" spans="1:4" x14ac:dyDescent="0.25">
      <c r="A113" s="52" t="s">
        <v>293</v>
      </c>
      <c r="B113" s="53">
        <f>IF(-46.88036="","-",-46.88036)</f>
        <v>-46.880360000000003</v>
      </c>
      <c r="C113" s="53">
        <f>IF(-38.42439="","-",-38.42439)</f>
        <v>-38.424390000000002</v>
      </c>
      <c r="D113" s="63">
        <f>IF(OR(-46.88036="",-38.42439="",-46.88036=0),"-",-38.42439/-46.88036*100)</f>
        <v>81.962659843055803</v>
      </c>
    </row>
    <row r="114" spans="1:4" x14ac:dyDescent="0.25">
      <c r="A114" s="52" t="s">
        <v>255</v>
      </c>
      <c r="B114" s="53">
        <f>IF(-58.31727="","-",-58.31727)</f>
        <v>-58.317270000000001</v>
      </c>
      <c r="C114" s="53">
        <f>IF(-28.94562="","-",-28.94562)</f>
        <v>-28.945620000000002</v>
      </c>
      <c r="D114" s="63">
        <f>IF(OR(-58.31727="",-28.94562="",-58.31727=0),"-",-28.94562/-58.31727*100)</f>
        <v>49.634730843882096</v>
      </c>
    </row>
    <row r="115" spans="1:4" x14ac:dyDescent="0.25">
      <c r="A115" s="52" t="s">
        <v>267</v>
      </c>
      <c r="B115" s="53">
        <f>IF(-15.64094="","-",-15.64094)</f>
        <v>-15.640940000000001</v>
      </c>
      <c r="C115" s="53">
        <f>IF(-25.586="","-",-25.586)</f>
        <v>-25.585999999999999</v>
      </c>
      <c r="D115" s="63" t="s">
        <v>105</v>
      </c>
    </row>
    <row r="116" spans="1:4" x14ac:dyDescent="0.25">
      <c r="A116" s="52" t="s">
        <v>294</v>
      </c>
      <c r="B116" s="53">
        <f>IF(-12.77207="","-",-12.77207)</f>
        <v>-12.772069999999999</v>
      </c>
      <c r="C116" s="53">
        <f>IF(-24.33429="","-",-24.33429)</f>
        <v>-24.334289999999999</v>
      </c>
      <c r="D116" s="63" t="s">
        <v>106</v>
      </c>
    </row>
    <row r="117" spans="1:4" x14ac:dyDescent="0.25">
      <c r="A117" s="52" t="s">
        <v>254</v>
      </c>
      <c r="B117" s="53">
        <f>IF(-97.36825="","-",-97.36825)</f>
        <v>-97.368250000000003</v>
      </c>
      <c r="C117" s="53">
        <f>IF(-23.70792="","-",-23.70792)</f>
        <v>-23.707920000000001</v>
      </c>
      <c r="D117" s="63">
        <f>IF(OR(-97.36825="",-23.70792="",-97.36825=0),"-",-23.70792/-97.36825*100)</f>
        <v>24.348717369368352</v>
      </c>
    </row>
    <row r="118" spans="1:4" x14ac:dyDescent="0.25">
      <c r="A118" s="52" t="s">
        <v>295</v>
      </c>
      <c r="B118" s="53">
        <f>IF(-64.15347="","-",-64.15347)</f>
        <v>-64.153469999999999</v>
      </c>
      <c r="C118" s="53">
        <f>IF(-20.21826="","-",-20.21826)</f>
        <v>-20.218260000000001</v>
      </c>
      <c r="D118" s="63">
        <f>IF(OR(-64.15347="",-20.21826="",-64.15347=0),"-",-20.21826/-64.15347*100)</f>
        <v>31.515458166175581</v>
      </c>
    </row>
    <row r="119" spans="1:4" x14ac:dyDescent="0.25">
      <c r="A119" s="52" t="s">
        <v>296</v>
      </c>
      <c r="B119" s="53">
        <f>IF(-39.74595="","-",-39.74595)</f>
        <v>-39.745950000000001</v>
      </c>
      <c r="C119" s="53">
        <f>IF(-19.64836="","-",-19.64836)</f>
        <v>-19.64836</v>
      </c>
      <c r="D119" s="63">
        <f>IF(OR(-39.74595="",-19.64836="",-39.74595=0),"-",-19.64836/-39.74595*100)</f>
        <v>49.434873238657019</v>
      </c>
    </row>
    <row r="120" spans="1:4" x14ac:dyDescent="0.25">
      <c r="A120" s="52" t="s">
        <v>94</v>
      </c>
      <c r="B120" s="53">
        <f>IF(-476.22429="","-",-476.22429)</f>
        <v>-476.22429</v>
      </c>
      <c r="C120" s="53">
        <f>IF(-16.98345="","-",-16.98345)</f>
        <v>-16.983450000000001</v>
      </c>
      <c r="D120" s="63">
        <f>IF(OR(-476.22429="",-16.98345="",-476.22429=0),"-",-16.98345/-476.22429*100)</f>
        <v>3.5662712626439115</v>
      </c>
    </row>
    <row r="121" spans="1:4" x14ac:dyDescent="0.25">
      <c r="A121" s="52" t="s">
        <v>297</v>
      </c>
      <c r="B121" s="53">
        <f>IF(-34.22688="","-",-34.22688)</f>
        <v>-34.226880000000001</v>
      </c>
      <c r="C121" s="53">
        <f>IF(-16.46925="","-",-16.46925)</f>
        <v>-16.469249999999999</v>
      </c>
      <c r="D121" s="63">
        <f>IF(OR(-34.22688="",-16.46925="",-34.22688=0),"-",-16.46925/-34.22688*100)</f>
        <v>48.117882786862246</v>
      </c>
    </row>
    <row r="122" spans="1:4" x14ac:dyDescent="0.25">
      <c r="A122" s="52" t="s">
        <v>144</v>
      </c>
      <c r="B122" s="53">
        <f>IF(-68.81472="","-",-68.81472)</f>
        <v>-68.814719999999994</v>
      </c>
      <c r="C122" s="53">
        <f>IF(-14.78533="","-",-14.78533)</f>
        <v>-14.78533</v>
      </c>
      <c r="D122" s="63">
        <f>IF(OR(-68.81472="",-14.78533="",-68.81472=0),"-",-14.78533/-68.81472*100)</f>
        <v>21.485708290319284</v>
      </c>
    </row>
    <row r="123" spans="1:4" x14ac:dyDescent="0.25">
      <c r="A123" s="52" t="s">
        <v>298</v>
      </c>
      <c r="B123" s="53">
        <f>IF(-17.7966="","-",-17.7966)</f>
        <v>-17.796600000000002</v>
      </c>
      <c r="C123" s="53">
        <f>IF(-13.61444="","-",-13.61444)</f>
        <v>-13.61444</v>
      </c>
      <c r="D123" s="63">
        <f>IF(OR(-17.7966="",-13.61444="",-17.7966=0),"-",-13.61444/-17.7966*100)</f>
        <v>76.500230381084023</v>
      </c>
    </row>
    <row r="124" spans="1:4" x14ac:dyDescent="0.25">
      <c r="A124" s="52" t="s">
        <v>257</v>
      </c>
      <c r="B124" s="53">
        <f>IF(21.9375="","-",21.9375)</f>
        <v>21.9375</v>
      </c>
      <c r="C124" s="53">
        <f>IF(22.99251="","-",22.99251)</f>
        <v>22.992509999999999</v>
      </c>
      <c r="D124" s="63">
        <f>IF(OR(21.9375="",22.99251="",21.9375=0),"-",22.99251/21.9375*100)</f>
        <v>104.80916239316238</v>
      </c>
    </row>
    <row r="125" spans="1:4" x14ac:dyDescent="0.25">
      <c r="A125" s="52" t="s">
        <v>268</v>
      </c>
      <c r="B125" s="53">
        <f>IF(42.05433="","-",42.05433)</f>
        <v>42.05433</v>
      </c>
      <c r="C125" s="53">
        <f>IF(24.012="","-",24.012)</f>
        <v>24.012</v>
      </c>
      <c r="D125" s="63">
        <f>IF(OR(42.05433="",24.012="",42.05433=0),"-",24.012/42.05433*100)</f>
        <v>57.097568787803773</v>
      </c>
    </row>
    <row r="126" spans="1:4" x14ac:dyDescent="0.25">
      <c r="A126" s="52" t="s">
        <v>299</v>
      </c>
      <c r="B126" s="53">
        <f>IF(-7.76802="","-",-7.76802)</f>
        <v>-7.7680199999999999</v>
      </c>
      <c r="C126" s="53">
        <f>IF(26.41936="","-",26.41936)</f>
        <v>26.419360000000001</v>
      </c>
      <c r="D126" s="63" t="s">
        <v>22</v>
      </c>
    </row>
    <row r="127" spans="1:4" x14ac:dyDescent="0.25">
      <c r="A127" s="52" t="s">
        <v>269</v>
      </c>
      <c r="B127" s="53">
        <f>IF(9.16672="","-",9.16672)</f>
        <v>9.1667199999999998</v>
      </c>
      <c r="C127" s="53">
        <f>IF(27.49258="","-",27.49258)</f>
        <v>27.49258</v>
      </c>
      <c r="D127" s="63" t="s">
        <v>258</v>
      </c>
    </row>
    <row r="128" spans="1:4" x14ac:dyDescent="0.25">
      <c r="A128" s="52" t="s">
        <v>256</v>
      </c>
      <c r="B128" s="53">
        <f>IF(30.38124="","-",30.38124)</f>
        <v>30.381239999999998</v>
      </c>
      <c r="C128" s="53">
        <f>IF(29.40671="","-",29.40671)</f>
        <v>29.40671</v>
      </c>
      <c r="D128" s="63">
        <f>IF(OR(30.38124="",29.40671="",30.38124=0),"-",29.40671/30.38124*100)</f>
        <v>96.792329740326593</v>
      </c>
    </row>
    <row r="129" spans="1:4" x14ac:dyDescent="0.25">
      <c r="A129" s="52" t="s">
        <v>177</v>
      </c>
      <c r="B129" s="53">
        <f>IF(382.65104="","-",382.65104)</f>
        <v>382.65104000000002</v>
      </c>
      <c r="C129" s="53">
        <f>IF(53.7236="","-",53.7236)</f>
        <v>53.723599999999998</v>
      </c>
      <c r="D129" s="63">
        <f>IF(OR(382.65104="",53.7236="",382.65104=0),"-",53.7236/382.65104*100)</f>
        <v>14.039841626982119</v>
      </c>
    </row>
    <row r="130" spans="1:4" x14ac:dyDescent="0.25">
      <c r="A130" s="52" t="s">
        <v>165</v>
      </c>
      <c r="B130" s="53">
        <f>IF(43.95036="","-",43.95036)</f>
        <v>43.950360000000003</v>
      </c>
      <c r="C130" s="53">
        <f>IF(95.69417="","-",95.69417)</f>
        <v>95.69417</v>
      </c>
      <c r="D130" s="63" t="s">
        <v>242</v>
      </c>
    </row>
    <row r="131" spans="1:4" x14ac:dyDescent="0.25">
      <c r="A131" s="52" t="s">
        <v>132</v>
      </c>
      <c r="B131" s="53">
        <f>IF(3056.10171="","-",3056.10171)</f>
        <v>3056.1017099999999</v>
      </c>
      <c r="C131" s="53">
        <f>IF(102.09481="","-",102.09481)</f>
        <v>102.09481</v>
      </c>
      <c r="D131" s="63">
        <f>IF(OR(3056.10171="",102.09481="",3056.10171=0),"-",102.09481/3056.10171*100)</f>
        <v>3.3406875715533699</v>
      </c>
    </row>
    <row r="132" spans="1:4" x14ac:dyDescent="0.25">
      <c r="A132" s="52" t="s">
        <v>152</v>
      </c>
      <c r="B132" s="53">
        <f>IF(43.23246="","-",43.23246)</f>
        <v>43.232460000000003</v>
      </c>
      <c r="C132" s="53">
        <f>IF(129.72873="","-",129.72873)</f>
        <v>129.72873000000001</v>
      </c>
      <c r="D132" s="63" t="s">
        <v>258</v>
      </c>
    </row>
    <row r="133" spans="1:4" x14ac:dyDescent="0.25">
      <c r="A133" s="52" t="s">
        <v>171</v>
      </c>
      <c r="B133" s="53">
        <f>IF(197.6455="","-",197.6455)</f>
        <v>197.6455</v>
      </c>
      <c r="C133" s="53">
        <f>IF(223.9968="","-",223.9968)</f>
        <v>223.99680000000001</v>
      </c>
      <c r="D133" s="63">
        <f>IF(OR(197.6455="",223.9968="",197.6455=0),"-",223.9968/197.6455*100)</f>
        <v>113.33260812920103</v>
      </c>
    </row>
    <row r="134" spans="1:4" x14ac:dyDescent="0.25">
      <c r="A134" s="52" t="s">
        <v>137</v>
      </c>
      <c r="B134" s="53">
        <f>IF(391.84686="","-",391.84686)</f>
        <v>391.84685999999999</v>
      </c>
      <c r="C134" s="53">
        <f>IF(316.98912="","-",316.98912)</f>
        <v>316.98912000000001</v>
      </c>
      <c r="D134" s="63">
        <f>IF(OR(391.84686="",316.98912="",391.84686=0),"-",316.98912/391.84686*100)</f>
        <v>80.896174592288432</v>
      </c>
    </row>
    <row r="135" spans="1:4" x14ac:dyDescent="0.25">
      <c r="A135" s="52" t="s">
        <v>175</v>
      </c>
      <c r="B135" s="53">
        <f>IF(126.92288="","-",126.92288)</f>
        <v>126.92288000000001</v>
      </c>
      <c r="C135" s="53">
        <f>IF(335.36023="","-",335.36023)</f>
        <v>335.36023</v>
      </c>
      <c r="D135" s="63" t="s">
        <v>263</v>
      </c>
    </row>
    <row r="136" spans="1:4" x14ac:dyDescent="0.25">
      <c r="A136" s="52" t="s">
        <v>176</v>
      </c>
      <c r="B136" s="53">
        <f>IF(754.14024="","-",754.14024)</f>
        <v>754.14023999999995</v>
      </c>
      <c r="C136" s="53">
        <f>IF(345.74732="","-",345.74732)</f>
        <v>345.74732</v>
      </c>
      <c r="D136" s="63">
        <f>IF(OR(754.14024="",345.74732="",754.14024=0),"-",345.74732/754.14024*100)</f>
        <v>45.846555012102264</v>
      </c>
    </row>
    <row r="137" spans="1:4" x14ac:dyDescent="0.25">
      <c r="A137" s="52" t="s">
        <v>166</v>
      </c>
      <c r="B137" s="53">
        <f>IF(381.58294="","-",381.58294)</f>
        <v>381.58294000000001</v>
      </c>
      <c r="C137" s="53">
        <f>IF(369.05475="","-",369.05475)</f>
        <v>369.05475000000001</v>
      </c>
      <c r="D137" s="63">
        <f>IF(OR(381.58294="",369.05475="",381.58294=0),"-",369.05475/381.58294*100)</f>
        <v>96.716784560651476</v>
      </c>
    </row>
    <row r="138" spans="1:4" x14ac:dyDescent="0.25">
      <c r="A138" s="52" t="s">
        <v>97</v>
      </c>
      <c r="B138" s="53">
        <f>IF(641.86443="","-",641.86443)</f>
        <v>641.86442999999997</v>
      </c>
      <c r="C138" s="53">
        <f>IF(381.61123="","-",381.61123)</f>
        <v>381.61122999999998</v>
      </c>
      <c r="D138" s="63">
        <f>IF(OR(641.86443="",381.61123="",641.86443=0),"-",381.61123/641.86443*100)</f>
        <v>59.453556259535986</v>
      </c>
    </row>
    <row r="139" spans="1:4" x14ac:dyDescent="0.25">
      <c r="A139" s="52" t="s">
        <v>38</v>
      </c>
      <c r="B139" s="53">
        <f>IF(202.10946="","-",202.10946)</f>
        <v>202.10946000000001</v>
      </c>
      <c r="C139" s="53">
        <f>IF(426.52252="","-",426.52252)</f>
        <v>426.52251999999999</v>
      </c>
      <c r="D139" s="63" t="s">
        <v>96</v>
      </c>
    </row>
    <row r="140" spans="1:4" x14ac:dyDescent="0.25">
      <c r="A140" s="52" t="s">
        <v>110</v>
      </c>
      <c r="B140" s="53">
        <f>IF(901.24039="","-",901.24039)</f>
        <v>901.24039000000005</v>
      </c>
      <c r="C140" s="53">
        <f>IF(470.98133="","-",470.98133)</f>
        <v>470.98133000000001</v>
      </c>
      <c r="D140" s="63">
        <f>IF(OR(901.24039="",470.98133="",901.24039=0),"-",470.98133/901.24039*100)</f>
        <v>52.259234631062192</v>
      </c>
    </row>
    <row r="141" spans="1:4" x14ac:dyDescent="0.25">
      <c r="A141" s="52" t="s">
        <v>142</v>
      </c>
      <c r="B141" s="53">
        <f>IF(115.07104="","-",115.07104)</f>
        <v>115.07104</v>
      </c>
      <c r="C141" s="53">
        <f>IF(579.52405="","-",579.52405)</f>
        <v>579.52404999999999</v>
      </c>
      <c r="D141" s="63" t="s">
        <v>281</v>
      </c>
    </row>
    <row r="142" spans="1:4" x14ac:dyDescent="0.25">
      <c r="A142" s="52" t="s">
        <v>78</v>
      </c>
      <c r="B142" s="53">
        <f>IF(1387.48422="","-",1387.48422)</f>
        <v>1387.4842200000001</v>
      </c>
      <c r="C142" s="53">
        <f>IF(1067.23027="","-",1067.23027)</f>
        <v>1067.23027</v>
      </c>
      <c r="D142" s="63">
        <f>IF(OR(1387.48422="",1067.23027="",1387.48422=0),"-",1067.23027/1387.48422*100)</f>
        <v>76.918371727499718</v>
      </c>
    </row>
    <row r="143" spans="1:4" x14ac:dyDescent="0.25">
      <c r="A143" s="52" t="s">
        <v>136</v>
      </c>
      <c r="B143" s="53">
        <f>IF(524.85238="","-",524.85238)</f>
        <v>524.85238000000004</v>
      </c>
      <c r="C143" s="53">
        <f>IF(1072.88176="","-",1072.88176)</f>
        <v>1072.88176</v>
      </c>
      <c r="D143" s="63" t="s">
        <v>20</v>
      </c>
    </row>
    <row r="144" spans="1:4" x14ac:dyDescent="0.25">
      <c r="A144" s="52" t="s">
        <v>68</v>
      </c>
      <c r="B144" s="53">
        <f>IF(-1591.70516="","-",-1591.70516)</f>
        <v>-1591.70516</v>
      </c>
      <c r="C144" s="53">
        <f>IF(2232.74027="","-",2232.74027)</f>
        <v>2232.7402699999998</v>
      </c>
      <c r="D144" s="63" t="s">
        <v>22</v>
      </c>
    </row>
    <row r="145" spans="1:4" x14ac:dyDescent="0.25">
      <c r="A145" s="52" t="s">
        <v>135</v>
      </c>
      <c r="B145" s="53">
        <f>IF(9.35064="","-",9.35064)</f>
        <v>9.3506400000000003</v>
      </c>
      <c r="C145" s="53">
        <f>IF(3281.90943="","-",3281.90943)</f>
        <v>3281.9094300000002</v>
      </c>
      <c r="D145" s="63" t="s">
        <v>302</v>
      </c>
    </row>
    <row r="146" spans="1:4" x14ac:dyDescent="0.25">
      <c r="A146" s="52" t="s">
        <v>131</v>
      </c>
      <c r="B146" s="53">
        <f>IF(11392.12179="","-",11392.12179)</f>
        <v>11392.121789999999</v>
      </c>
      <c r="C146" s="53">
        <f>IF(3735.05229="","-",3735.05229)</f>
        <v>3735.0522900000001</v>
      </c>
      <c r="D146" s="63">
        <f>IF(OR(11392.12179="",3735.05229="",11392.12179=0),"-",3735.05229/11392.12179*100)</f>
        <v>32.786274223987213</v>
      </c>
    </row>
    <row r="147" spans="1:4" x14ac:dyDescent="0.25">
      <c r="A147" s="52" t="s">
        <v>58</v>
      </c>
      <c r="B147" s="53">
        <f>IF(7914.93943="","-",7914.93943)</f>
        <v>7914.9394300000004</v>
      </c>
      <c r="C147" s="53">
        <f>IF(5506.9503="","-",5506.9503)</f>
        <v>5506.9503000000004</v>
      </c>
      <c r="D147" s="63">
        <f>IF(OR(7914.93943="",5506.9503="",7914.93943=0),"-",5506.9503/7914.93943*100)</f>
        <v>69.576657518401248</v>
      </c>
    </row>
    <row r="148" spans="1:4" x14ac:dyDescent="0.25">
      <c r="A148" s="52" t="s">
        <v>61</v>
      </c>
      <c r="B148" s="53">
        <f>IF(10855.12077="","-",10855.12077)</f>
        <v>10855.12077</v>
      </c>
      <c r="C148" s="53">
        <f>IF(10457.23979="","-",10457.23979)</f>
        <v>10457.23979</v>
      </c>
      <c r="D148" s="63">
        <f>IF(OR(10855.12077="",10457.23979="",10855.12077=0),"-",10457.23979/10855.12077*100)</f>
        <v>96.334624105706752</v>
      </c>
    </row>
    <row r="149" spans="1:4" x14ac:dyDescent="0.25">
      <c r="A149" s="54" t="s">
        <v>59</v>
      </c>
      <c r="B149" s="55">
        <f>IF(14557.82072="","-",14557.82072)</f>
        <v>14557.82072</v>
      </c>
      <c r="C149" s="55">
        <f>IF(16074.62166="","-",16074.62166)</f>
        <v>16074.621660000001</v>
      </c>
      <c r="D149" s="65">
        <f>IF(OR(14557.82072="",16074.62166="",14557.82072=0),"-",16074.62166/14557.82072*100)</f>
        <v>110.4191483682456</v>
      </c>
    </row>
    <row r="150" spans="1:4" x14ac:dyDescent="0.25">
      <c r="A150" s="56" t="s">
        <v>130</v>
      </c>
      <c r="B150" s="57">
        <f>IF(40363.81346="","-",40363.81346)</f>
        <v>40363.813459999998</v>
      </c>
      <c r="C150" s="57">
        <f>IF(25078.40128="","-",25078.40128)</f>
        <v>25078.401279999998</v>
      </c>
      <c r="D150" s="66">
        <f>IF(OR(40363.81346="",25078.40128="",40363.81346=0),"-",25078.40128/40363.81346*100)</f>
        <v>62.130901741611609</v>
      </c>
    </row>
    <row r="151" spans="1:4" x14ac:dyDescent="0.25">
      <c r="A151" s="26" t="s">
        <v>21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D32" sqref="D32"/>
    </sheetView>
  </sheetViews>
  <sheetFormatPr defaultRowHeight="15.75" x14ac:dyDescent="0.25"/>
  <cols>
    <col min="1" max="1" width="29.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90" t="s">
        <v>244</v>
      </c>
      <c r="B1" s="90"/>
      <c r="C1" s="90"/>
      <c r="D1" s="90"/>
      <c r="E1" s="90"/>
    </row>
    <row r="2" spans="1:6" x14ac:dyDescent="0.25">
      <c r="A2" s="9"/>
      <c r="B2" s="9"/>
      <c r="C2" s="9"/>
      <c r="D2" s="9"/>
      <c r="E2" s="9"/>
    </row>
    <row r="3" spans="1:6" x14ac:dyDescent="0.25">
      <c r="A3" s="91"/>
      <c r="B3" s="94" t="s">
        <v>271</v>
      </c>
      <c r="C3" s="95"/>
      <c r="D3" s="94" t="s">
        <v>109</v>
      </c>
      <c r="E3" s="110"/>
      <c r="F3" s="1"/>
    </row>
    <row r="4" spans="1:6" ht="18" customHeight="1" x14ac:dyDescent="0.25">
      <c r="A4" s="92"/>
      <c r="B4" s="98" t="s">
        <v>123</v>
      </c>
      <c r="C4" s="100" t="s">
        <v>272</v>
      </c>
      <c r="D4" s="102" t="s">
        <v>273</v>
      </c>
      <c r="E4" s="94"/>
      <c r="F4" s="1"/>
    </row>
    <row r="5" spans="1:6" ht="22.5" customHeight="1" x14ac:dyDescent="0.25">
      <c r="A5" s="93"/>
      <c r="B5" s="99"/>
      <c r="C5" s="101"/>
      <c r="D5" s="23">
        <v>2019</v>
      </c>
      <c r="E5" s="22">
        <v>2020</v>
      </c>
      <c r="F5" s="1"/>
    </row>
    <row r="6" spans="1:6" ht="15.75" customHeight="1" x14ac:dyDescent="0.25">
      <c r="A6" s="43" t="s">
        <v>156</v>
      </c>
      <c r="B6" s="69">
        <v>2004915.5342600001</v>
      </c>
      <c r="C6" s="61">
        <v>87.386041098569081</v>
      </c>
      <c r="D6" s="70">
        <v>100</v>
      </c>
      <c r="E6" s="70">
        <v>100</v>
      </c>
    </row>
    <row r="7" spans="1:6" ht="15.75" customHeight="1" x14ac:dyDescent="0.25">
      <c r="A7" s="44" t="s">
        <v>138</v>
      </c>
      <c r="B7" s="31"/>
      <c r="C7" s="71"/>
      <c r="D7" s="31"/>
      <c r="E7" s="31"/>
    </row>
    <row r="8" spans="1:6" x14ac:dyDescent="0.25">
      <c r="A8" s="45" t="s">
        <v>113</v>
      </c>
      <c r="B8" s="53">
        <v>137595.13638000001</v>
      </c>
      <c r="C8" s="72">
        <v>90.241428986244259</v>
      </c>
      <c r="D8" s="73">
        <f>IF(152474.46536="","-",152474.46536/2294320.13289*100)</f>
        <v>6.6457362760417498</v>
      </c>
      <c r="E8" s="73">
        <f>IF(137595.13638="","-",137595.13638/2004915.53426*100)</f>
        <v>6.862889434930004</v>
      </c>
    </row>
    <row r="9" spans="1:6" x14ac:dyDescent="0.25">
      <c r="A9" s="45" t="s">
        <v>114</v>
      </c>
      <c r="B9" s="53">
        <v>58856.283660000001</v>
      </c>
      <c r="C9" s="72">
        <v>56.007552006841863</v>
      </c>
      <c r="D9" s="73">
        <f>IF(105086.33488="","-",105086.33488/2294320.13289*100)</f>
        <v>4.5802821225139949</v>
      </c>
      <c r="E9" s="73">
        <f>IF(58856.28366="","-",58856.28366/2004915.53426*100)</f>
        <v>2.9355991638681895</v>
      </c>
    </row>
    <row r="10" spans="1:6" x14ac:dyDescent="0.25">
      <c r="A10" s="45" t="s">
        <v>115</v>
      </c>
      <c r="B10" s="53">
        <v>1767085.6641500001</v>
      </c>
      <c r="C10" s="72">
        <v>88.433603852724929</v>
      </c>
      <c r="D10" s="73">
        <f>IF(1998206.09719="","-",1998206.09719/2294320.13289*100)</f>
        <v>87.093604268424158</v>
      </c>
      <c r="E10" s="73">
        <f>IF(1767085.66415="","-",1767085.66415/2004915.53426*100)</f>
        <v>88.137661360493112</v>
      </c>
    </row>
    <row r="11" spans="1:6" x14ac:dyDescent="0.25">
      <c r="A11" s="45" t="s">
        <v>116</v>
      </c>
      <c r="B11" s="53">
        <v>40399.15178</v>
      </c>
      <c r="C11" s="72">
        <v>109.94652096014109</v>
      </c>
      <c r="D11" s="73">
        <f>IF(36744.36574="","-",36744.36574/2294320.13289*100)</f>
        <v>1.6015361245039335</v>
      </c>
      <c r="E11" s="73">
        <f>IF(40399.15178="","-",40399.15178/2004915.53426*100)</f>
        <v>2.0150051755128446</v>
      </c>
    </row>
    <row r="12" spans="1:6" x14ac:dyDescent="0.25">
      <c r="A12" s="45" t="s">
        <v>117</v>
      </c>
      <c r="B12" s="53">
        <v>916.79736000000003</v>
      </c>
      <c r="C12" s="72">
        <v>70.37932546703415</v>
      </c>
      <c r="D12" s="73">
        <f>IF(1302.65153="","-",1302.65153/2294320.13289*100)</f>
        <v>5.6777234847306943E-2</v>
      </c>
      <c r="E12" s="73">
        <f>IF(916.79736="","-",916.79736/2004915.53426*100)</f>
        <v>4.5727480501485729E-2</v>
      </c>
    </row>
    <row r="13" spans="1:6" x14ac:dyDescent="0.25">
      <c r="A13" s="45" t="s">
        <v>118</v>
      </c>
      <c r="B13" s="53">
        <v>6.0956099999999998</v>
      </c>
      <c r="C13" s="72">
        <v>92.787502112055392</v>
      </c>
      <c r="D13" s="73">
        <f>IF(6.56943="","-",6.56943/2294320.13289*100)</f>
        <v>2.8633449647346869E-4</v>
      </c>
      <c r="E13" s="73">
        <f>IF(6.09561="","-",6.09561/2004915.53426*100)</f>
        <v>3.0403325705438488E-4</v>
      </c>
    </row>
    <row r="14" spans="1:6" x14ac:dyDescent="0.25">
      <c r="A14" s="45" t="s">
        <v>119</v>
      </c>
      <c r="B14" s="53">
        <v>56.405320000000003</v>
      </c>
      <c r="C14" s="72">
        <v>11.288994292710743</v>
      </c>
      <c r="D14" s="73">
        <f>IF(499.64876="","-",499.64876/2294320.13289*100)</f>
        <v>2.1777639172377666E-2</v>
      </c>
      <c r="E14" s="73">
        <f>IF(56.40532="","-",56.40532/2004915.53426*100)</f>
        <v>2.8133514373122354E-3</v>
      </c>
    </row>
    <row r="15" spans="1:6" x14ac:dyDescent="0.25">
      <c r="A15" s="42" t="s">
        <v>251</v>
      </c>
      <c r="B15" s="51">
        <v>1340531.7347200001</v>
      </c>
      <c r="C15" s="62">
        <v>91.736306161463219</v>
      </c>
      <c r="D15" s="74">
        <f>IF(1461288.11025="","-",1461288.11025/2294320.13289*100)</f>
        <v>63.691552425568176</v>
      </c>
      <c r="E15" s="74">
        <f>IF(1340531.73472="","-",1340531.73472/2004915.53426*100)</f>
        <v>66.862254883709141</v>
      </c>
    </row>
    <row r="16" spans="1:6" x14ac:dyDescent="0.25">
      <c r="A16" s="44" t="s">
        <v>138</v>
      </c>
      <c r="B16" s="51"/>
      <c r="C16" s="62"/>
      <c r="D16" s="32"/>
      <c r="E16" s="32"/>
    </row>
    <row r="17" spans="1:11" x14ac:dyDescent="0.25">
      <c r="A17" s="45" t="s">
        <v>113</v>
      </c>
      <c r="B17" s="53">
        <v>64328.98545</v>
      </c>
      <c r="C17" s="72">
        <v>91.001465411942405</v>
      </c>
      <c r="D17" s="73">
        <f>IF(70690.05445="","-",70690.05445/2294320.13289*100)</f>
        <v>3.0810894014583967</v>
      </c>
      <c r="E17" s="73">
        <f>IF(64328.98545="","-",64328.98545/2004915.53426*100)</f>
        <v>3.208563370912449</v>
      </c>
      <c r="K17" s="25"/>
    </row>
    <row r="18" spans="1:11" x14ac:dyDescent="0.25">
      <c r="A18" s="45" t="s">
        <v>114</v>
      </c>
      <c r="B18" s="53">
        <v>13078.57552</v>
      </c>
      <c r="C18" s="72">
        <v>45.227486874595535</v>
      </c>
      <c r="D18" s="73">
        <f>IF(28917.31649="","-",28917.31649/2294320.13289*100)</f>
        <v>1.2603871654813408</v>
      </c>
      <c r="E18" s="73">
        <f>IF(13078.57552="","-",13078.57552/2004915.53426*100)</f>
        <v>0.65232551179903986</v>
      </c>
    </row>
    <row r="19" spans="1:11" x14ac:dyDescent="0.25">
      <c r="A19" s="45" t="s">
        <v>115</v>
      </c>
      <c r="B19" s="53">
        <v>1240482.26131</v>
      </c>
      <c r="C19" s="72">
        <v>91.456628327494698</v>
      </c>
      <c r="D19" s="73">
        <f>IF(1356361.24357="","-",1356361.24357/2294320.13289*100)</f>
        <v>59.118220867524855</v>
      </c>
      <c r="E19" s="73">
        <f>IF(1240482.26131="","-",1240482.26131/2004915.53426*100)</f>
        <v>61.872045984613166</v>
      </c>
    </row>
    <row r="20" spans="1:11" x14ac:dyDescent="0.25">
      <c r="A20" s="45" t="s">
        <v>116</v>
      </c>
      <c r="B20" s="53">
        <v>22151.546780000001</v>
      </c>
      <c r="C20" s="72" t="s">
        <v>281</v>
      </c>
      <c r="D20" s="73">
        <f>IF(4469.04367="","-",4469.04367/2294320.13289*100)</f>
        <v>0.194787275146762</v>
      </c>
      <c r="E20" s="73">
        <f>IF(22151.54678="","-",22151.54678/2004915.53426*100)</f>
        <v>1.1048618458720245</v>
      </c>
    </row>
    <row r="21" spans="1:11" x14ac:dyDescent="0.25">
      <c r="A21" s="45" t="s">
        <v>117</v>
      </c>
      <c r="B21" s="53">
        <v>449.39467000000002</v>
      </c>
      <c r="C21" s="75">
        <v>93.888887055009135</v>
      </c>
      <c r="D21" s="73">
        <f>IF(478.64522="","-",478.64522/2294320.13289*100)</f>
        <v>2.0862181050430958E-2</v>
      </c>
      <c r="E21" s="73">
        <f>IF(449.39467="","-",449.39467/2004915.53426*100)</f>
        <v>2.2414643525911347E-2</v>
      </c>
    </row>
    <row r="22" spans="1:11" x14ac:dyDescent="0.25">
      <c r="A22" s="41" t="s">
        <v>119</v>
      </c>
      <c r="B22" s="53">
        <v>40.97099</v>
      </c>
      <c r="C22" s="75">
        <v>11.019428501653479</v>
      </c>
      <c r="D22" s="73">
        <f>IF(371.80685="","-",371.80685/2294320.13289*100)</f>
        <v>1.6205534906397742E-2</v>
      </c>
      <c r="E22" s="73">
        <f>IF(40.97099="","-",40.97099/2004915.53426*100)</f>
        <v>2.043526986543206E-3</v>
      </c>
    </row>
    <row r="23" spans="1:11" x14ac:dyDescent="0.25">
      <c r="A23" s="42" t="s">
        <v>252</v>
      </c>
      <c r="B23" s="51">
        <v>305103.72249000001</v>
      </c>
      <c r="C23" s="62">
        <v>86.007463376870064</v>
      </c>
      <c r="D23" s="74">
        <f>IF(354740.98469="","-",354740.98469/2294320.13289*100)</f>
        <v>15.461703866197468</v>
      </c>
      <c r="E23" s="74">
        <f>IF(305103.72249="","-",305103.72249/2004915.53426*100)</f>
        <v>15.217784354322516</v>
      </c>
    </row>
    <row r="24" spans="1:11" x14ac:dyDescent="0.25">
      <c r="A24" s="44" t="s">
        <v>138</v>
      </c>
      <c r="B24" s="51"/>
      <c r="C24" s="62"/>
      <c r="D24" s="32"/>
      <c r="E24" s="32"/>
    </row>
    <row r="25" spans="1:11" x14ac:dyDescent="0.25">
      <c r="A25" s="45" t="s">
        <v>113</v>
      </c>
      <c r="B25" s="53">
        <v>2450.0091600000001</v>
      </c>
      <c r="C25" s="72">
        <v>39.975010849381334</v>
      </c>
      <c r="D25" s="73">
        <f>IF(6128.85177="","-",6128.85177/2294320.13289*100)</f>
        <v>0.26713149931173297</v>
      </c>
      <c r="E25" s="73">
        <f>IF(2450.00916="","-",2450.00916/2004915.53426*100)</f>
        <v>0.12220011856530807</v>
      </c>
    </row>
    <row r="26" spans="1:11" x14ac:dyDescent="0.25">
      <c r="A26" s="45" t="s">
        <v>114</v>
      </c>
      <c r="B26" s="53">
        <v>6667.1073699999997</v>
      </c>
      <c r="C26" s="72">
        <v>48.097467359960739</v>
      </c>
      <c r="D26" s="73">
        <f>IF(13861.65995="","-",13861.65995/2294320.13289*100)</f>
        <v>0.60417287680509535</v>
      </c>
      <c r="E26" s="73">
        <f>IF(6667.10737="","-",6667.10737/2004915.53426*100)</f>
        <v>0.33253806736854785</v>
      </c>
      <c r="F26" s="1"/>
      <c r="G26" s="1"/>
    </row>
    <row r="27" spans="1:11" x14ac:dyDescent="0.25">
      <c r="A27" s="45" t="s">
        <v>115</v>
      </c>
      <c r="B27" s="53">
        <v>288648.02059999999</v>
      </c>
      <c r="C27" s="76">
        <v>88.577182781514523</v>
      </c>
      <c r="D27" s="73">
        <f>IF(325871.75561="","-",325871.75561/2294320.13289*100)</f>
        <v>14.203412633594484</v>
      </c>
      <c r="E27" s="73">
        <f>IF(288648.0206="","-",288648.0206/2004915.53426*100)</f>
        <v>14.397016516036818</v>
      </c>
      <c r="F27" s="12"/>
      <c r="G27" s="12"/>
    </row>
    <row r="28" spans="1:11" x14ac:dyDescent="0.25">
      <c r="A28" s="45" t="s">
        <v>116</v>
      </c>
      <c r="B28" s="53">
        <v>7211.6522500000001</v>
      </c>
      <c r="C28" s="76">
        <v>85.228467536637339</v>
      </c>
      <c r="D28" s="73">
        <f>IF(8461.55335="","-",8461.55335/2294320.13289*100)</f>
        <v>0.36880438909549873</v>
      </c>
      <c r="E28" s="73">
        <f>IF(7211.65225="","-",7211.65225/2004915.53426*100)</f>
        <v>0.35969855720938232</v>
      </c>
    </row>
    <row r="29" spans="1:11" x14ac:dyDescent="0.25">
      <c r="A29" s="45" t="s">
        <v>117</v>
      </c>
      <c r="B29" s="53">
        <v>105.40317</v>
      </c>
      <c r="C29" s="76">
        <v>26.654848353394421</v>
      </c>
      <c r="D29" s="73">
        <f>IF(395.43714="","-",395.43714/2294320.13289*100)</f>
        <v>1.7235482282147548E-2</v>
      </c>
      <c r="E29" s="73">
        <f>IF(105.40317="","-",105.40317/2004915.53426*100)</f>
        <v>5.2572374346385392E-3</v>
      </c>
    </row>
    <row r="30" spans="1:11" x14ac:dyDescent="0.25">
      <c r="A30" s="45" t="s">
        <v>118</v>
      </c>
      <c r="B30" s="53">
        <v>6.0956099999999998</v>
      </c>
      <c r="C30" s="76">
        <v>92.787502112055392</v>
      </c>
      <c r="D30" s="73">
        <f>IF(6.56943="","-",6.56943/2294320.13289*100)</f>
        <v>2.8633449647346869E-4</v>
      </c>
      <c r="E30" s="73">
        <f>IF(6.09561="","-",6.09561/2004915.53426*100)</f>
        <v>3.0403325705438488E-4</v>
      </c>
    </row>
    <row r="31" spans="1:11" x14ac:dyDescent="0.25">
      <c r="A31" s="45" t="s">
        <v>119</v>
      </c>
      <c r="B31" s="53">
        <v>15.434329999999999</v>
      </c>
      <c r="C31" s="76">
        <v>101.82675966390103</v>
      </c>
      <c r="D31" s="73">
        <f>IF(15.15744="","-",15.15744/2294320.13289*100)</f>
        <v>6.6065061203587124E-4</v>
      </c>
      <c r="E31" s="73">
        <f>IF(15.43433="","-",15.43433/2004915.53426*100)</f>
        <v>7.6982445076902953E-4</v>
      </c>
    </row>
    <row r="32" spans="1:11" x14ac:dyDescent="0.25">
      <c r="A32" s="42" t="s">
        <v>265</v>
      </c>
      <c r="B32" s="51">
        <v>359280.07705000002</v>
      </c>
      <c r="C32" s="62">
        <v>75.117459568113148</v>
      </c>
      <c r="D32" s="74">
        <f>IF(478291.03795="","-",478291.03795/2294320.13289*100)</f>
        <v>20.846743708234349</v>
      </c>
      <c r="E32" s="74">
        <f>IF(359280.07705="","-",359280.07705/2004915.53426*100)</f>
        <v>17.919960761968344</v>
      </c>
    </row>
    <row r="33" spans="1:5" x14ac:dyDescent="0.25">
      <c r="A33" s="44" t="s">
        <v>138</v>
      </c>
      <c r="B33" s="51"/>
      <c r="C33" s="62"/>
      <c r="D33" s="32"/>
      <c r="E33" s="51"/>
    </row>
    <row r="34" spans="1:5" x14ac:dyDescent="0.25">
      <c r="A34" s="45" t="s">
        <v>113</v>
      </c>
      <c r="B34" s="53">
        <v>70816.141770000002</v>
      </c>
      <c r="C34" s="72">
        <v>93.603355225959419</v>
      </c>
      <c r="D34" s="73">
        <f>IF(75655.55914="","-",75655.55914/2294320.13289*100)</f>
        <v>3.2975153752716193</v>
      </c>
      <c r="E34" s="73">
        <f>IF(70816.14177="","-",70816.14177/2004915.53426*100)</f>
        <v>3.5321259454522469</v>
      </c>
    </row>
    <row r="35" spans="1:5" x14ac:dyDescent="0.25">
      <c r="A35" s="45" t="s">
        <v>114</v>
      </c>
      <c r="B35" s="53">
        <v>39110.600769999997</v>
      </c>
      <c r="C35" s="72">
        <v>62.770436348480828</v>
      </c>
      <c r="D35" s="73">
        <f>IF(62307.35844="","-",62307.35844/2294320.13289*100)</f>
        <v>2.7157220802275588</v>
      </c>
      <c r="E35" s="73">
        <f>IF(39110.60077="","-",39110.60077/2004915.53426*100)</f>
        <v>1.9507355847006014</v>
      </c>
    </row>
    <row r="36" spans="1:5" x14ac:dyDescent="0.25">
      <c r="A36" s="45" t="s">
        <v>115</v>
      </c>
      <c r="B36" s="53">
        <v>237955.38224000001</v>
      </c>
      <c r="C36" s="72">
        <v>75.30874740243523</v>
      </c>
      <c r="D36" s="73">
        <f>IF(315973.09801="","-",315973.09801/2294320.13289*100)</f>
        <v>13.771970767304826</v>
      </c>
      <c r="E36" s="73">
        <f>IF(237955.38224="","-",237955.38224/2004915.53426*100)</f>
        <v>11.868598859843122</v>
      </c>
    </row>
    <row r="37" spans="1:5" x14ac:dyDescent="0.25">
      <c r="A37" s="45" t="s">
        <v>116</v>
      </c>
      <c r="B37" s="53">
        <v>11035.95275</v>
      </c>
      <c r="C37" s="75">
        <v>46.342739277262957</v>
      </c>
      <c r="D37" s="73">
        <f>IF(23813.76872="","-",23813.76872/2294320.13289*100)</f>
        <v>1.0379444602616725</v>
      </c>
      <c r="E37" s="73">
        <f>IF(11035.95275="","-",11035.95275/2004915.53426*100)</f>
        <v>0.55044477243143763</v>
      </c>
    </row>
    <row r="38" spans="1:5" x14ac:dyDescent="0.25">
      <c r="A38" s="41" t="s">
        <v>117</v>
      </c>
      <c r="B38" s="53">
        <v>361.99952000000002</v>
      </c>
      <c r="C38" s="75">
        <v>84.466999807755656</v>
      </c>
      <c r="D38" s="73">
        <f>IF(428.56917="","-",428.56917/2294320.13289*100)</f>
        <v>1.8679571514728436E-2</v>
      </c>
      <c r="E38" s="73">
        <f>IF(361.99952="","-",361.99952/2004915.53426*100)</f>
        <v>1.8055599540935843E-2</v>
      </c>
    </row>
    <row r="39" spans="1:5" x14ac:dyDescent="0.25">
      <c r="A39" s="36" t="s">
        <v>119</v>
      </c>
      <c r="B39" s="57" t="s">
        <v>150</v>
      </c>
      <c r="C39" s="77" t="s">
        <v>22</v>
      </c>
      <c r="D39" s="78">
        <f>IF(112.68447="","-",112.68447/2294320.13289*100)</f>
        <v>4.9114536539440557E-3</v>
      </c>
      <c r="E39" s="57" t="s">
        <v>150</v>
      </c>
    </row>
    <row r="40" spans="1:5" x14ac:dyDescent="0.25">
      <c r="A40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1"/>
  <sheetViews>
    <sheetView workbookViewId="0">
      <selection activeCell="A27" sqref="A27"/>
    </sheetView>
  </sheetViews>
  <sheetFormatPr defaultRowHeight="15.75" x14ac:dyDescent="0.25"/>
  <cols>
    <col min="1" max="1" width="30.125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90" t="s">
        <v>245</v>
      </c>
      <c r="B1" s="90"/>
      <c r="C1" s="90"/>
      <c r="D1" s="90"/>
      <c r="E1" s="90"/>
    </row>
    <row r="2" spans="1:6" x14ac:dyDescent="0.25">
      <c r="A2" s="9"/>
      <c r="B2" s="9"/>
      <c r="C2" s="9"/>
      <c r="D2" s="9"/>
      <c r="E2" s="9"/>
    </row>
    <row r="3" spans="1:6" ht="15.75" customHeight="1" x14ac:dyDescent="0.25">
      <c r="A3" s="91"/>
      <c r="B3" s="94" t="s">
        <v>271</v>
      </c>
      <c r="C3" s="95"/>
      <c r="D3" s="94" t="s">
        <v>109</v>
      </c>
      <c r="E3" s="110"/>
      <c r="F3" s="1"/>
    </row>
    <row r="4" spans="1:6" ht="20.25" customHeight="1" x14ac:dyDescent="0.25">
      <c r="A4" s="92"/>
      <c r="B4" s="98" t="s">
        <v>123</v>
      </c>
      <c r="C4" s="100" t="s">
        <v>272</v>
      </c>
      <c r="D4" s="102" t="s">
        <v>273</v>
      </c>
      <c r="E4" s="94"/>
      <c r="F4" s="1"/>
    </row>
    <row r="5" spans="1:6" ht="20.25" customHeight="1" x14ac:dyDescent="0.25">
      <c r="A5" s="93"/>
      <c r="B5" s="99"/>
      <c r="C5" s="101"/>
      <c r="D5" s="30">
        <v>2019</v>
      </c>
      <c r="E5" s="29">
        <v>2020</v>
      </c>
      <c r="F5" s="1"/>
    </row>
    <row r="6" spans="1:6" ht="15.75" customHeight="1" x14ac:dyDescent="0.25">
      <c r="A6" s="43" t="s">
        <v>139</v>
      </c>
      <c r="B6" s="69">
        <v>4325623.55461</v>
      </c>
      <c r="C6" s="79">
        <v>90.141709104170232</v>
      </c>
      <c r="D6" s="70">
        <v>100</v>
      </c>
      <c r="E6" s="70">
        <v>100</v>
      </c>
    </row>
    <row r="7" spans="1:6" ht="15.75" customHeight="1" x14ac:dyDescent="0.25">
      <c r="A7" s="44" t="s">
        <v>138</v>
      </c>
      <c r="B7" s="80"/>
      <c r="C7" s="71"/>
      <c r="D7" s="31"/>
      <c r="E7" s="31"/>
    </row>
    <row r="8" spans="1:6" x14ac:dyDescent="0.25">
      <c r="A8" s="45" t="s">
        <v>113</v>
      </c>
      <c r="B8" s="53">
        <v>65072.449769999999</v>
      </c>
      <c r="C8" s="72">
        <v>62.228319921507648</v>
      </c>
      <c r="D8" s="73">
        <f>IF(104570.47507="","-",104570.47507/4798692.63363*100)</f>
        <v>2.1791450933354954</v>
      </c>
      <c r="E8" s="73">
        <f>IF(65072.44977="","-",65072.44977/4325623.55461*100)</f>
        <v>1.5043484239549587</v>
      </c>
    </row>
    <row r="9" spans="1:6" x14ac:dyDescent="0.25">
      <c r="A9" s="45" t="s">
        <v>114</v>
      </c>
      <c r="B9" s="53">
        <v>207027.26756000001</v>
      </c>
      <c r="C9" s="72">
        <v>88.979100279175739</v>
      </c>
      <c r="D9" s="73">
        <f>IF(232669.54477="","-",232669.54477/4798692.63363*100)</f>
        <v>4.8486027869218979</v>
      </c>
      <c r="E9" s="73">
        <f>IF(207027.26756="","-",207027.26756/4325623.55461*100)</f>
        <v>4.7860676026549349</v>
      </c>
    </row>
    <row r="10" spans="1:6" x14ac:dyDescent="0.25">
      <c r="A10" s="45" t="s">
        <v>115</v>
      </c>
      <c r="B10" s="53">
        <v>3788741.8046900001</v>
      </c>
      <c r="C10" s="72">
        <v>93.014123350070648</v>
      </c>
      <c r="D10" s="73">
        <f>IF(4073297.33188="","-",4073297.33188/4798692.63363*100)</f>
        <v>84.883480624153449</v>
      </c>
      <c r="E10" s="73">
        <f>IF(3788741.80469="","-",3788741.80469/4325623.55461*100)</f>
        <v>87.588338579583009</v>
      </c>
    </row>
    <row r="11" spans="1:6" x14ac:dyDescent="0.25">
      <c r="A11" s="45" t="s">
        <v>116</v>
      </c>
      <c r="B11" s="53">
        <v>98574.372140000007</v>
      </c>
      <c r="C11" s="72">
        <v>77.421025458179173</v>
      </c>
      <c r="D11" s="73">
        <f>IF(127322.48321="","-",127322.48321/4798692.63363*100)</f>
        <v>2.6532744005670175</v>
      </c>
      <c r="E11" s="73">
        <f>IF(98574.37214="","-",98574.37214/4325623.55461*100)</f>
        <v>2.2788476827796336</v>
      </c>
    </row>
    <row r="12" spans="1:6" x14ac:dyDescent="0.25">
      <c r="A12" s="45" t="s">
        <v>117</v>
      </c>
      <c r="B12" s="53">
        <v>10623.265100000001</v>
      </c>
      <c r="C12" s="72">
        <v>117.50916996366902</v>
      </c>
      <c r="D12" s="73">
        <f>IF(9040.37115="","-",9040.37115/4798692.63363*100)</f>
        <v>0.18839237767894623</v>
      </c>
      <c r="E12" s="73">
        <f>IF(10623.2651="","-",10623.2651/4325623.55461*100)</f>
        <v>0.24558921889257646</v>
      </c>
    </row>
    <row r="13" spans="1:6" x14ac:dyDescent="0.25">
      <c r="A13" s="45" t="s">
        <v>118</v>
      </c>
      <c r="B13" s="53">
        <v>131794.72331999999</v>
      </c>
      <c r="C13" s="72">
        <v>60.67721068524817</v>
      </c>
      <c r="D13" s="73">
        <f>IF(217206.29843="","-",217206.29843/4798692.63363*100)</f>
        <v>4.5263640539880337</v>
      </c>
      <c r="E13" s="73">
        <f>IF(131794.72332="","-",131794.72332/4325623.55461*100)</f>
        <v>3.0468375635586868</v>
      </c>
    </row>
    <row r="14" spans="1:6" x14ac:dyDescent="0.25">
      <c r="A14" s="45" t="s">
        <v>119</v>
      </c>
      <c r="B14" s="53">
        <v>23789.672030000002</v>
      </c>
      <c r="C14" s="72">
        <v>68.783852472936132</v>
      </c>
      <c r="D14" s="73">
        <f>IF(34586.12912="","-",34586.12912/4798692.63363*100)</f>
        <v>0.72074066335515863</v>
      </c>
      <c r="E14" s="73">
        <f>IF(23789.67203="","-",23789.67203/4325623.55461*100)</f>
        <v>0.54997092857621288</v>
      </c>
    </row>
    <row r="15" spans="1:6" x14ac:dyDescent="0.25">
      <c r="A15" s="42" t="s">
        <v>251</v>
      </c>
      <c r="B15" s="51">
        <v>1982108.89482</v>
      </c>
      <c r="C15" s="81">
        <v>84.546329965440592</v>
      </c>
      <c r="D15" s="74">
        <f>IF(2344405.60061="","-",2344405.60061/4798692.63363*100)</f>
        <v>48.85508990886462</v>
      </c>
      <c r="E15" s="74">
        <f>IF(1982108.89482="","-",1982108.89482/4325623.55461*100)</f>
        <v>45.822500959603445</v>
      </c>
    </row>
    <row r="16" spans="1:6" x14ac:dyDescent="0.25">
      <c r="A16" s="44" t="s">
        <v>138</v>
      </c>
      <c r="B16" s="80"/>
      <c r="C16" s="81"/>
      <c r="D16" s="80"/>
      <c r="E16" s="31"/>
    </row>
    <row r="17" spans="1:7" x14ac:dyDescent="0.25">
      <c r="A17" s="45" t="s">
        <v>113</v>
      </c>
      <c r="B17" s="53">
        <v>21236.685809999999</v>
      </c>
      <c r="C17" s="82">
        <v>29.839220235519022</v>
      </c>
      <c r="D17" s="73">
        <f>IF(71170.37792="","-",71170.37792/4798692.63363*100)</f>
        <v>1.4831201611294436</v>
      </c>
      <c r="E17" s="73">
        <f>IF(21236.68581="","-",21236.68581/4325623.55461*100)</f>
        <v>0.49095085464307597</v>
      </c>
    </row>
    <row r="18" spans="1:7" x14ac:dyDescent="0.25">
      <c r="A18" s="45" t="s">
        <v>114</v>
      </c>
      <c r="B18" s="53">
        <v>17231.064259999999</v>
      </c>
      <c r="C18" s="82">
        <v>44.23812786109734</v>
      </c>
      <c r="D18" s="73">
        <f>IF(38950.70857="","-",38950.70857/4798692.63363*100)</f>
        <v>0.81169417472224092</v>
      </c>
      <c r="E18" s="73">
        <f>IF(17231.06426="","-",17231.06426/4325623.55461*100)</f>
        <v>0.39834867834571791</v>
      </c>
    </row>
    <row r="19" spans="1:7" x14ac:dyDescent="0.25">
      <c r="A19" s="45" t="s">
        <v>115</v>
      </c>
      <c r="B19" s="53">
        <v>1896209.4638</v>
      </c>
      <c r="C19" s="82">
        <v>87.497966061165954</v>
      </c>
      <c r="D19" s="73">
        <f>IF(2167146.90542="","-",2167146.90542/4798692.63363*100)</f>
        <v>45.161194326810815</v>
      </c>
      <c r="E19" s="73">
        <f>IF(1896209.4638="","-",1896209.4638/4325623.55461*100)</f>
        <v>43.836673253249913</v>
      </c>
    </row>
    <row r="20" spans="1:7" x14ac:dyDescent="0.25">
      <c r="A20" s="45" t="s">
        <v>116</v>
      </c>
      <c r="B20" s="53">
        <v>23770.997289999999</v>
      </c>
      <c r="C20" s="82">
        <v>66.778964967378471</v>
      </c>
      <c r="D20" s="73">
        <f>IF(35596.53448="","-",35596.53448/4798692.63363*100)</f>
        <v>0.74179650996052215</v>
      </c>
      <c r="E20" s="73">
        <f>IF(23770.99729="","-",23770.99729/4325623.55461*100)</f>
        <v>0.54953920492379049</v>
      </c>
    </row>
    <row r="21" spans="1:7" x14ac:dyDescent="0.25">
      <c r="A21" s="45" t="s">
        <v>117</v>
      </c>
      <c r="B21" s="53">
        <v>3213.5019000000002</v>
      </c>
      <c r="C21" s="82">
        <v>84.544355418061613</v>
      </c>
      <c r="D21" s="73">
        <f>IF(3800.96564="","-",3800.96564/4798692.63363*100)</f>
        <v>7.9208357988220152E-2</v>
      </c>
      <c r="E21" s="73">
        <f>IF(3213.5019="","-",3213.5019/4325623.55461*100)</f>
        <v>7.4289911256268132E-2</v>
      </c>
    </row>
    <row r="22" spans="1:7" x14ac:dyDescent="0.25">
      <c r="A22" s="45" t="s">
        <v>118</v>
      </c>
      <c r="B22" s="53">
        <v>78.447419999999994</v>
      </c>
      <c r="C22" s="82" t="s">
        <v>22</v>
      </c>
      <c r="D22" s="53" t="s">
        <v>250</v>
      </c>
      <c r="E22" s="73">
        <f>IF(78.44742="","-",78.44742/4325623.55461*100)</f>
        <v>1.8135517113225274E-3</v>
      </c>
    </row>
    <row r="23" spans="1:7" x14ac:dyDescent="0.25">
      <c r="A23" s="45" t="s">
        <v>119</v>
      </c>
      <c r="B23" s="53">
        <v>20368.734339999999</v>
      </c>
      <c r="C23" s="82">
        <v>73.427017350196692</v>
      </c>
      <c r="D23" s="73">
        <f>IF(27740.10858="","-",27740.10858/4798692.63363*100)</f>
        <v>0.57807637825337921</v>
      </c>
      <c r="E23" s="73">
        <f>IF(20368.73434="","-",20368.73434/4325623.55461*100)</f>
        <v>0.4708855054733595</v>
      </c>
    </row>
    <row r="24" spans="1:7" x14ac:dyDescent="0.25">
      <c r="A24" s="42" t="s">
        <v>252</v>
      </c>
      <c r="B24" s="51">
        <v>1066280.91527</v>
      </c>
      <c r="C24" s="83">
        <v>92.510700138769266</v>
      </c>
      <c r="D24" s="74">
        <f>IF(1152602.79478="","-",1152602.79478/4798692.63363*100)</f>
        <v>24.019100258732486</v>
      </c>
      <c r="E24" s="74">
        <f>IF(1066280.91527="","-",1066280.91527/4325623.55461*100)</f>
        <v>24.65034004481549</v>
      </c>
    </row>
    <row r="25" spans="1:7" x14ac:dyDescent="0.25">
      <c r="A25" s="45" t="s">
        <v>138</v>
      </c>
      <c r="B25" s="80"/>
      <c r="C25" s="84"/>
      <c r="D25" s="31"/>
      <c r="E25" s="80"/>
    </row>
    <row r="26" spans="1:7" x14ac:dyDescent="0.25">
      <c r="A26" s="45" t="s">
        <v>113</v>
      </c>
      <c r="B26" s="53">
        <v>31359.335350000001</v>
      </c>
      <c r="C26" s="72">
        <v>139.7471036646285</v>
      </c>
      <c r="D26" s="73">
        <f>IF(22440.06103="","-",22440.06103/4798692.63363*100)</f>
        <v>0.46762863853243047</v>
      </c>
      <c r="E26" s="73">
        <f>IF(31359.33535="","-",31359.33535/4325623.55461*100)</f>
        <v>0.72496681586124223</v>
      </c>
      <c r="F26" s="1"/>
      <c r="G26" s="1"/>
    </row>
    <row r="27" spans="1:7" x14ac:dyDescent="0.25">
      <c r="A27" s="45" t="s">
        <v>114</v>
      </c>
      <c r="B27" s="53">
        <v>189580.75073</v>
      </c>
      <c r="C27" s="72">
        <v>98.035755708069033</v>
      </c>
      <c r="D27" s="73">
        <f>IF(193379.19044="","-",193379.19044/4798692.63363*100)</f>
        <v>4.029830731078043</v>
      </c>
      <c r="E27" s="73">
        <f>IF(189580.75073="","-",189580.75073/4325623.55461*100)</f>
        <v>4.3827380801076821</v>
      </c>
      <c r="F27" s="1"/>
      <c r="G27" s="1"/>
    </row>
    <row r="28" spans="1:7" x14ac:dyDescent="0.25">
      <c r="A28" s="45" t="s">
        <v>115</v>
      </c>
      <c r="B28" s="53">
        <v>700355.81761999999</v>
      </c>
      <c r="C28" s="72">
        <v>99.933375624711445</v>
      </c>
      <c r="D28" s="73">
        <f>IF(700822.73639="","-",700822.73639/4798692.63363*100)</f>
        <v>14.604451459935627</v>
      </c>
      <c r="E28" s="73">
        <f>IF(700355.81762="","-",700355.81762/4325623.55461*100)</f>
        <v>16.190863785952921</v>
      </c>
      <c r="F28" s="12"/>
      <c r="G28" s="12"/>
    </row>
    <row r="29" spans="1:7" x14ac:dyDescent="0.25">
      <c r="A29" s="45" t="s">
        <v>116</v>
      </c>
      <c r="B29" s="53">
        <v>11981.94937</v>
      </c>
      <c r="C29" s="72">
        <v>80.989760004731082</v>
      </c>
      <c r="D29" s="73">
        <f>IF(14794.40039="","-",14794.40039/4798692.63363*100)</f>
        <v>0.30830064602009499</v>
      </c>
      <c r="E29" s="73">
        <f>IF(11981.94937="","-",11981.94937/4325623.55461*100)</f>
        <v>0.27699935555488481</v>
      </c>
    </row>
    <row r="30" spans="1:7" x14ac:dyDescent="0.25">
      <c r="A30" s="45" t="s">
        <v>117</v>
      </c>
      <c r="B30" s="53">
        <v>348.32519000000002</v>
      </c>
      <c r="C30" s="72">
        <v>68.351540123749928</v>
      </c>
      <c r="D30" s="73">
        <f>IF(509.6084="","-",509.6084/4798692.63363*100)</f>
        <v>1.0619734142349178E-2</v>
      </c>
      <c r="E30" s="73">
        <f>IF(348.32519="","-",348.32519/4325623.55461*100)</f>
        <v>8.0526006390171222E-3</v>
      </c>
    </row>
    <row r="31" spans="1:7" x14ac:dyDescent="0.25">
      <c r="A31" s="45" t="s">
        <v>118</v>
      </c>
      <c r="B31" s="53">
        <v>131716.27590000001</v>
      </c>
      <c r="C31" s="72">
        <v>60.641094135881502</v>
      </c>
      <c r="D31" s="73">
        <f>IF(217206.29843="","-",217206.29843/4798692.63363*100)</f>
        <v>4.5263640539880337</v>
      </c>
      <c r="E31" s="73">
        <f>IF(131716.2759="","-",131716.2759/4325623.55461*100)</f>
        <v>3.0450240118473646</v>
      </c>
    </row>
    <row r="32" spans="1:7" x14ac:dyDescent="0.25">
      <c r="A32" s="45" t="s">
        <v>119</v>
      </c>
      <c r="B32" s="53">
        <v>938.46110999999996</v>
      </c>
      <c r="C32" s="72">
        <v>27.197831954600666</v>
      </c>
      <c r="D32" s="73">
        <f>IF(3450.4997="","-",3450.4997/4798692.63363*100)</f>
        <v>7.1904995035905195E-2</v>
      </c>
      <c r="E32" s="73">
        <f>IF(938.46111="","-",938.46111/4325623.55461*100)</f>
        <v>2.1695394852375496E-2</v>
      </c>
    </row>
    <row r="33" spans="1:5" x14ac:dyDescent="0.25">
      <c r="A33" s="42" t="s">
        <v>253</v>
      </c>
      <c r="B33" s="51">
        <v>1277233.7445199999</v>
      </c>
      <c r="C33" s="81">
        <v>98.121626351329297</v>
      </c>
      <c r="D33" s="74">
        <f>IF(1301684.23824="","-",1301684.23824/4798692.63363*100)</f>
        <v>27.125809832402897</v>
      </c>
      <c r="E33" s="85">
        <f>IF(1277233.74452="","-",1277233.74452/4325623.55461*100)</f>
        <v>29.527158995581065</v>
      </c>
    </row>
    <row r="34" spans="1:5" x14ac:dyDescent="0.25">
      <c r="A34" s="45" t="s">
        <v>138</v>
      </c>
      <c r="B34" s="80"/>
      <c r="C34" s="81"/>
      <c r="D34" s="86"/>
      <c r="E34" s="33"/>
    </row>
    <row r="35" spans="1:5" x14ac:dyDescent="0.25">
      <c r="A35" s="45" t="s">
        <v>113</v>
      </c>
      <c r="B35" s="55">
        <v>12476.428610000001</v>
      </c>
      <c r="C35" s="82">
        <v>113.83565230440136</v>
      </c>
      <c r="D35" s="73">
        <f>IF(10960.03612="","-",10960.03612/4798692.63363*100)</f>
        <v>0.22839629367362116</v>
      </c>
      <c r="E35" s="87">
        <f>IF(12476.42861="","-",12476.42861/4325623.55461*100)</f>
        <v>0.28843075345064051</v>
      </c>
    </row>
    <row r="36" spans="1:5" x14ac:dyDescent="0.25">
      <c r="A36" s="45" t="s">
        <v>114</v>
      </c>
      <c r="B36" s="55">
        <v>215.45257000000001</v>
      </c>
      <c r="C36" s="82">
        <v>63.434494221273361</v>
      </c>
      <c r="D36" s="73">
        <f>IF(339.64576="","-",339.64576/4798692.63363*100)</f>
        <v>7.0778811216144289E-3</v>
      </c>
      <c r="E36" s="87">
        <f>IF(215.45257="","-",215.45257/4325623.55461*100)</f>
        <v>4.9808442015344375E-3</v>
      </c>
    </row>
    <row r="37" spans="1:5" x14ac:dyDescent="0.25">
      <c r="A37" s="45" t="s">
        <v>115</v>
      </c>
      <c r="B37" s="55">
        <v>1192176.52327</v>
      </c>
      <c r="C37" s="82">
        <v>98.908913575258836</v>
      </c>
      <c r="D37" s="73">
        <f>IF(1205327.69007="","-",1205327.69007/4798692.63363*100)</f>
        <v>25.11783483740701</v>
      </c>
      <c r="E37" s="87">
        <f>IF(1192176.52327="","-",1192176.52327/4325623.55461*100)</f>
        <v>27.560801540380165</v>
      </c>
    </row>
    <row r="38" spans="1:5" x14ac:dyDescent="0.25">
      <c r="A38" s="45" t="s">
        <v>116</v>
      </c>
      <c r="B38" s="55">
        <v>62821.425479999998</v>
      </c>
      <c r="C38" s="82">
        <v>81.658860162751282</v>
      </c>
      <c r="D38" s="73">
        <f>IF(76931.54834="","-",76931.54834/4798692.63363*100)</f>
        <v>1.6031772445864001</v>
      </c>
      <c r="E38" s="87">
        <f>IF(62821.42548="","-",62821.42548/4325623.55461*100)</f>
        <v>1.4523091223009581</v>
      </c>
    </row>
    <row r="39" spans="1:5" x14ac:dyDescent="0.25">
      <c r="A39" s="45" t="s">
        <v>117</v>
      </c>
      <c r="B39" s="55">
        <v>7061.4380099999998</v>
      </c>
      <c r="C39" s="88">
        <v>149.2968481686099</v>
      </c>
      <c r="D39" s="73">
        <f>IF(4729.79711="","-",4729.79711/4798692.63363*100)</f>
        <v>9.8564285548376873E-2</v>
      </c>
      <c r="E39" s="87">
        <f>IF(7061.43801="","-",7061.43801/4325623.55461*100)</f>
        <v>0.16324670699729121</v>
      </c>
    </row>
    <row r="40" spans="1:5" x14ac:dyDescent="0.25">
      <c r="A40" s="36" t="s">
        <v>119</v>
      </c>
      <c r="B40" s="57">
        <v>2482.47658</v>
      </c>
      <c r="C40" s="89">
        <v>73.110332611005262</v>
      </c>
      <c r="D40" s="78">
        <f>IF(3395.52084="","-",3395.52084/4798692.63363*100)</f>
        <v>7.0759290065874419E-2</v>
      </c>
      <c r="E40" s="78">
        <f>IF(2482.47658="","-",2482.47658/4325623.55461*100)</f>
        <v>5.7390028250477773E-2</v>
      </c>
    </row>
    <row r="41" spans="1:5" x14ac:dyDescent="0.25">
      <c r="A41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2"/>
  <sheetViews>
    <sheetView zoomScaleNormal="100" workbookViewId="0">
      <selection activeCell="C66" sqref="C66"/>
    </sheetView>
  </sheetViews>
  <sheetFormatPr defaultRowHeight="15.75" x14ac:dyDescent="0.25"/>
  <cols>
    <col min="1" max="1" width="27.5" customWidth="1"/>
    <col min="2" max="2" width="12.75" customWidth="1"/>
    <col min="3" max="3" width="10.875" customWidth="1"/>
    <col min="4" max="4" width="8.25" customWidth="1"/>
    <col min="5" max="5" width="8.375" customWidth="1"/>
    <col min="6" max="6" width="9.625" customWidth="1"/>
    <col min="7" max="7" width="9.5" customWidth="1"/>
  </cols>
  <sheetData>
    <row r="1" spans="1:9" x14ac:dyDescent="0.25">
      <c r="A1" s="103" t="s">
        <v>160</v>
      </c>
      <c r="B1" s="103"/>
      <c r="C1" s="103"/>
      <c r="D1" s="103"/>
      <c r="E1" s="103"/>
      <c r="F1" s="103"/>
      <c r="G1" s="103"/>
    </row>
    <row r="2" spans="1:9" x14ac:dyDescent="0.25">
      <c r="A2" s="103" t="s">
        <v>23</v>
      </c>
      <c r="B2" s="103"/>
      <c r="C2" s="103"/>
      <c r="D2" s="103"/>
      <c r="E2" s="103"/>
      <c r="F2" s="103"/>
      <c r="G2" s="103"/>
    </row>
    <row r="3" spans="1:9" x14ac:dyDescent="0.25">
      <c r="A3" s="6"/>
    </row>
    <row r="4" spans="1:9" ht="57" customHeight="1" x14ac:dyDescent="0.25">
      <c r="A4" s="111"/>
      <c r="B4" s="114" t="s">
        <v>271</v>
      </c>
      <c r="C4" s="109"/>
      <c r="D4" s="114" t="s">
        <v>0</v>
      </c>
      <c r="E4" s="109"/>
      <c r="F4" s="115" t="s">
        <v>107</v>
      </c>
      <c r="G4" s="116"/>
    </row>
    <row r="5" spans="1:9" ht="20.25" customHeight="1" x14ac:dyDescent="0.25">
      <c r="A5" s="112"/>
      <c r="B5" s="117" t="s">
        <v>111</v>
      </c>
      <c r="C5" s="104" t="s">
        <v>272</v>
      </c>
      <c r="D5" s="119" t="s">
        <v>273</v>
      </c>
      <c r="E5" s="119"/>
      <c r="F5" s="119" t="s">
        <v>273</v>
      </c>
      <c r="G5" s="114"/>
    </row>
    <row r="6" spans="1:9" ht="38.25" customHeight="1" x14ac:dyDescent="0.25">
      <c r="A6" s="113"/>
      <c r="B6" s="118"/>
      <c r="C6" s="105"/>
      <c r="D6" s="24">
        <v>2019</v>
      </c>
      <c r="E6" s="24">
        <v>2020</v>
      </c>
      <c r="F6" s="24" t="s">
        <v>122</v>
      </c>
      <c r="G6" s="20" t="s">
        <v>141</v>
      </c>
    </row>
    <row r="7" spans="1:9" ht="16.5" customHeight="1" x14ac:dyDescent="0.25">
      <c r="A7" s="49" t="s">
        <v>101</v>
      </c>
      <c r="B7" s="50">
        <v>2004915.5342600001</v>
      </c>
      <c r="C7" s="61">
        <f>IF(2294320.13289="","-",2004915.53426/2294320.13289*100)</f>
        <v>87.386041098569081</v>
      </c>
      <c r="D7" s="50">
        <v>100</v>
      </c>
      <c r="E7" s="50">
        <v>100</v>
      </c>
      <c r="F7" s="61">
        <f>IF(2218501.69139="","-",(2294320.13289-2218501.69139)/2218501.69139*100)</f>
        <v>3.4175516653537561</v>
      </c>
      <c r="G7" s="61">
        <f>IF(2294320.13289="","-",(2004915.53426-2294320.13289)/2294320.13289*100)</f>
        <v>-12.613958901430921</v>
      </c>
    </row>
    <row r="8" spans="1:9" ht="13.5" customHeight="1" x14ac:dyDescent="0.25">
      <c r="A8" s="41" t="s">
        <v>138</v>
      </c>
      <c r="B8" s="35"/>
      <c r="C8" s="48"/>
      <c r="D8" s="35"/>
      <c r="E8" s="35"/>
      <c r="F8" s="48"/>
      <c r="G8" s="48"/>
    </row>
    <row r="9" spans="1:9" x14ac:dyDescent="0.25">
      <c r="A9" s="38" t="s">
        <v>219</v>
      </c>
      <c r="B9" s="51">
        <v>446369.75251999998</v>
      </c>
      <c r="C9" s="62">
        <f>IF(512271.95447="","-",446369.75252/512271.95447*100)</f>
        <v>87.135309404516818</v>
      </c>
      <c r="D9" s="51">
        <f>IF(512271.95447="","-",512271.95447/2294320.13289*100)</f>
        <v>22.327832420871697</v>
      </c>
      <c r="E9" s="51">
        <f>IF(446369.75252="","-",446369.75252/2004915.53426*100)</f>
        <v>22.263768467670229</v>
      </c>
      <c r="F9" s="62">
        <f>IF(2218501.69139="","-",(512271.95447-488645.3664)/2218501.69139*100)</f>
        <v>1.0649794932180909</v>
      </c>
      <c r="G9" s="62">
        <f>IF(2294320.13289="","-",(446369.75252-512271.95447)/2294320.13289*100)</f>
        <v>-2.8724065576231279</v>
      </c>
      <c r="I9" s="17"/>
    </row>
    <row r="10" spans="1:9" s="9" customFormat="1" x14ac:dyDescent="0.25">
      <c r="A10" s="52" t="s">
        <v>24</v>
      </c>
      <c r="B10" s="53">
        <v>9145.6795700000002</v>
      </c>
      <c r="C10" s="63">
        <f>IF(OR(8973.40312="",9145.67957=""),"-",9145.67957/8973.40312*100)</f>
        <v>101.9198563543415</v>
      </c>
      <c r="D10" s="53">
        <f>IF(8973.40312="","-",8973.40312/2294320.13289*100)</f>
        <v>0.39111382022772956</v>
      </c>
      <c r="E10" s="53">
        <f>IF(9145.67957="","-",9145.67957/2004915.53426*100)</f>
        <v>0.45616283647458522</v>
      </c>
      <c r="F10" s="63">
        <f>IF(OR(2218501.69139="",10442.50038="",8973.40312=""),"-",(8973.40312-10442.50038)/2218501.69139*100)</f>
        <v>-6.6220245208807454E-2</v>
      </c>
      <c r="G10" s="63">
        <f>IF(OR(2294320.13289="",9145.67957="",8973.40312=""),"-",(9145.67957-8973.40312)/2294320.13289*100)</f>
        <v>7.508823530349899E-3</v>
      </c>
      <c r="I10" s="17"/>
    </row>
    <row r="11" spans="1:9" s="9" customFormat="1" x14ac:dyDescent="0.25">
      <c r="A11" s="52" t="s">
        <v>220</v>
      </c>
      <c r="B11" s="53">
        <v>4520.4124000000002</v>
      </c>
      <c r="C11" s="63">
        <f>IF(OR(6496.35073="",4520.4124=""),"-",4520.4124/6496.35073*100)</f>
        <v>69.583872359674771</v>
      </c>
      <c r="D11" s="53">
        <f>IF(6496.35073="","-",6496.35073/2294320.13289*100)</f>
        <v>0.28314927097017561</v>
      </c>
      <c r="E11" s="53">
        <f>IF(4520.4124="","-",4520.4124/2004915.53426*100)</f>
        <v>0.22546647590659985</v>
      </c>
      <c r="F11" s="63">
        <f>IF(OR(2218501.69139="",6830.71074="",6496.35073=""),"-",(6496.35073-6830.71074)/2218501.69139*100)</f>
        <v>-1.5071433630077938E-2</v>
      </c>
      <c r="G11" s="63">
        <f>IF(OR(2294320.13289="",4520.4124="",6496.35073=""),"-",(4520.4124-6496.35073)/2294320.13289*100)</f>
        <v>-8.6123043670938981E-2</v>
      </c>
      <c r="I11" s="17"/>
    </row>
    <row r="12" spans="1:9" s="9" customFormat="1" x14ac:dyDescent="0.25">
      <c r="A12" s="52" t="s">
        <v>221</v>
      </c>
      <c r="B12" s="53">
        <v>9812.3946599999999</v>
      </c>
      <c r="C12" s="63">
        <f>IF(OR(13640.13732="",9812.39466=""),"-",9812.39466/13640.13732*100)</f>
        <v>71.937653044097075</v>
      </c>
      <c r="D12" s="53">
        <f>IF(13640.13732="","-",13640.13732/2294320.13289*100)</f>
        <v>0.59451761436702566</v>
      </c>
      <c r="E12" s="53">
        <f>IF(9812.39466="","-",9812.39466/2004915.53426*100)</f>
        <v>0.48941686032781845</v>
      </c>
      <c r="F12" s="63">
        <f>IF(OR(2218501.69139="",18532.98918="",13640.13732=""),"-",(13640.13732-18532.98918)/2218501.69139*100)</f>
        <v>-0.22054758303719793</v>
      </c>
      <c r="G12" s="63">
        <f>IF(OR(2294320.13289="",9812.39466="",13640.13732=""),"-",(9812.39466-13640.13732)/2294320.13289*100)</f>
        <v>-0.16683559565763176</v>
      </c>
      <c r="I12" s="17"/>
    </row>
    <row r="13" spans="1:9" s="9" customFormat="1" x14ac:dyDescent="0.25">
      <c r="A13" s="52" t="s">
        <v>222</v>
      </c>
      <c r="B13" s="53">
        <v>3.3584100000000001</v>
      </c>
      <c r="C13" s="63">
        <f>IF(OR(21.87227="",3.35841=""),"-",3.35841/21.87227*100)</f>
        <v>15.354647688602965</v>
      </c>
      <c r="D13" s="53">
        <f>IF(21.87227="","-",21.87227/2294320.13289*100)</f>
        <v>9.5332249786994551E-4</v>
      </c>
      <c r="E13" s="53">
        <f>IF(3.35841="","-",3.35841/2004915.53426*100)</f>
        <v>1.6750880237154553E-4</v>
      </c>
      <c r="F13" s="63">
        <f>IF(OR(2218501.69139="",12.30933="",21.87227=""),"-",(21.87227-12.30933)/2218501.69139*100)</f>
        <v>4.3105398734261731E-4</v>
      </c>
      <c r="G13" s="63">
        <f>IF(OR(2294320.13289="",3.35841="",21.87227=""),"-",(3.35841-21.87227)/2294320.13289*100)</f>
        <v>-8.0694318698582587E-4</v>
      </c>
      <c r="I13" s="17"/>
    </row>
    <row r="14" spans="1:9" s="9" customFormat="1" x14ac:dyDescent="0.25">
      <c r="A14" s="52" t="s">
        <v>223</v>
      </c>
      <c r="B14" s="53">
        <v>126315.59198</v>
      </c>
      <c r="C14" s="63">
        <f>IF(OR(212666.91617="",126315.59198=""),"-",126315.59198/212666.91617*100)</f>
        <v>59.395976701438045</v>
      </c>
      <c r="D14" s="53">
        <f>IF(212666.91617="","-",212666.91617/2294320.13289*100)</f>
        <v>9.269278211062808</v>
      </c>
      <c r="E14" s="53">
        <f>IF(126315.59198="","-",126315.59198/2004915.53426*100)</f>
        <v>6.3002949411842524</v>
      </c>
      <c r="F14" s="63">
        <f>IF(OR(2218501.69139="",186830.16356="",212666.91617=""),"-",(212666.91617-186830.16356)/2218501.69139*100)</f>
        <v>1.1646036922249103</v>
      </c>
      <c r="G14" s="63">
        <f>IF(OR(2294320.13289="",126315.59198="",212666.91617=""),"-",(126315.59198-212666.91617)/2294320.13289*100)</f>
        <v>-3.7636998844284681</v>
      </c>
      <c r="I14" s="17"/>
    </row>
    <row r="15" spans="1:9" s="9" customFormat="1" x14ac:dyDescent="0.25">
      <c r="A15" s="52" t="s">
        <v>224</v>
      </c>
      <c r="B15" s="53">
        <v>249802.86627</v>
      </c>
      <c r="C15" s="63">
        <f>IF(OR(225075.63113="",249802.86627=""),"-",249802.86627/225075.63113*100)</f>
        <v>110.98618940480409</v>
      </c>
      <c r="D15" s="53">
        <f>IF(225075.63113="","-",225075.63113/2294320.13289*100)</f>
        <v>9.810123177818582</v>
      </c>
      <c r="E15" s="53">
        <f>IF(249802.86627="","-",249802.86627/2004915.53426*100)</f>
        <v>12.459520713035946</v>
      </c>
      <c r="F15" s="63">
        <f>IF(OR(2218501.69139="",213203.34183="",225075.63113=""),"-",(225075.63113-213203.34183)/2218501.69139*100)</f>
        <v>0.53514898573556791</v>
      </c>
      <c r="G15" s="63">
        <f>IF(OR(2294320.13289="",249802.86627="",225075.63113=""),"-",(249802.86627-225075.63113)/2294320.13289*100)</f>
        <v>1.0777587131597357</v>
      </c>
      <c r="I15" s="17"/>
    </row>
    <row r="16" spans="1:9" s="9" customFormat="1" ht="15" customHeight="1" x14ac:dyDescent="0.25">
      <c r="A16" s="52" t="s">
        <v>181</v>
      </c>
      <c r="B16" s="53">
        <v>15349.22025</v>
      </c>
      <c r="C16" s="63">
        <f>IF(OR(16502.87049="",15349.22025=""),"-",15349.22025/16502.87049*100)</f>
        <v>93.009396512569978</v>
      </c>
      <c r="D16" s="53">
        <f>IF(16502.87049="","-",16502.87049/2294320.13289*100)</f>
        <v>0.71929240620891255</v>
      </c>
      <c r="E16" s="53">
        <f>IF(15349.22025="","-",15349.22025/2004915.53426*100)</f>
        <v>0.76557939662357333</v>
      </c>
      <c r="F16" s="63">
        <f>IF(OR(2218501.69139="",26262.51923="",16502.87049=""),"-",(16502.87049-26262.51923)/2218501.69139*100)</f>
        <v>-0.43992072568063284</v>
      </c>
      <c r="G16" s="63">
        <f>IF(OR(2294320.13289="",15349.22025="",16502.87049=""),"-",(15349.22025-16502.87049)/2294320.13289*100)</f>
        <v>-5.0282880033259598E-2</v>
      </c>
      <c r="I16" s="17"/>
    </row>
    <row r="17" spans="1:9" s="9" customFormat="1" ht="25.5" x14ac:dyDescent="0.25">
      <c r="A17" s="52" t="s">
        <v>225</v>
      </c>
      <c r="B17" s="53">
        <v>6418.6896900000002</v>
      </c>
      <c r="C17" s="63">
        <f>IF(OR(8198.41356="",6418.68969=""),"-",6418.68969/8198.41356*100)</f>
        <v>78.291850527237855</v>
      </c>
      <c r="D17" s="53">
        <f>IF(8198.41356="","-",8198.41356/2294320.13289*100)</f>
        <v>0.35733520542632441</v>
      </c>
      <c r="E17" s="53">
        <f>IF(6418.68969="","-",6418.68969/2004915.53426*100)</f>
        <v>0.32014763616309116</v>
      </c>
      <c r="F17" s="63">
        <f>IF(OR(2218501.69139="",9125.19027="",8198.41356=""),"-",(8198.41356-9125.19027)/2218501.69139*100)</f>
        <v>-4.1774893100006039E-2</v>
      </c>
      <c r="G17" s="63">
        <f>IF(OR(2294320.13289="",6418.68969="",8198.41356=""),"-",(6418.68969-8198.41356)/2294320.13289*100)</f>
        <v>-7.7570860512748183E-2</v>
      </c>
      <c r="I17" s="17"/>
    </row>
    <row r="18" spans="1:9" s="9" customFormat="1" ht="25.5" x14ac:dyDescent="0.25">
      <c r="A18" s="52" t="s">
        <v>182</v>
      </c>
      <c r="B18" s="53">
        <v>21883.042229999999</v>
      </c>
      <c r="C18" s="63">
        <f>IF(OR(18336.04362="",21883.04223=""),"-",21883.04223/18336.04362*100)</f>
        <v>119.34440538814555</v>
      </c>
      <c r="D18" s="53">
        <f>IF(18336.04362="","-",18336.04362/2294320.13289*100)</f>
        <v>0.79919290063951653</v>
      </c>
      <c r="E18" s="53">
        <f>IF(21883.04223="","-",21883.04223/2004915.53426*100)</f>
        <v>1.091469533557027</v>
      </c>
      <c r="F18" s="63">
        <f>IF(OR(2218501.69139="",15235.94253="",18336.04362=""),"-",(18336.04362-15235.94253)/2218501.69139*100)</f>
        <v>0.13973850468681118</v>
      </c>
      <c r="G18" s="63">
        <f>IF(OR(2294320.13289="",21883.04223="",18336.04362=""),"-",(21883.04223-18336.04362)/2294320.13289*100)</f>
        <v>0.15459911453298736</v>
      </c>
      <c r="I18" s="17"/>
    </row>
    <row r="19" spans="1:9" s="9" customFormat="1" x14ac:dyDescent="0.25">
      <c r="A19" s="52" t="s">
        <v>226</v>
      </c>
      <c r="B19" s="53">
        <v>3118.4970600000001</v>
      </c>
      <c r="C19" s="63">
        <f>IF(OR(2360.31606="",3118.49706=""),"-",3118.49706/2360.31606*100)</f>
        <v>132.12201165974358</v>
      </c>
      <c r="D19" s="53">
        <f>IF(2360.31606="","-",2360.31606/2294320.13289*100)</f>
        <v>0.10287649165275246</v>
      </c>
      <c r="E19" s="53">
        <f>IF(3118.49706="","-",3118.49706/2004915.53426*100)</f>
        <v>0.15554256559496485</v>
      </c>
      <c r="F19" s="63">
        <f>IF(OR(2218501.69139="",2169.69935="",2360.31606=""),"-",(2360.31606-2169.69935)/2218501.69139*100)</f>
        <v>8.5921372401825645E-3</v>
      </c>
      <c r="G19" s="63">
        <f>IF(OR(2294320.13289="",3118.49706="",2360.31606=""),"-",(3118.49706-2360.31606)/2294320.13289*100)</f>
        <v>3.3045998643832265E-2</v>
      </c>
    </row>
    <row r="20" spans="1:9" s="9" customFormat="1" x14ac:dyDescent="0.25">
      <c r="A20" s="38" t="s">
        <v>227</v>
      </c>
      <c r="B20" s="51">
        <v>150242.48292000001</v>
      </c>
      <c r="C20" s="62">
        <f>IF(179195.20932="","-",150242.48292/179195.20932*100)</f>
        <v>83.842912704045943</v>
      </c>
      <c r="D20" s="51">
        <f>IF(179195.20932="","-",179195.20932/2294320.13289*100)</f>
        <v>7.810383858432167</v>
      </c>
      <c r="E20" s="51">
        <f>IF(150242.48292="","-",150242.48292/2004915.53426*100)</f>
        <v>7.4937063608244943</v>
      </c>
      <c r="F20" s="62">
        <f>IF(2218501.69139="","-",(179195.20932-181333.66468)/2218501.69139*100)</f>
        <v>-9.6391874223009752E-2</v>
      </c>
      <c r="G20" s="62">
        <f>IF(2294320.13289="","-",(150242.48292-179195.20932)/2294320.13289*100)</f>
        <v>-1.2619305381559891</v>
      </c>
    </row>
    <row r="21" spans="1:9" s="9" customFormat="1" x14ac:dyDescent="0.25">
      <c r="A21" s="52" t="s">
        <v>228</v>
      </c>
      <c r="B21" s="53">
        <v>143094.63055</v>
      </c>
      <c r="C21" s="63">
        <f>IF(OR(159367.17192="",143094.63055=""),"-",143094.63055/159367.17192*100)</f>
        <v>89.789276440088571</v>
      </c>
      <c r="D21" s="53">
        <f>IF(159367.17192="","-",159367.17192/2294320.13289*100)</f>
        <v>6.9461610712213879</v>
      </c>
      <c r="E21" s="53">
        <f>IF(143094.63055="","-",143094.63055/2004915.53426*100)</f>
        <v>7.1371899765750078</v>
      </c>
      <c r="F21" s="63">
        <f>IF(OR(2218501.69139="",162661.55111="",159367.17192=""),"-",(159367.17192-162661.55111)/2218501.69139*100)</f>
        <v>-0.14849568079147676</v>
      </c>
      <c r="G21" s="63">
        <f>IF(OR(2294320.13289="",143094.63055="",159367.17192=""),"-",(143094.63055-159367.17192)/2294320.13289*100)</f>
        <v>-0.7092533050085984</v>
      </c>
    </row>
    <row r="22" spans="1:9" s="9" customFormat="1" x14ac:dyDescent="0.25">
      <c r="A22" s="52" t="s">
        <v>229</v>
      </c>
      <c r="B22" s="53">
        <v>7147.8523699999996</v>
      </c>
      <c r="C22" s="63">
        <f>IF(OR(19828.0374="",7147.85237=""),"-",7147.85237/19828.0374*100)</f>
        <v>36.049217710271208</v>
      </c>
      <c r="D22" s="53">
        <f>IF(19828.0374="","-",19828.0374/2294320.13289*100)</f>
        <v>0.86422278721077872</v>
      </c>
      <c r="E22" s="53">
        <f>IF(7147.85237="","-",7147.85237/2004915.53426*100)</f>
        <v>0.35651638424948512</v>
      </c>
      <c r="F22" s="63">
        <f>IF(OR(2218501.69139="",18672.11357="",19828.0374=""),"-",(19828.0374-18672.11357)/2218501.69139*100)</f>
        <v>5.2103806568466346E-2</v>
      </c>
      <c r="G22" s="63">
        <f>IF(OR(2294320.13289="",7147.85237="",19828.0374=""),"-",(7147.85237-19828.0374)/2294320.13289*100)</f>
        <v>-0.55267723314739114</v>
      </c>
    </row>
    <row r="23" spans="1:9" s="9" customFormat="1" ht="25.5" x14ac:dyDescent="0.25">
      <c r="A23" s="38" t="s">
        <v>25</v>
      </c>
      <c r="B23" s="51">
        <v>190018.50117999999</v>
      </c>
      <c r="C23" s="62">
        <f>IF(242299.19632="","-",190018.50118/242299.19632*100)</f>
        <v>78.423083553709418</v>
      </c>
      <c r="D23" s="51">
        <f>IF(242299.19632="","-",242299.19632/2294320.13289*100)</f>
        <v>10.560827708676907</v>
      </c>
      <c r="E23" s="51">
        <f>IF(190018.50118="","-",190018.50118/2004915.53426*100)</f>
        <v>9.4776312484473042</v>
      </c>
      <c r="F23" s="62">
        <f>IF(2218501.69139="","-",(242299.19632-220576.68344)/2218501.69139*100)</f>
        <v>0.97915241463664515</v>
      </c>
      <c r="G23" s="62">
        <f>IF(2294320.13289="","-",(190018.50118-242299.19632)/2294320.13289*100)</f>
        <v>-2.2787009707379213</v>
      </c>
      <c r="H23" s="7"/>
    </row>
    <row r="24" spans="1:9" s="9" customFormat="1" x14ac:dyDescent="0.25">
      <c r="A24" s="52" t="s">
        <v>236</v>
      </c>
      <c r="B24" s="53">
        <v>1027.27684</v>
      </c>
      <c r="C24" s="63">
        <f>IF(OR(1315.67343="",1027.27684=""),"-",1027.27684/1315.67343*100)</f>
        <v>78.079925958526047</v>
      </c>
      <c r="D24" s="53">
        <f>IF(1315.67343="","-",1315.67343/2294320.13289*100)</f>
        <v>5.7344806033791593E-2</v>
      </c>
      <c r="E24" s="53">
        <f>IF(1027.27684="","-",1027.27684/2004915.53426*100)</f>
        <v>5.1237911146175069E-2</v>
      </c>
      <c r="F24" s="63">
        <f>IF(OR(2218501.69139="",2592.93928="",1315.67343=""),"-",(1315.67343-2592.93928)/2218501.69139*100)</f>
        <v>-5.7573354798739429E-2</v>
      </c>
      <c r="G24" s="63">
        <f>IF(OR(2294320.13289="",1027.27684="",1315.67343=""),"-",(1027.27684-1315.67343)/2294320.13289*100)</f>
        <v>-1.2570023941546743E-2</v>
      </c>
      <c r="H24" s="8"/>
    </row>
    <row r="25" spans="1:9" s="9" customFormat="1" x14ac:dyDescent="0.25">
      <c r="A25" s="52" t="s">
        <v>230</v>
      </c>
      <c r="B25" s="53">
        <v>155918.95673000001</v>
      </c>
      <c r="C25" s="63">
        <f>IF(OR(212568.80829="",155918.95673=""),"-",155918.95673/212568.80829*100)</f>
        <v>73.349875734018966</v>
      </c>
      <c r="D25" s="53">
        <f>IF(212568.80829="","-",212568.80829/2294320.13289*100)</f>
        <v>9.2650020911528781</v>
      </c>
      <c r="E25" s="53">
        <f>IF(155918.95673="","-",155918.95673/2004915.53426*100)</f>
        <v>7.7768341890546804</v>
      </c>
      <c r="F25" s="63">
        <f>IF(OR(2218501.69139="",187322.04544="",212568.80829=""),"-",(212568.80829-187322.04544)/2218501.69139*100)</f>
        <v>1.138009628209103</v>
      </c>
      <c r="G25" s="63">
        <f>IF(OR(2294320.13289="",155918.95673="",212568.80829=""),"-",(155918.95673-212568.80829)/2294320.13289*100)</f>
        <v>-2.469134570537983</v>
      </c>
      <c r="H25" s="8"/>
    </row>
    <row r="26" spans="1:9" s="9" customFormat="1" ht="25.5" x14ac:dyDescent="0.25">
      <c r="A26" s="52" t="s">
        <v>231</v>
      </c>
      <c r="B26" s="53">
        <v>0.14712</v>
      </c>
      <c r="C26" s="63">
        <f>IF(OR(0.74013="",0.14712=""),"-",0.14712/0.74013*100)</f>
        <v>19.877589072190023</v>
      </c>
      <c r="D26" s="53">
        <f>IF(0.74013="","-",0.74013/2294320.13289*100)</f>
        <v>3.225922962493068E-5</v>
      </c>
      <c r="E26" s="53">
        <f>IF(0.14712="","-",0.14712/2004915.53426*100)</f>
        <v>7.3379649908444115E-6</v>
      </c>
      <c r="F26" s="63">
        <f>IF(OR(2218501.69139="",0.95231="",0.74013=""),"-",(0.74013-0.95231)/2218501.69139*100)</f>
        <v>-9.5641126091303049E-6</v>
      </c>
      <c r="G26" s="63">
        <f>IF(OR(2294320.13289="",0.14712="",0.74013=""),"-",(0.14712-0.74013)/2294320.13289*100)</f>
        <v>-2.5846872522232778E-5</v>
      </c>
      <c r="H26" s="8"/>
    </row>
    <row r="27" spans="1:9" s="9" customFormat="1" ht="14.25" customHeight="1" x14ac:dyDescent="0.25">
      <c r="A27" s="52" t="s">
        <v>232</v>
      </c>
      <c r="B27" s="53">
        <v>1349.14609</v>
      </c>
      <c r="C27" s="63" t="s">
        <v>105</v>
      </c>
      <c r="D27" s="53">
        <f>IF(850.80188="","-",850.80188/2294320.13289*100)</f>
        <v>3.7082962739306231E-2</v>
      </c>
      <c r="E27" s="53">
        <f>IF(1349.14609="","-",1349.14609/2004915.53426*100)</f>
        <v>6.7291916639169544E-2</v>
      </c>
      <c r="F27" s="63">
        <f>IF(OR(2218501.69139="",707.47807="",850.80188=""),"-",(850.80188-707.47807)/2218501.69139*100)</f>
        <v>6.4603876822018833E-3</v>
      </c>
      <c r="G27" s="63">
        <f>IF(OR(2294320.13289="",1349.14609="",850.80188=""),"-",(1349.14609-850.80188)/2294320.13289*100)</f>
        <v>2.1720779191013305E-2</v>
      </c>
      <c r="H27" s="8"/>
    </row>
    <row r="28" spans="1:9" s="9" customFormat="1" x14ac:dyDescent="0.25">
      <c r="A28" s="52" t="s">
        <v>183</v>
      </c>
      <c r="B28" s="53">
        <v>1620.6563200000001</v>
      </c>
      <c r="C28" s="63">
        <f>IF(OR(2254.7781="",1620.65632=""),"-",1620.65632/2254.7781*100)</f>
        <v>71.876532772781502</v>
      </c>
      <c r="D28" s="53">
        <f>IF(2254.7781="","-",2254.7781/2294320.13289*100)</f>
        <v>9.8276525044471819E-2</v>
      </c>
      <c r="E28" s="53">
        <f>IF(1620.65632="","-",1620.65632/2004915.53426*100)</f>
        <v>8.0834144496674393E-2</v>
      </c>
      <c r="F28" s="63">
        <f>IF(OR(2218501.69139="",2743.99655="",2254.7781=""),"-",(2254.7781-2743.99655)/2218501.69139*100)</f>
        <v>-2.2051750147347445E-2</v>
      </c>
      <c r="G28" s="63">
        <f>IF(OR(2294320.13289="",1620.65632="",2254.7781=""),"-",(1620.65632-2254.7781)/2294320.13289*100)</f>
        <v>-2.7638766312931211E-2</v>
      </c>
      <c r="H28" s="8"/>
    </row>
    <row r="29" spans="1:9" s="9" customFormat="1" ht="38.25" x14ac:dyDescent="0.25">
      <c r="A29" s="52" t="s">
        <v>184</v>
      </c>
      <c r="B29" s="53">
        <v>161.39722</v>
      </c>
      <c r="C29" s="63">
        <f>IF(OR(319.53469="",161.39722=""),"-",161.39722/319.53469*100)</f>
        <v>50.510077638205729</v>
      </c>
      <c r="D29" s="53">
        <f>IF(319.53469="","-",319.53469/2294320.13289*100)</f>
        <v>1.3927205947389032E-2</v>
      </c>
      <c r="E29" s="53">
        <f>IF(161.39722="","-",161.39722/2004915.53426*100)</f>
        <v>8.0500757883334249E-3</v>
      </c>
      <c r="F29" s="63">
        <f>IF(OR(2218501.69139="",333.38182="",319.53469=""),"-",(319.53469-333.38182)/2218501.69139*100)</f>
        <v>-6.241658527347837E-4</v>
      </c>
      <c r="G29" s="63">
        <f>IF(OR(2294320.13289="",161.39722="",319.53469=""),"-",(161.39722-319.53469)/2294320.13289*100)</f>
        <v>-6.8925634105300258E-3</v>
      </c>
      <c r="H29" s="8"/>
    </row>
    <row r="30" spans="1:9" s="9" customFormat="1" ht="38.25" x14ac:dyDescent="0.25">
      <c r="A30" s="52" t="s">
        <v>185</v>
      </c>
      <c r="B30" s="53">
        <v>7288.8416500000003</v>
      </c>
      <c r="C30" s="63">
        <f>IF(OR(8131.98939="",7288.84165=""),"-",7288.84165/8131.98939*100)</f>
        <v>89.631716182059606</v>
      </c>
      <c r="D30" s="53">
        <f>IF(8131.98939="","-",8131.98939/2294320.13289*100)</f>
        <v>0.35444004842326349</v>
      </c>
      <c r="E30" s="53">
        <f>IF(7288.84165="","-",7288.84165/2004915.53426*100)</f>
        <v>0.36354856478730707</v>
      </c>
      <c r="F30" s="63">
        <f>IF(OR(2218501.69139="",9564.63923="",8131.98939=""),"-",(8131.98939-9564.63923)/2218501.69139*100)</f>
        <v>-6.4577360727743047E-2</v>
      </c>
      <c r="G30" s="63">
        <f>IF(OR(2294320.13289="",7288.84165="",8131.98939=""),"-",(7288.84165-8131.98939)/2294320.13289*100)</f>
        <v>-3.6749350184969311E-2</v>
      </c>
      <c r="H30" s="8"/>
    </row>
    <row r="31" spans="1:9" s="9" customFormat="1" ht="15.75" customHeight="1" x14ac:dyDescent="0.25">
      <c r="A31" s="52" t="s">
        <v>186</v>
      </c>
      <c r="B31" s="53">
        <v>19451.794160000001</v>
      </c>
      <c r="C31" s="63">
        <f>IF(OR(13949.70818="",19451.79416=""),"-",19451.79416/13949.70818*100)</f>
        <v>139.4423016525067</v>
      </c>
      <c r="D31" s="53">
        <f>IF(13949.70818="","-",13949.70818/2294320.13289*100)</f>
        <v>0.60801053785063974</v>
      </c>
      <c r="E31" s="53">
        <f>IF(19451.79416="","-",19451.79416/2004915.53426*100)</f>
        <v>0.97020516962474035</v>
      </c>
      <c r="F31" s="63">
        <f>IF(OR(2218501.69139="",14280.02472="",13949.70818=""),"-",(13949.70818-14280.02472)/2218501.69139*100)</f>
        <v>-1.4889172331125893E-2</v>
      </c>
      <c r="G31" s="63">
        <f>IF(OR(2294320.13289="",19451.79416="",13949.70818=""),"-",(19451.79416-13949.70818)/2294320.13289*100)</f>
        <v>0.23981335041807772</v>
      </c>
    </row>
    <row r="32" spans="1:9" s="9" customFormat="1" ht="25.5" x14ac:dyDescent="0.25">
      <c r="A32" s="52" t="s">
        <v>187</v>
      </c>
      <c r="B32" s="53">
        <v>3200.28505</v>
      </c>
      <c r="C32" s="63">
        <f>IF(OR(2907.16223="",3200.28505=""),"-",3200.28505/2907.16223*100)</f>
        <v>110.08278165474101</v>
      </c>
      <c r="D32" s="53">
        <f>IF(2907.16223="","-",2907.16223/2294320.13289*100)</f>
        <v>0.12671127225554371</v>
      </c>
      <c r="E32" s="53">
        <f>IF(3200.28505="","-",3200.28505/2004915.53426*100)</f>
        <v>0.15962193894523352</v>
      </c>
      <c r="F32" s="63">
        <f>IF(OR(2218501.69139="",3031.22602="",2907.16223=""),"-",(2907.16223-3031.22602)/2218501.69139*100)</f>
        <v>-5.592233284359956E-3</v>
      </c>
      <c r="G32" s="63">
        <f>IF(OR(2294320.13289="",3200.28505="",2907.16223=""),"-",(3200.28505-2907.16223)/2294320.13289*100)</f>
        <v>1.2776020913470913E-2</v>
      </c>
    </row>
    <row r="33" spans="1:7" s="9" customFormat="1" ht="25.5" x14ac:dyDescent="0.25">
      <c r="A33" s="38" t="s">
        <v>188</v>
      </c>
      <c r="B33" s="51">
        <v>9937.1980800000001</v>
      </c>
      <c r="C33" s="62">
        <f>IF(8978.7586="","-",9937.19808/8978.7586*100)</f>
        <v>110.67452108579911</v>
      </c>
      <c r="D33" s="51">
        <f>IF(8978.7586="","-",8978.7586/2294320.13289*100)</f>
        <v>0.3913472436250674</v>
      </c>
      <c r="E33" s="51">
        <f>IF(9937.19808="","-",9937.19808/2004915.53426*100)</f>
        <v>0.4956417320427291</v>
      </c>
      <c r="F33" s="62">
        <f>IF(2218501.69139="","-",(8978.7586-15865.36767)/2218501.69139*100)</f>
        <v>-0.31041712056055287</v>
      </c>
      <c r="G33" s="62">
        <f>IF(2294320.13289="","-",(9937.19808-8978.7586)/2294320.13289*100)</f>
        <v>4.1774444039451436E-2</v>
      </c>
    </row>
    <row r="34" spans="1:7" s="9" customFormat="1" x14ac:dyDescent="0.25">
      <c r="A34" s="52" t="s">
        <v>233</v>
      </c>
      <c r="B34" s="53">
        <v>62.139409999999998</v>
      </c>
      <c r="C34" s="63" t="s">
        <v>289</v>
      </c>
      <c r="D34" s="53">
        <f>IF(3.98403="","-",3.98403/2294320.13289*100)</f>
        <v>1.736475194933493E-4</v>
      </c>
      <c r="E34" s="53">
        <f>IF(62.13941="","-",62.13941/2004915.53426*100)</f>
        <v>3.0993530120427344E-3</v>
      </c>
      <c r="F34" s="63">
        <f>IF(OR(2218501.69139="",18.25726="",3.98403=""),"-",(3.98403-18.25726)/2218501.69139*100)</f>
        <v>-6.433725092657973E-4</v>
      </c>
      <c r="G34" s="63">
        <f>IF(OR(2294320.13289="",62.13941="",3.98403=""),"-",(62.13941-3.98403)/2294320.13289*100)</f>
        <v>2.5347543774000537E-3</v>
      </c>
    </row>
    <row r="35" spans="1:7" s="9" customFormat="1" ht="25.5" x14ac:dyDescent="0.25">
      <c r="A35" s="52" t="s">
        <v>189</v>
      </c>
      <c r="B35" s="53">
        <v>9343.5854199999994</v>
      </c>
      <c r="C35" s="63">
        <f>IF(OR(8942.0939="",9343.58542=""),"-",9343.58542/8942.0939*100)</f>
        <v>104.48990498746606</v>
      </c>
      <c r="D35" s="53">
        <f>IF(8942.0939="","-",8942.0939/2294320.13289*100)</f>
        <v>0.38974917980326695</v>
      </c>
      <c r="E35" s="53">
        <f>IF(9343.58542="","-",9343.58542/2004915.53426*100)</f>
        <v>0.46603386827708182</v>
      </c>
      <c r="F35" s="63">
        <f>IF(OR(2218501.69139="",15830.86096="",8942.0939=""),"-",(8942.0939-15830.86096)/2218501.69139*100)</f>
        <v>-0.31051439296779848</v>
      </c>
      <c r="G35" s="63">
        <f>IF(OR(2294320.13289="",9343.58542="",8942.0939=""),"-",(9343.58542-8942.0939)/2294320.13289*100)</f>
        <v>1.7499367862595001E-2</v>
      </c>
    </row>
    <row r="36" spans="1:7" s="9" customFormat="1" ht="25.5" x14ac:dyDescent="0.25">
      <c r="A36" s="52" t="s">
        <v>234</v>
      </c>
      <c r="B36" s="53">
        <v>525.37764000000004</v>
      </c>
      <c r="C36" s="63" t="s">
        <v>290</v>
      </c>
      <c r="D36" s="53">
        <f>IF(26.11124="","-",26.11124/2294320.13289*100)</f>
        <v>1.1380818058336713E-3</v>
      </c>
      <c r="E36" s="53">
        <f>IF(525.37764="","-",525.37764/2004915.53426*100)</f>
        <v>2.6204477496550155E-2</v>
      </c>
      <c r="F36" s="63">
        <f>IF(OR(2218501.69139="",9.38137="",26.11124=""),"-",(26.11124-9.38137)/2218501.69139*100)</f>
        <v>7.541067047606313E-4</v>
      </c>
      <c r="G36" s="63">
        <f>IF(OR(2294320.13289="",525.37764="",26.11124=""),"-",(525.37764-26.11124)/2294320.13289*100)</f>
        <v>2.1760973668966933E-2</v>
      </c>
    </row>
    <row r="37" spans="1:7" s="9" customFormat="1" x14ac:dyDescent="0.25">
      <c r="A37" s="52" t="s">
        <v>190</v>
      </c>
      <c r="B37" s="53">
        <v>6.0956099999999998</v>
      </c>
      <c r="C37" s="63">
        <f>IF(OR(6.56943="",6.09561=""),"-",6.09561/6.56943*100)</f>
        <v>92.787502112055392</v>
      </c>
      <c r="D37" s="53">
        <f>IF(6.56943="","-",6.56943/2294320.13289*100)</f>
        <v>2.8633449647346869E-4</v>
      </c>
      <c r="E37" s="53">
        <f>IF(6.09561="","-",6.09561/2004915.53426*100)</f>
        <v>3.0403325705438488E-4</v>
      </c>
      <c r="F37" s="63">
        <f>IF(OR(2218501.69139="",6.86808="",6.56943=""),"-",(6.56943-6.86808)/2218501.69139*100)</f>
        <v>-1.3461788249207123E-5</v>
      </c>
      <c r="G37" s="63">
        <f>IF(OR(2294320.13289="",6.09561="",6.56943=""),"-",(6.09561-6.56943)/2294320.13289*100)</f>
        <v>-2.0651869510605779E-5</v>
      </c>
    </row>
    <row r="38" spans="1:7" s="9" customFormat="1" ht="25.5" x14ac:dyDescent="0.25">
      <c r="A38" s="38" t="s">
        <v>191</v>
      </c>
      <c r="B38" s="51">
        <v>80047.720319999993</v>
      </c>
      <c r="C38" s="62" t="s">
        <v>104</v>
      </c>
      <c r="D38" s="51">
        <f>IF(48237.18862="","-",48237.18862/2294320.13289*100)</f>
        <v>2.1024611137957838</v>
      </c>
      <c r="E38" s="51">
        <f>IF(80047.72032="","-",80047.72032/2004915.53426*100)</f>
        <v>3.992573200822898</v>
      </c>
      <c r="F38" s="62">
        <f>IF(2218501.69139="","-",(48237.18862-54891.47319)/2218501.69139*100)</f>
        <v>-0.29994498520444046</v>
      </c>
      <c r="G38" s="62">
        <f>IF(2294320.13289="","-",(80047.72032-48237.18862)/2294320.13289*100)</f>
        <v>1.3864905443657689</v>
      </c>
    </row>
    <row r="39" spans="1:7" s="9" customFormat="1" x14ac:dyDescent="0.25">
      <c r="A39" s="52" t="s">
        <v>237</v>
      </c>
      <c r="B39" s="53">
        <v>4.3198299999999996</v>
      </c>
      <c r="C39" s="63" t="str">
        <f>IF(OR(""="",4.31983=""),"-",4.31983/""*100)</f>
        <v>-</v>
      </c>
      <c r="D39" s="53" t="str">
        <f>IF(""="","-",""/2294320.13289*100)</f>
        <v>-</v>
      </c>
      <c r="E39" s="53">
        <f>IF(4.31983="","-",4.31983/2004915.53426*100)</f>
        <v>2.1546194471451475E-4</v>
      </c>
      <c r="F39" s="63" t="str">
        <f>IF(OR(2218501.69139="",0.01755="",""=""),"-",(""-0.01755)/2218501.69139*100)</f>
        <v>-</v>
      </c>
      <c r="G39" s="63" t="str">
        <f>IF(OR(2294320.13289="",4.31983="",""=""),"-",(4.31983-"")/2294320.13289*100)</f>
        <v>-</v>
      </c>
    </row>
    <row r="40" spans="1:7" s="9" customFormat="1" ht="25.5" x14ac:dyDescent="0.25">
      <c r="A40" s="52" t="s">
        <v>192</v>
      </c>
      <c r="B40" s="53">
        <v>80011.709199999998</v>
      </c>
      <c r="C40" s="63" t="s">
        <v>104</v>
      </c>
      <c r="D40" s="53">
        <f>IF(48210.7894="","-",48210.7894/2294320.13289*100)</f>
        <v>2.1013104801234572</v>
      </c>
      <c r="E40" s="53">
        <f>IF(80011.7092="","-",80011.7092/2004915.53426*100)</f>
        <v>3.9907770593204441</v>
      </c>
      <c r="F40" s="63">
        <f>IF(OR(2218501.69139="",54717.71026="",48210.7894=""),"-",(48210.7894-54717.71026)/2218501.69139*100)</f>
        <v>-0.29330249714270418</v>
      </c>
      <c r="G40" s="63">
        <f>IF(OR(2294320.13289="",80011.7092="",48210.7894=""),"-",(80011.7092-48210.7894)/2294320.13289*100)</f>
        <v>1.3860716010865723</v>
      </c>
    </row>
    <row r="41" spans="1:7" s="9" customFormat="1" ht="63.75" x14ac:dyDescent="0.25">
      <c r="A41" s="52" t="s">
        <v>235</v>
      </c>
      <c r="B41" s="53">
        <v>31.691289999999999</v>
      </c>
      <c r="C41" s="63">
        <f>IF(OR(26.39922="",31.69129=""),"-",31.69129/26.39922*100)</f>
        <v>120.04631197436895</v>
      </c>
      <c r="D41" s="53">
        <f>IF(26.39922="","-",26.39922/2294320.13289*100)</f>
        <v>1.150633672326568E-3</v>
      </c>
      <c r="E41" s="53">
        <f>IF(31.69129="","-",31.69129/2004915.53426*100)</f>
        <v>1.5806795577399239E-3</v>
      </c>
      <c r="F41" s="63">
        <f>IF(OR(2218501.69139="",173.74538="",26.39922=""),"-",(26.39922-173.74538)/2218501.69139*100)</f>
        <v>-6.6416969872887689E-3</v>
      </c>
      <c r="G41" s="63">
        <f>IF(OR(2294320.13289="",31.69129="",26.39922=""),"-",(31.69129-26.39922)/2294320.13289*100)</f>
        <v>2.3065961563672181E-4</v>
      </c>
    </row>
    <row r="42" spans="1:7" s="9" customFormat="1" ht="25.5" x14ac:dyDescent="0.25">
      <c r="A42" s="38" t="s">
        <v>193</v>
      </c>
      <c r="B42" s="51">
        <v>100527.27416</v>
      </c>
      <c r="C42" s="62">
        <f>IF(116146.38896="","-",100527.27416/116146.38896*100)</f>
        <v>86.552216612279608</v>
      </c>
      <c r="D42" s="51">
        <f>IF(116146.38896="","-",116146.38896/2294320.13289*100)</f>
        <v>5.062344495652324</v>
      </c>
      <c r="E42" s="51">
        <f>IF(100527.27416="","-",100527.27416/2004915.53426*100)</f>
        <v>5.0140403644038747</v>
      </c>
      <c r="F42" s="62">
        <f>IF(2218501.69139="","-",(116146.38896-106271.32458)/2218501.69139*100)</f>
        <v>0.44512313956419775</v>
      </c>
      <c r="G42" s="62">
        <f>IF(2294320.13289="","-",(100527.27416-116146.38896)/2294320.13289*100)</f>
        <v>-0.68077312211551111</v>
      </c>
    </row>
    <row r="43" spans="1:7" s="9" customFormat="1" x14ac:dyDescent="0.25">
      <c r="A43" s="52" t="s">
        <v>26</v>
      </c>
      <c r="B43" s="53">
        <v>40810.312749999997</v>
      </c>
      <c r="C43" s="63" t="s">
        <v>96</v>
      </c>
      <c r="D43" s="53">
        <f>IF(19697.37225="","-",19697.37225/2294320.13289*100)</f>
        <v>0.85852762949817951</v>
      </c>
      <c r="E43" s="53">
        <f>IF(40810.31275="","-",40810.31275/2004915.53426*100)</f>
        <v>2.0355128209958626</v>
      </c>
      <c r="F43" s="63">
        <f>IF(OR(2218501.69139="",21541.39057="",19697.37225=""),"-",(19697.37225-21541.39057)/2218501.69139*100)</f>
        <v>-8.3119987113673618E-2</v>
      </c>
      <c r="G43" s="63">
        <f>IF(OR(2294320.13289="",40810.31275="",19697.37225=""),"-",(40810.31275-19697.37225)/2294320.13289*100)</f>
        <v>0.92022644082390781</v>
      </c>
    </row>
    <row r="44" spans="1:7" s="9" customFormat="1" x14ac:dyDescent="0.25">
      <c r="A44" s="52" t="s">
        <v>27</v>
      </c>
      <c r="B44" s="53">
        <v>1321.19409</v>
      </c>
      <c r="C44" s="63">
        <f>IF(OR(1120.46353="",1321.19409=""),"-",1321.19409/1120.46353*100)</f>
        <v>117.91495703568327</v>
      </c>
      <c r="D44" s="53">
        <f>IF(1120.46353="","-",1120.46353/2294320.13289*100)</f>
        <v>4.8836407523854479E-2</v>
      </c>
      <c r="E44" s="53">
        <f>IF(1321.19409="","-",1321.19409/2004915.53426*100)</f>
        <v>6.5897743192839461E-2</v>
      </c>
      <c r="F44" s="63">
        <f>IF(OR(2218501.69139="",925.08409="",1120.46353=""),"-",(1120.46353-925.08409)/2218501.69139*100)</f>
        <v>8.8068195196004222E-3</v>
      </c>
      <c r="G44" s="63">
        <f>IF(OR(2294320.13289="",1321.19409="",1120.46353=""),"-",(1321.19409-1120.46353)/2294320.13289*100)</f>
        <v>8.7490214256697139E-3</v>
      </c>
    </row>
    <row r="45" spans="1:7" s="9" customFormat="1" x14ac:dyDescent="0.25">
      <c r="A45" s="52" t="s">
        <v>194</v>
      </c>
      <c r="B45" s="53">
        <v>728.23545999999999</v>
      </c>
      <c r="C45" s="63">
        <f>IF(OR(728.78234="",728.23546=""),"-",728.23546/728.78234*100)</f>
        <v>99.924959762334538</v>
      </c>
      <c r="D45" s="53">
        <f>IF(728.78234="","-",728.78234/2294320.13289*100)</f>
        <v>3.176463168991165E-2</v>
      </c>
      <c r="E45" s="53">
        <f>IF(728.23546="","-",728.23546/2004915.53426*100)</f>
        <v>3.6322500751573381E-2</v>
      </c>
      <c r="F45" s="63">
        <f>IF(OR(2218501.69139="",2680.16377="",728.78234=""),"-",(728.78234-2680.16377)/2218501.69139*100)</f>
        <v>-8.7959429446157616E-2</v>
      </c>
      <c r="G45" s="63">
        <f>IF(OR(2294320.13289="",728.23546="",728.78234=""),"-",(728.23546-728.78234)/2294320.13289*100)</f>
        <v>-2.3836255113671501E-5</v>
      </c>
    </row>
    <row r="46" spans="1:7" s="9" customFormat="1" x14ac:dyDescent="0.25">
      <c r="A46" s="52" t="s">
        <v>195</v>
      </c>
      <c r="B46" s="53">
        <v>42028.700510000002</v>
      </c>
      <c r="C46" s="63">
        <f>IF(OR(75872.4241="",42028.70051=""),"-",42028.70051/75872.4241*100)</f>
        <v>55.393907613398632</v>
      </c>
      <c r="D46" s="53">
        <f>IF(75872.4241="","-",75872.4241/2294320.13289*100)</f>
        <v>3.3069676289868335</v>
      </c>
      <c r="E46" s="53">
        <f>IF(42028.70051="","-",42028.70051/2004915.53426*100)</f>
        <v>2.0962828504150672</v>
      </c>
      <c r="F46" s="63">
        <f>IF(OR(2218501.69139="",56286.49645="",75872.4241=""),"-",(75872.4241-56286.49645)/2218501.69139*100)</f>
        <v>0.88284483739692199</v>
      </c>
      <c r="G46" s="63">
        <f>IF(OR(2294320.13289="",42028.70051="",75872.4241=""),"-",(42028.70051-75872.4241)/2294320.13289*100)</f>
        <v>-1.4751090357808676</v>
      </c>
    </row>
    <row r="47" spans="1:7" s="9" customFormat="1" ht="38.25" x14ac:dyDescent="0.25">
      <c r="A47" s="52" t="s">
        <v>196</v>
      </c>
      <c r="B47" s="53">
        <v>9879.2525999999998</v>
      </c>
      <c r="C47" s="63">
        <f>IF(OR(13034.31117="",9879.2526=""),"-",9879.2526/13034.31117*100)</f>
        <v>75.79420554833969</v>
      </c>
      <c r="D47" s="53">
        <f>IF(13034.31117="","-",13034.31117/2294320.13289*100)</f>
        <v>0.56811213845652664</v>
      </c>
      <c r="E47" s="53">
        <f>IF(9879.2526="","-",9879.2526/2004915.53426*100)</f>
        <v>0.49275156140911247</v>
      </c>
      <c r="F47" s="63">
        <f>IF(OR(2218501.69139="",19002.62869="",13034.31117=""),"-",(13034.31117-19002.62869)/2218501.69139*100)</f>
        <v>-0.26902470001095907</v>
      </c>
      <c r="G47" s="63">
        <f>IF(OR(2294320.13289="",9879.2526="",13034.31117=""),"-",(9879.2526-13034.31117)/2294320.13289*100)</f>
        <v>-0.13751605648971868</v>
      </c>
    </row>
    <row r="48" spans="1:7" s="9" customFormat="1" x14ac:dyDescent="0.25">
      <c r="A48" s="52" t="s">
        <v>197</v>
      </c>
      <c r="B48" s="53">
        <v>37.308390000000003</v>
      </c>
      <c r="C48" s="63">
        <f>IF(OR(45.5386="",37.30839=""),"-",37.30839/45.5386*100)</f>
        <v>81.926958668031077</v>
      </c>
      <c r="D48" s="53">
        <f>IF(45.5386="","-",45.5386/2294320.13289*100)</f>
        <v>1.9848407093319672E-3</v>
      </c>
      <c r="E48" s="53">
        <f>IF(37.30839="","-",37.30839/2004915.53426*100)</f>
        <v>1.860845973931279E-3</v>
      </c>
      <c r="F48" s="63">
        <f>IF(OR(2218501.69139="",36.52661="",45.5386=""),"-",(45.5386-36.52661)/2218501.69139*100)</f>
        <v>4.0621965874425596E-4</v>
      </c>
      <c r="G48" s="63">
        <f>IF(OR(2294320.13289="",37.30839="",45.5386=""),"-",(37.30839-45.5386)/2294320.13289*100)</f>
        <v>-3.5872108177131151E-4</v>
      </c>
    </row>
    <row r="49" spans="1:7" x14ac:dyDescent="0.25">
      <c r="A49" s="52" t="s">
        <v>28</v>
      </c>
      <c r="B49" s="53">
        <v>1628.8988199999999</v>
      </c>
      <c r="C49" s="63">
        <f>IF(OR(1770.59404="",1628.89882=""),"-",1628.89882/1770.59404*100)</f>
        <v>91.9973061696288</v>
      </c>
      <c r="D49" s="53">
        <f>IF(1770.59404="","-",1770.59404/2294320.13289*100)</f>
        <v>7.7172928686708706E-2</v>
      </c>
      <c r="E49" s="53">
        <f>IF(1628.89882="","-",1628.89882/2004915.53426*100)</f>
        <v>8.1245259072782572E-2</v>
      </c>
      <c r="F49" s="63">
        <f>IF(OR(2218501.69139="",1979.07366="",1770.59404=""),"-",(1770.59404-1979.07366)/2218501.69139*100)</f>
        <v>-9.397316252185383E-3</v>
      </c>
      <c r="G49" s="63">
        <f>IF(OR(2294320.13289="",1628.89882="",1770.59404=""),"-",(1628.89882-1770.59404)/2294320.13289*100)</f>
        <v>-6.1759132027279983E-3</v>
      </c>
    </row>
    <row r="50" spans="1:7" x14ac:dyDescent="0.25">
      <c r="A50" s="52" t="s">
        <v>29</v>
      </c>
      <c r="B50" s="53">
        <v>1967.2233000000001</v>
      </c>
      <c r="C50" s="63">
        <f>IF(OR(2067.44854="",1967.2233=""),"-",1967.2233/2067.44854*100)</f>
        <v>95.152225651043295</v>
      </c>
      <c r="D50" s="53">
        <f>IF(2067.44854="","-",2067.44854/2294320.13289*100)</f>
        <v>9.0111598218674677E-2</v>
      </c>
      <c r="E50" s="53">
        <f>IF(1967.2233="","-",1967.2233/2004915.53426*100)</f>
        <v>9.812000886741036E-2</v>
      </c>
      <c r="F50" s="63">
        <f>IF(OR(2218501.69139="",1632.52836="",2067.44854=""),"-",(2067.44854-1632.52836)/2218501.69139*100)</f>
        <v>1.9604230264413325E-2</v>
      </c>
      <c r="G50" s="63">
        <f>IF(OR(2294320.13289="",1967.2233="",2067.44854=""),"-",(1967.2233-2067.44854)/2294320.13289*100)</f>
        <v>-4.368406943879832E-3</v>
      </c>
    </row>
    <row r="51" spans="1:7" ht="14.25" customHeight="1" x14ac:dyDescent="0.25">
      <c r="A51" s="52" t="s">
        <v>198</v>
      </c>
      <c r="B51" s="53">
        <v>2126.14824</v>
      </c>
      <c r="C51" s="63">
        <f>IF(OR(1809.45439="",2126.14824=""),"-",2126.14824/1809.45439*100)</f>
        <v>117.50217368010031</v>
      </c>
      <c r="D51" s="53">
        <f>IF(1809.45439="","-",1809.45439/2294320.13289*100)</f>
        <v>7.8866691882302969E-2</v>
      </c>
      <c r="E51" s="53">
        <f>IF(2126.14824="","-",2126.14824/2004915.53426*100)</f>
        <v>0.1060467737252954</v>
      </c>
      <c r="F51" s="63">
        <f>IF(OR(2218501.69139="",2187.43238="",1809.45439=""),"-",(1809.45439-2187.43238)/2218501.69139*100)</f>
        <v>-1.7037534452506022E-2</v>
      </c>
      <c r="G51" s="63">
        <f>IF(OR(2294320.13289="",2126.14824="",1809.45439=""),"-",(2126.14824-1809.45439)/2294320.13289*100)</f>
        <v>1.3803385388990248E-2</v>
      </c>
    </row>
    <row r="52" spans="1:7" ht="25.5" x14ac:dyDescent="0.25">
      <c r="A52" s="38" t="s">
        <v>241</v>
      </c>
      <c r="B52" s="51">
        <v>142912.45446000001</v>
      </c>
      <c r="C52" s="62">
        <f>IF(147364.55924="","-",142912.45446/147364.55924*100)</f>
        <v>96.978849729568125</v>
      </c>
      <c r="D52" s="51">
        <f>IF(147364.55924="","-",147364.55924/2294320.13289*100)</f>
        <v>6.4230164364366544</v>
      </c>
      <c r="E52" s="51">
        <f>IF(142912.45446="","-",142912.45446/2004915.53426*100)</f>
        <v>7.1281035045073837</v>
      </c>
      <c r="F52" s="62">
        <f>IF(2218501.69139="","-",(147364.55924-151347.95766)/2218501.69139*100)</f>
        <v>-0.17955354442412841</v>
      </c>
      <c r="G52" s="62">
        <f>IF(2294320.13289="","-",(142912.45446-147364.55924)/2294320.13289*100)</f>
        <v>-0.1940489784392895</v>
      </c>
    </row>
    <row r="53" spans="1:7" x14ac:dyDescent="0.25">
      <c r="A53" s="52" t="s">
        <v>199</v>
      </c>
      <c r="B53" s="53">
        <v>618.55363999999997</v>
      </c>
      <c r="C53" s="63">
        <f>IF(OR(485.34278="",618.55364=""),"-",618.55364/485.34278*100)</f>
        <v>127.44675835087111</v>
      </c>
      <c r="D53" s="53">
        <f>IF(485.34278="","-",485.34278/2294320.13289*100)</f>
        <v>2.1154100207831351E-2</v>
      </c>
      <c r="E53" s="53">
        <f>IF(618.55364="","-",618.55364/2004915.53426*100)</f>
        <v>3.0851855324084944E-2</v>
      </c>
      <c r="F53" s="63">
        <f>IF(OR(2218501.69139="",1269.19595="",485.34278=""),"-",(485.34278-1269.19595)/2218501.69139*100)</f>
        <v>-3.5332547775020075E-2</v>
      </c>
      <c r="G53" s="63">
        <f>IF(OR(2294320.13289="",618.55364="",485.34278=""),"-",(618.55364-485.34278)/2294320.13289*100)</f>
        <v>5.8061147653445926E-3</v>
      </c>
    </row>
    <row r="54" spans="1:7" x14ac:dyDescent="0.25">
      <c r="A54" s="52" t="s">
        <v>30</v>
      </c>
      <c r="B54" s="53">
        <v>1584.64473</v>
      </c>
      <c r="C54" s="63">
        <f>IF(OR(1839.50327="",1584.64473=""),"-",1584.64473/1839.50327*100)</f>
        <v>86.145252136463995</v>
      </c>
      <c r="D54" s="53">
        <f>IF(1839.50327="","-",1839.50327/2294320.13289*100)</f>
        <v>8.0176399257888303E-2</v>
      </c>
      <c r="E54" s="53">
        <f>IF(1584.64473="","-",1584.64473/2004915.53426*100)</f>
        <v>7.9037979551835877E-2</v>
      </c>
      <c r="F54" s="63">
        <f>IF(OR(2218501.69139="",1149.42087="",1839.50327=""),"-",(1839.50327-1149.42087)/2218501.69139*100)</f>
        <v>3.1105786517008679E-2</v>
      </c>
      <c r="G54" s="63">
        <f>IF(OR(2294320.13289="",1584.64473="",1839.50327=""),"-",(1584.64473-1839.50327)/2294320.13289*100)</f>
        <v>-1.1108237963242378E-2</v>
      </c>
    </row>
    <row r="55" spans="1:7" ht="15.75" customHeight="1" x14ac:dyDescent="0.25">
      <c r="A55" s="52" t="s">
        <v>200</v>
      </c>
      <c r="B55" s="53">
        <v>15725.48057</v>
      </c>
      <c r="C55" s="63">
        <f>IF(OR(17312.03487="",15725.48057=""),"-",15725.48057/17312.03487*100)</f>
        <v>90.835541217922696</v>
      </c>
      <c r="D55" s="53">
        <f>IF(17312.03487="","-",17312.03487/2294320.13289*100)</f>
        <v>0.75456056117997794</v>
      </c>
      <c r="E55" s="53">
        <f>IF(15725.48057="","-",15725.48057/2004915.53426*100)</f>
        <v>0.78434628797487782</v>
      </c>
      <c r="F55" s="63">
        <f>IF(OR(2218501.69139="",13950.49337="",17312.03487=""),"-",(17312.03487-13950.49337)/2218501.69139*100)</f>
        <v>0.15152305328619467</v>
      </c>
      <c r="G55" s="63">
        <f>IF(OR(2294320.13289="",15725.48057="",17312.03487=""),"-",(15725.48057-17312.03487)/2294320.13289*100)</f>
        <v>-6.9151391615150257E-2</v>
      </c>
    </row>
    <row r="56" spans="1:7" ht="25.5" x14ac:dyDescent="0.25">
      <c r="A56" s="52" t="s">
        <v>201</v>
      </c>
      <c r="B56" s="53">
        <v>7793.7085999999999</v>
      </c>
      <c r="C56" s="63">
        <f>IF(OR(9000.60373="",7793.7086=""),"-",7793.7086/9000.60373*100)</f>
        <v>86.590953604842241</v>
      </c>
      <c r="D56" s="53">
        <f>IF(9000.60373="","-",9000.60373/2294320.13289*100)</f>
        <v>0.39229938320170471</v>
      </c>
      <c r="E56" s="53">
        <f>IF(7793.7086="","-",7793.7086/2004915.53426*100)</f>
        <v>0.38873002212916674</v>
      </c>
      <c r="F56" s="63">
        <f>IF(OR(2218501.69139="",8049.72842="",9000.60373=""),"-",(9000.60373-8049.72842)/2218501.69139*100)</f>
        <v>4.2861148751445415E-2</v>
      </c>
      <c r="G56" s="63">
        <f>IF(OR(2294320.13289="",7793.7086="",9000.60373=""),"-",(7793.7086-9000.60373)/2294320.13289*100)</f>
        <v>-5.2603606301434347E-2</v>
      </c>
    </row>
    <row r="57" spans="1:7" ht="25.5" x14ac:dyDescent="0.25">
      <c r="A57" s="52" t="s">
        <v>202</v>
      </c>
      <c r="B57" s="53">
        <v>49711.797890000002</v>
      </c>
      <c r="C57" s="63">
        <f>IF(OR(52968.17636="",49711.79789=""),"-",49711.79789/52968.17636*100)</f>
        <v>93.852198256047345</v>
      </c>
      <c r="D57" s="53">
        <f>IF(52968.17636="","-",52968.17636/2294320.13289*100)</f>
        <v>2.308665456083479</v>
      </c>
      <c r="E57" s="53">
        <f>IF(49711.79789="","-",49711.79789/2004915.53426*100)</f>
        <v>2.4794958710491648</v>
      </c>
      <c r="F57" s="63">
        <f>IF(OR(2218501.69139="",60648.22163="",52968.17636=""),"-",(52968.17636-60648.22163)/2218501.69139*100)</f>
        <v>-0.34618162788904966</v>
      </c>
      <c r="G57" s="63">
        <f>IF(OR(2294320.13289="",49711.79789="",52968.17636=""),"-",(49711.79789-52968.17636)/2294320.13289*100)</f>
        <v>-0.14193217517113257</v>
      </c>
    </row>
    <row r="58" spans="1:7" x14ac:dyDescent="0.25">
      <c r="A58" s="52" t="s">
        <v>31</v>
      </c>
      <c r="B58" s="53">
        <v>42576.149530000002</v>
      </c>
      <c r="C58" s="63">
        <f>IF(OR(41078.57419="",42576.14953=""),"-",42576.14953/41078.57419*100)</f>
        <v>103.64563612425614</v>
      </c>
      <c r="D58" s="53">
        <f>IF(41078.57419="","-",41078.57419/2294320.13289*100)</f>
        <v>1.7904464856984059</v>
      </c>
      <c r="E58" s="53">
        <f>IF(42576.14953="","-",42576.14953/2004915.53426*100)</f>
        <v>2.1235881912458994</v>
      </c>
      <c r="F58" s="63">
        <f>IF(OR(2218501.69139="",42114.72405="",41078.57419=""),"-",(41078.57419-42114.72405)/2218501.69139*100)</f>
        <v>-4.6704938924378242E-2</v>
      </c>
      <c r="G58" s="63">
        <f>IF(OR(2294320.13289="",42576.14953="",41078.57419=""),"-",(42576.14953-41078.57419)/2294320.13289*100)</f>
        <v>6.5273163868095799E-2</v>
      </c>
    </row>
    <row r="59" spans="1:7" ht="15.75" customHeight="1" x14ac:dyDescent="0.25">
      <c r="A59" s="52" t="s">
        <v>203</v>
      </c>
      <c r="B59" s="53">
        <v>1083.4344100000001</v>
      </c>
      <c r="C59" s="63">
        <f>IF(OR(3264.27815="",1083.43441=""),"-",1083.43441/3264.27815*100)</f>
        <v>33.190627765590378</v>
      </c>
      <c r="D59" s="53">
        <f>IF(3264.27815="","-",3264.27815/2294320.13289*100)</f>
        <v>0.14227648980651228</v>
      </c>
      <c r="E59" s="53">
        <f>IF(1083.43441="","-",1083.43441/2004915.53426*100)</f>
        <v>5.403890545443292E-2</v>
      </c>
      <c r="F59" s="63">
        <f>IF(OR(2218501.69139="",2366.67947="",3264.27815=""),"-",(3264.27815-2366.67947)/2218501.69139*100)</f>
        <v>4.0459679768718615E-2</v>
      </c>
      <c r="G59" s="63">
        <f>IF(OR(2294320.13289="",1083.43441="",3264.27815=""),"-",(1083.43441-3264.27815)/2294320.13289*100)</f>
        <v>-9.5054029676884658E-2</v>
      </c>
    </row>
    <row r="60" spans="1:7" x14ac:dyDescent="0.25">
      <c r="A60" s="52" t="s">
        <v>32</v>
      </c>
      <c r="B60" s="53">
        <v>1886.20651</v>
      </c>
      <c r="C60" s="63">
        <f>IF(OR(1384.71744="",1886.20651=""),"-",1886.20651/1384.71744*100)</f>
        <v>136.21598569596986</v>
      </c>
      <c r="D60" s="53">
        <f>IF(1384.71744="","-",1384.71744/2294320.13289*100)</f>
        <v>6.0354151112110274E-2</v>
      </c>
      <c r="E60" s="53">
        <f>IF(1886.20651="","-",1886.20651/2004915.53426*100)</f>
        <v>9.4079100977996322E-2</v>
      </c>
      <c r="F60" s="63">
        <f>IF(OR(2218501.69139="",1937.65971="",1384.71744=""),"-",(1384.71744-1937.65971)/2218501.69139*100)</f>
        <v>-2.4924131099199418E-2</v>
      </c>
      <c r="G60" s="63">
        <f>IF(OR(2294320.13289="",1886.20651="",1384.71744=""),"-",(1886.20651-1384.71744)/2294320.13289*100)</f>
        <v>2.1857850733685895E-2</v>
      </c>
    </row>
    <row r="61" spans="1:7" x14ac:dyDescent="0.25">
      <c r="A61" s="52" t="s">
        <v>33</v>
      </c>
      <c r="B61" s="53">
        <v>21932.478579999999</v>
      </c>
      <c r="C61" s="63">
        <f>IF(OR(20031.32845="",21932.47858=""),"-",21932.47858/20031.32845*100)</f>
        <v>109.49088391588926</v>
      </c>
      <c r="D61" s="53">
        <f>IF(20031.32845="","-",20031.32845/2294320.13289*100)</f>
        <v>0.87308340988874522</v>
      </c>
      <c r="E61" s="53">
        <f>IF(21932.47858="","-",21932.47858/2004915.53426*100)</f>
        <v>1.0939352907999249</v>
      </c>
      <c r="F61" s="63">
        <f>IF(OR(2218501.69139="",19861.83419="",20031.32845=""),"-",(20031.32845-19861.83419)/2218501.69139*100)</f>
        <v>7.6400329401508388E-3</v>
      </c>
      <c r="G61" s="63">
        <f>IF(OR(2294320.13289="",21932.47858="",20031.32845=""),"-",(21932.47858-20031.32845)/2294320.13289*100)</f>
        <v>8.2863332921428362E-2</v>
      </c>
    </row>
    <row r="62" spans="1:7" ht="15.75" customHeight="1" x14ac:dyDescent="0.25">
      <c r="A62" s="38" t="s">
        <v>204</v>
      </c>
      <c r="B62" s="51">
        <v>463085.29174000002</v>
      </c>
      <c r="C62" s="62">
        <f>IF(550439.58048="","-",463085.29174/550439.58048*100)</f>
        <v>84.13008587358047</v>
      </c>
      <c r="D62" s="51">
        <f>IF(550439.58048="","-",550439.58048/2294320.13289*100)</f>
        <v>23.991402620289456</v>
      </c>
      <c r="E62" s="51">
        <f>IF(463085.29174="","-",463085.29174/2004915.53426*100)</f>
        <v>23.097496319759998</v>
      </c>
      <c r="F62" s="62">
        <f>IF(2218501.69139="","-",(550439.58048-481438.72543)/2218501.69139*100)</f>
        <v>3.1102457716301135</v>
      </c>
      <c r="G62" s="62">
        <f>IF(2294320.13289="","-",(463085.29174-550439.58048)/2294320.13289*100)</f>
        <v>-3.8074149935635049</v>
      </c>
    </row>
    <row r="63" spans="1:7" ht="25.5" x14ac:dyDescent="0.25">
      <c r="A63" s="52" t="s">
        <v>205</v>
      </c>
      <c r="B63" s="53">
        <v>1557.5392099999999</v>
      </c>
      <c r="C63" s="63">
        <f>IF(OR(3726.99319="",1557.53921=""),"-",1557.53921/3726.99319*100)</f>
        <v>41.79077155759439</v>
      </c>
      <c r="D63" s="53">
        <f>IF(3726.99319="","-",3726.99319/2294320.13289*100)</f>
        <v>0.16244433967919544</v>
      </c>
      <c r="E63" s="53">
        <f>IF(1557.53921="","-",1557.53921/2004915.53426*100)</f>
        <v>7.7686026338006128E-2</v>
      </c>
      <c r="F63" s="63">
        <f>IF(OR(2218501.69139="",2586.09842="",3726.99319=""),"-",(3726.99319-2586.09842)/2218501.69139*100)</f>
        <v>5.1426364668902907E-2</v>
      </c>
      <c r="G63" s="63">
        <f>IF(OR(2294320.13289="",1557.53921="",3726.99319=""),"-",(1557.53921-3726.99319)/2294320.13289*100)</f>
        <v>-9.4557596775620228E-2</v>
      </c>
    </row>
    <row r="64" spans="1:7" ht="25.5" x14ac:dyDescent="0.25">
      <c r="A64" s="52" t="s">
        <v>206</v>
      </c>
      <c r="B64" s="53">
        <v>11456.470789999999</v>
      </c>
      <c r="C64" s="63">
        <f>IF(OR(11752.61988="",11456.47079=""),"-",11456.47079/11752.61988*100)</f>
        <v>97.480144061291625</v>
      </c>
      <c r="D64" s="53">
        <f>IF(11752.61988="","-",11752.61988/2294320.13289*100)</f>
        <v>0.51224847446184507</v>
      </c>
      <c r="E64" s="53">
        <f>IF(11456.47079="","-",11456.47079/2004915.53426*100)</f>
        <v>0.57141912435869768</v>
      </c>
      <c r="F64" s="63">
        <f>IF(OR(2218501.69139="",11508.53035="",11752.61988=""),"-",(11752.61988-11508.53035)/2218501.69139*100)</f>
        <v>1.1002449578799521E-2</v>
      </c>
      <c r="G64" s="63">
        <f>IF(OR(2294320.13289="",11456.47079="",11752.61988=""),"-",(11456.47079-11752.61988)/2294320.13289*100)</f>
        <v>-1.2907923604669842E-2</v>
      </c>
    </row>
    <row r="65" spans="1:7" ht="25.5" x14ac:dyDescent="0.25">
      <c r="A65" s="52" t="s">
        <v>207</v>
      </c>
      <c r="B65" s="53">
        <v>2601.01235</v>
      </c>
      <c r="C65" s="63">
        <f>IF(OR(2289.67656="",2601.01235=""),"-",2601.01235/2289.67656*100)</f>
        <v>113.59736983986943</v>
      </c>
      <c r="D65" s="53">
        <f>IF(2289.67656="","-",2289.67656/2294320.13289*100)</f>
        <v>9.9797605712322671E-2</v>
      </c>
      <c r="E65" s="53">
        <f>IF(2601.01235="","-",2601.01235/2004915.53426*100)</f>
        <v>0.12973176702728351</v>
      </c>
      <c r="F65" s="63">
        <f>IF(OR(2218501.69139="",1852.85258="",2289.67656=""),"-",(2289.67656-1852.85258)/2218501.69139*100)</f>
        <v>1.969004493867698E-2</v>
      </c>
      <c r="G65" s="63">
        <f>IF(OR(2294320.13289="",2601.01235="",2289.67656=""),"-",(2601.01235-2289.67656)/2294320.13289*100)</f>
        <v>1.3569849540039184E-2</v>
      </c>
    </row>
    <row r="66" spans="1:7" ht="38.25" x14ac:dyDescent="0.25">
      <c r="A66" s="52" t="s">
        <v>208</v>
      </c>
      <c r="B66" s="53">
        <v>17131.72711</v>
      </c>
      <c r="C66" s="63">
        <f>IF(OR(19804.47219="",17131.72711=""),"-",17131.72711/19804.47219*100)</f>
        <v>86.504335715901746</v>
      </c>
      <c r="D66" s="53">
        <f>IF(19804.47219="","-",19804.47219/2294320.13289*100)</f>
        <v>0.86319567640517747</v>
      </c>
      <c r="E66" s="53">
        <f>IF(17131.72711="","-",17131.72711/2004915.53426*100)</f>
        <v>0.85448622733741242</v>
      </c>
      <c r="F66" s="63">
        <f>IF(OR(2218501.69139="",17232.12276="",19804.47219=""),"-",(19804.47219-17232.12276)/2218501.69139*100)</f>
        <v>0.11594985209987824</v>
      </c>
      <c r="G66" s="63">
        <f>IF(OR(2294320.13289="",17131.72711="",19804.47219=""),"-",(17131.72711-19804.47219)/2294320.13289*100)</f>
        <v>-0.11649399060249382</v>
      </c>
    </row>
    <row r="67" spans="1:7" ht="25.5" x14ac:dyDescent="0.25">
      <c r="A67" s="52" t="s">
        <v>209</v>
      </c>
      <c r="B67" s="53">
        <v>1645.4024199999999</v>
      </c>
      <c r="C67" s="63" t="s">
        <v>105</v>
      </c>
      <c r="D67" s="53">
        <f>IF(1059.22354="","-",1059.22354/2294320.13289*100)</f>
        <v>4.6167207654049906E-2</v>
      </c>
      <c r="E67" s="53">
        <f>IF(1645.40242="","-",1645.40242/2004915.53426*100)</f>
        <v>8.20684159448795E-2</v>
      </c>
      <c r="F67" s="63">
        <f>IF(OR(2218501.69139="",1035.32601="",1059.22354=""),"-",(1059.22354-1035.32601)/2218501.69139*100)</f>
        <v>1.0771923272696264E-3</v>
      </c>
      <c r="G67" s="63">
        <f>IF(OR(2294320.13289="",1645.40242="",1059.22354=""),"-",(1645.40242-1059.22354)/2294320.13289*100)</f>
        <v>2.5549132032487116E-2</v>
      </c>
    </row>
    <row r="68" spans="1:7" ht="38.25" x14ac:dyDescent="0.25">
      <c r="A68" s="52" t="s">
        <v>210</v>
      </c>
      <c r="B68" s="53">
        <v>2044.92055</v>
      </c>
      <c r="C68" s="63">
        <f>IF(OR(2762.78059="",2044.92055=""),"-",2044.92055/2762.78059*100)</f>
        <v>74.016755344296087</v>
      </c>
      <c r="D68" s="53">
        <f>IF(2762.78059="","-",2762.78059/2294320.13289*100)</f>
        <v>0.12041826902856455</v>
      </c>
      <c r="E68" s="53">
        <f>IF(2044.92055="","-",2044.92055/2004915.53426*100)</f>
        <v>0.1019953466894936</v>
      </c>
      <c r="F68" s="63">
        <f>IF(OR(2218501.69139="",3391.74887="",2762.78059=""),"-",(2762.78059-3391.74887)/2218501.69139*100)</f>
        <v>-2.8351039011645769E-2</v>
      </c>
      <c r="G68" s="63">
        <f>IF(OR(2294320.13289="",2044.92055="",2762.78059=""),"-",(2044.92055-2762.78059)/2294320.13289*100)</f>
        <v>-3.128857345185565E-2</v>
      </c>
    </row>
    <row r="69" spans="1:7" ht="51" x14ac:dyDescent="0.25">
      <c r="A69" s="52" t="s">
        <v>211</v>
      </c>
      <c r="B69" s="53">
        <v>386675.48742000002</v>
      </c>
      <c r="C69" s="63">
        <f>IF(OR(486202.11019="",386675.48742=""),"-",386675.48742/486202.11019*100)</f>
        <v>79.529783872985135</v>
      </c>
      <c r="D69" s="53">
        <f>IF(486202.11019="","-",486202.11019/2294320.13289*100)</f>
        <v>21.191554884608195</v>
      </c>
      <c r="E69" s="53">
        <f>IF(386675.48742="","-",386675.48742/2004915.53426*100)</f>
        <v>19.286372957488165</v>
      </c>
      <c r="F69" s="63">
        <f>IF(OR(2218501.69139="",426108.44626="",486202.11019=""),"-",(486202.11019-426108.44626)/2218501.69139*100)</f>
        <v>2.7087499713533401</v>
      </c>
      <c r="G69" s="63">
        <f>IF(OR(2294320.13289="",386675.48742="",486202.11019=""),"-",(386675.48742-486202.11019)/2294320.13289*100)</f>
        <v>-4.3379570855542724</v>
      </c>
    </row>
    <row r="70" spans="1:7" ht="25.5" x14ac:dyDescent="0.25">
      <c r="A70" s="52" t="s">
        <v>212</v>
      </c>
      <c r="B70" s="53">
        <v>21546.589680000001</v>
      </c>
      <c r="C70" s="63">
        <f>IF(OR(19855.72364="",21546.58968=""),"-",21546.58968/19855.72364*100)</f>
        <v>108.51576135252859</v>
      </c>
      <c r="D70" s="53">
        <f>IF(19855.72364="","-",19855.72364/2294320.13289*100)</f>
        <v>0.86542951680370284</v>
      </c>
      <c r="E70" s="53">
        <f>IF(21546.58968="","-",21546.58968/2004915.53426*100)</f>
        <v>1.0746881507879926</v>
      </c>
      <c r="F70" s="63">
        <f>IF(OR(2218501.69139="",17289.50303="",19855.72364=""),"-",(19855.72364-17289.50303)/2218501.69139*100)</f>
        <v>0.1156735926756106</v>
      </c>
      <c r="G70" s="63">
        <f>IF(OR(2294320.13289="",21546.58968="",19855.72364=""),"-",(21546.58968-19855.72364)/2294320.13289*100)</f>
        <v>7.3697912325344561E-2</v>
      </c>
    </row>
    <row r="71" spans="1:7" x14ac:dyDescent="0.25">
      <c r="A71" s="52" t="s">
        <v>34</v>
      </c>
      <c r="B71" s="53">
        <v>18426.142210000002</v>
      </c>
      <c r="C71" s="63" t="s">
        <v>291</v>
      </c>
      <c r="D71" s="53">
        <f>IF(2985.9807="","-",2985.9807/2294320.13289*100)</f>
        <v>0.13014664593640479</v>
      </c>
      <c r="E71" s="53">
        <f>IF(18426.14221="","-",18426.14221/2004915.53426*100)</f>
        <v>0.91904830378806757</v>
      </c>
      <c r="F71" s="63">
        <f>IF(OR(2218501.69139="",434.09715="",2985.9807=""),"-",(2985.9807-434.09715)/2218501.69139*100)</f>
        <v>0.11502734299927986</v>
      </c>
      <c r="G71" s="63">
        <f>IF(OR(2294320.13289="",18426.14221="",2985.9807=""),"-",(18426.14221-2985.9807)/2294320.13289*100)</f>
        <v>0.67297328252753785</v>
      </c>
    </row>
    <row r="72" spans="1:7" x14ac:dyDescent="0.25">
      <c r="A72" s="38" t="s">
        <v>35</v>
      </c>
      <c r="B72" s="51">
        <v>421212.09149999998</v>
      </c>
      <c r="C72" s="62">
        <f>IF(488576.42206="","-",421212.0915/488576.42206*100)</f>
        <v>86.212120045423049</v>
      </c>
      <c r="D72" s="51">
        <f>IF(488576.42206="","-",488576.42206/2294320.13289*100)</f>
        <v>21.295041396187955</v>
      </c>
      <c r="E72" s="51">
        <f>IF(421212.0915="","-",421212.0915/2004915.53426*100)</f>
        <v>21.008969420523059</v>
      </c>
      <c r="F72" s="62">
        <f>IF(2218501.69139="","-",(488576.42206-517328.69861)/2218501.69139*100)</f>
        <v>-1.2960222956596126</v>
      </c>
      <c r="G72" s="62">
        <f>IF(2294320.13289="","-",(421212.0915-488576.42206)/2294320.13289*100)</f>
        <v>-2.936134743983863</v>
      </c>
    </row>
    <row r="73" spans="1:7" ht="38.25" x14ac:dyDescent="0.25">
      <c r="A73" s="52" t="s">
        <v>238</v>
      </c>
      <c r="B73" s="53">
        <v>9048.8145600000007</v>
      </c>
      <c r="C73" s="63">
        <f>IF(OR(7377.92498="",9048.81456=""),"-",9048.81456/7377.92498*100)</f>
        <v>122.64714787056565</v>
      </c>
      <c r="D73" s="53">
        <f>IF(7377.92498="","-",7377.92498/2294320.13289*100)</f>
        <v>0.32157347504537331</v>
      </c>
      <c r="E73" s="53">
        <f>IF(9048.81456="","-",9048.81456/2004915.53426*100)</f>
        <v>0.45133146037196292</v>
      </c>
      <c r="F73" s="63">
        <f>IF(OR(2218501.69139="",6521.32158="",7377.92498=""),"-",(7377.92498-6521.32158)/2218501.69139*100)</f>
        <v>3.8611798373851862E-2</v>
      </c>
      <c r="G73" s="63">
        <f>IF(OR(2294320.13289="",9048.81456="",7377.92498=""),"-",(9048.81456-7377.92498)/2294320.13289*100)</f>
        <v>7.2827220406042212E-2</v>
      </c>
    </row>
    <row r="74" spans="1:7" x14ac:dyDescent="0.25">
      <c r="A74" s="52" t="s">
        <v>213</v>
      </c>
      <c r="B74" s="53">
        <v>110757.76882</v>
      </c>
      <c r="C74" s="63">
        <f>IF(OR(122526.48169="",110757.76882=""),"-",110757.76882/122526.48169*100)</f>
        <v>90.394963841550918</v>
      </c>
      <c r="D74" s="53">
        <f>IF(122526.48169="","-",122526.48169/2294320.13289*100)</f>
        <v>5.3404265574596019</v>
      </c>
      <c r="E74" s="53">
        <f>IF(110757.76882="","-",110757.76882/2004915.53426*100)</f>
        <v>5.5243109710793821</v>
      </c>
      <c r="F74" s="63">
        <f>IF(OR(2218501.69139="",133207.58491="",122526.48169=""),"-",(122526.48169-133207.58491)/2218501.69139*100)</f>
        <v>-0.48145571677737919</v>
      </c>
      <c r="G74" s="63">
        <f>IF(OR(2294320.13289="",110757.76882="",122526.48169=""),"-",(110757.76882-122526.48169)/2294320.13289*100)</f>
        <v>-0.51294990185941269</v>
      </c>
    </row>
    <row r="75" spans="1:7" x14ac:dyDescent="0.25">
      <c r="A75" s="52" t="s">
        <v>214</v>
      </c>
      <c r="B75" s="53">
        <v>10407.66138</v>
      </c>
      <c r="C75" s="63">
        <f>IF(OR(11434.87434="",10407.66138=""),"-",10407.66138/11434.87434*100)</f>
        <v>91.016840854938494</v>
      </c>
      <c r="D75" s="53">
        <f>IF(11434.87434="","-",11434.87434/2294320.13289*100)</f>
        <v>0.49839925022129594</v>
      </c>
      <c r="E75" s="53">
        <f>IF(10407.66138="","-",10407.66138/2004915.53426*100)</f>
        <v>0.51910722432710321</v>
      </c>
      <c r="F75" s="63">
        <f>IF(OR(2218501.69139="",14467.82851="",11434.87434=""),"-",(11434.87434-14467.82851)/2218501.69139*100)</f>
        <v>-0.13671182590353154</v>
      </c>
      <c r="G75" s="63">
        <f>IF(OR(2294320.13289="",10407.66138="",11434.87434=""),"-",(10407.66138-11434.87434)/2294320.13289*100)</f>
        <v>-4.4771997825172286E-2</v>
      </c>
    </row>
    <row r="76" spans="1:7" x14ac:dyDescent="0.25">
      <c r="A76" s="52" t="s">
        <v>215</v>
      </c>
      <c r="B76" s="53">
        <v>198711.67395999999</v>
      </c>
      <c r="C76" s="63">
        <f>IF(OR(235566.27207="",198711.67396=""),"-",198711.67396/235566.27207*100)</f>
        <v>84.354891816155913</v>
      </c>
      <c r="D76" s="53">
        <f>IF(235566.27207="","-",235566.27207/2294320.13289*100)</f>
        <v>10.267367168733907</v>
      </c>
      <c r="E76" s="53">
        <f>IF(198711.67396="","-",198711.67396/2004915.53426*100)</f>
        <v>9.9112242169016369</v>
      </c>
      <c r="F76" s="63">
        <f>IF(OR(2218501.69139="",262254.69143="",235566.27207=""),"-",(235566.27207-262254.69143)/2218501.69139*100)</f>
        <v>-1.2029929687941052</v>
      </c>
      <c r="G76" s="63">
        <f>IF(OR(2294320.13289="",198711.67396="",235566.27207=""),"-",(198711.67396-235566.27207)/2294320.13289*100)</f>
        <v>-1.6063407011809103</v>
      </c>
    </row>
    <row r="77" spans="1:7" x14ac:dyDescent="0.25">
      <c r="A77" s="52" t="s">
        <v>216</v>
      </c>
      <c r="B77" s="53">
        <v>28136.681479999999</v>
      </c>
      <c r="C77" s="63">
        <f>IF(OR(29743.73512="",28136.68148=""),"-",28136.68148/29743.73512*100)</f>
        <v>94.597001239029325</v>
      </c>
      <c r="D77" s="53">
        <f>IF(29743.73512="","-",29743.73512/2294320.13289*100)</f>
        <v>1.2964073624082193</v>
      </c>
      <c r="E77" s="53">
        <f>IF(28136.68148="","-",28136.68148/2004915.53426*100)</f>
        <v>1.4033848807693061</v>
      </c>
      <c r="F77" s="63">
        <f>IF(OR(2218501.69139="",30738.53937="",29743.73512=""),"-",(29743.73512-30738.53937)/2218501.69139*100)</f>
        <v>-4.4841266241122578E-2</v>
      </c>
      <c r="G77" s="63">
        <f>IF(OR(2294320.13289="",28136.68148="",29743.73512=""),"-",(28136.68148-29743.73512)/2294320.13289*100)</f>
        <v>-7.0044873728048795E-2</v>
      </c>
    </row>
    <row r="78" spans="1:7" ht="25.5" x14ac:dyDescent="0.25">
      <c r="A78" s="52" t="s">
        <v>239</v>
      </c>
      <c r="B78" s="53">
        <v>17402.47107</v>
      </c>
      <c r="C78" s="63">
        <f>IF(OR(22906.44046="",17402.47107=""),"-",17402.47107/22906.44046*100)</f>
        <v>75.971956884304134</v>
      </c>
      <c r="D78" s="53">
        <f>IF(22906.44046="","-",22906.44046/2294320.13289*100)</f>
        <v>0.99839774457047148</v>
      </c>
      <c r="E78" s="53">
        <f>IF(17402.47107="","-",17402.47107/2004915.53426*100)</f>
        <v>0.86799023562970834</v>
      </c>
      <c r="F78" s="63">
        <f>IF(OR(2218501.69139="",19205.84791="",22906.44046=""),"-",(22906.44046-19205.84791)/2218501.69139*100)</f>
        <v>0.16680593773545419</v>
      </c>
      <c r="G78" s="63">
        <f>IF(OR(2294320.13289="",17402.47107="",22906.44046=""),"-",(17402.47107-22906.44046)/2294320.13289*100)</f>
        <v>-0.23989544053152792</v>
      </c>
    </row>
    <row r="79" spans="1:7" ht="25.5" x14ac:dyDescent="0.25">
      <c r="A79" s="52" t="s">
        <v>217</v>
      </c>
      <c r="B79" s="53">
        <v>2394.0791100000001</v>
      </c>
      <c r="C79" s="63">
        <f>IF(OR(3469.73139="",2394.07911=""),"-",2394.07911/3469.73139*100)</f>
        <v>68.998975450949828</v>
      </c>
      <c r="D79" s="53">
        <f>IF(3469.73139="","-",3469.73139/2294320.13289*100)</f>
        <v>0.15123135347417338</v>
      </c>
      <c r="E79" s="53">
        <f>IF(2394.07911="","-",2394.07911/2004915.53426*100)</f>
        <v>0.11941047236604097</v>
      </c>
      <c r="F79" s="63">
        <f>IF(OR(2218501.69139="",3135.47498="",3469.73139=""),"-",(3469.73139-3135.47498)/2218501.69139*100)</f>
        <v>1.5066763811686434E-2</v>
      </c>
      <c r="G79" s="63">
        <f>IF(OR(2294320.13289="",2394.07911="",3469.73139=""),"-",(2394.07911-3469.73139)/2294320.13289*100)</f>
        <v>-4.6883269016389326E-2</v>
      </c>
    </row>
    <row r="80" spans="1:7" x14ac:dyDescent="0.25">
      <c r="A80" s="54" t="s">
        <v>36</v>
      </c>
      <c r="B80" s="55">
        <v>44352.941120000003</v>
      </c>
      <c r="C80" s="65">
        <f>IF(OR(55550.96201="",44352.94112=""),"-",44352.94112/55550.96201*100)</f>
        <v>79.8418956489283</v>
      </c>
      <c r="D80" s="55">
        <f>IF(55550.96201="","-",55550.96201/2294320.13289*100)</f>
        <v>2.4212384842749128</v>
      </c>
      <c r="E80" s="55">
        <f>IF(44352.94112="","-",44352.94112/2004915.53426*100)</f>
        <v>2.2122099590779194</v>
      </c>
      <c r="F80" s="65">
        <f>IF(OR(2218501.69139="",47797.40992="",55550.96201=""),"-",(55550.96201-47797.40992)/2218501.69139*100)</f>
        <v>0.34949498213553426</v>
      </c>
      <c r="G80" s="65">
        <f>IF(OR(2294320.13289="",44352.94112="",55550.96201=""),"-",(44352.94112-55550.96201)/2294320.13289*100)</f>
        <v>-0.48807578024844378</v>
      </c>
    </row>
    <row r="81" spans="1:7" ht="25.5" x14ac:dyDescent="0.25">
      <c r="A81" s="59" t="s">
        <v>218</v>
      </c>
      <c r="B81" s="60">
        <v>562.76738</v>
      </c>
      <c r="C81" s="64">
        <f>IF(810.87482="","-",562.76738/810.87482*100)</f>
        <v>69.402497909603355</v>
      </c>
      <c r="D81" s="60">
        <f>IF(810.87482="","-",810.87482/2294320.13289*100)</f>
        <v>3.5342706031986727E-2</v>
      </c>
      <c r="E81" s="60">
        <f>IF(562.76738="","-",562.76738/2004915.53426*100)</f>
        <v>2.806938099802361E-2</v>
      </c>
      <c r="F81" s="64">
        <f>IF(2218501.69139="","-",(810.87482-802.42973)/2218501.69139*100)</f>
        <v>3.8066637644566266E-4</v>
      </c>
      <c r="G81" s="64">
        <f>IF(2294320.13289="","-",(562.76738-810.87482)/2294320.13289*100)</f>
        <v>-1.0813985216939879E-2</v>
      </c>
    </row>
    <row r="82" spans="1:7" x14ac:dyDescent="0.25">
      <c r="A82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1"/>
  <sheetViews>
    <sheetView zoomScaleNormal="100" workbookViewId="0">
      <selection activeCell="A16" sqref="A16:XFD16"/>
    </sheetView>
  </sheetViews>
  <sheetFormatPr defaultRowHeight="15.75" x14ac:dyDescent="0.25"/>
  <cols>
    <col min="1" max="1" width="27.625" customWidth="1"/>
    <col min="2" max="2" width="13.125" customWidth="1"/>
    <col min="3" max="3" width="10.875" customWidth="1"/>
    <col min="4" max="4" width="8" customWidth="1"/>
    <col min="5" max="5" width="8.125" customWidth="1"/>
    <col min="6" max="6" width="9.5" customWidth="1"/>
    <col min="7" max="7" width="9.75" customWidth="1"/>
  </cols>
  <sheetData>
    <row r="1" spans="1:7" x14ac:dyDescent="0.25">
      <c r="A1" s="103" t="s">
        <v>161</v>
      </c>
      <c r="B1" s="103"/>
      <c r="C1" s="103"/>
      <c r="D1" s="103"/>
      <c r="E1" s="103"/>
      <c r="F1" s="103"/>
      <c r="G1" s="103"/>
    </row>
    <row r="2" spans="1:7" x14ac:dyDescent="0.25">
      <c r="A2" s="103" t="s">
        <v>23</v>
      </c>
      <c r="B2" s="103"/>
      <c r="C2" s="103"/>
      <c r="D2" s="103"/>
      <c r="E2" s="103"/>
      <c r="F2" s="103"/>
      <c r="G2" s="103"/>
    </row>
    <row r="3" spans="1:7" x14ac:dyDescent="0.25">
      <c r="A3" s="5"/>
    </row>
    <row r="4" spans="1:7" ht="57" customHeight="1" x14ac:dyDescent="0.25">
      <c r="A4" s="111"/>
      <c r="B4" s="114" t="s">
        <v>271</v>
      </c>
      <c r="C4" s="109"/>
      <c r="D4" s="114" t="s">
        <v>0</v>
      </c>
      <c r="E4" s="109"/>
      <c r="F4" s="115" t="s">
        <v>120</v>
      </c>
      <c r="G4" s="116"/>
    </row>
    <row r="5" spans="1:7" ht="23.25" customHeight="1" x14ac:dyDescent="0.25">
      <c r="A5" s="112"/>
      <c r="B5" s="117" t="s">
        <v>111</v>
      </c>
      <c r="C5" s="104" t="s">
        <v>272</v>
      </c>
      <c r="D5" s="119" t="s">
        <v>273</v>
      </c>
      <c r="E5" s="119"/>
      <c r="F5" s="119" t="s">
        <v>273</v>
      </c>
      <c r="G5" s="114"/>
    </row>
    <row r="6" spans="1:7" ht="32.25" customHeight="1" x14ac:dyDescent="0.25">
      <c r="A6" s="113"/>
      <c r="B6" s="118"/>
      <c r="C6" s="105"/>
      <c r="D6" s="24">
        <v>2019</v>
      </c>
      <c r="E6" s="24">
        <v>2020</v>
      </c>
      <c r="F6" s="24" t="s">
        <v>122</v>
      </c>
      <c r="G6" s="20" t="s">
        <v>141</v>
      </c>
    </row>
    <row r="7" spans="1:7" x14ac:dyDescent="0.25">
      <c r="A7" s="49" t="s">
        <v>133</v>
      </c>
      <c r="B7" s="50">
        <f>IF(4325623.55461="","-",4325623.55461)</f>
        <v>4325623.55461</v>
      </c>
      <c r="C7" s="61">
        <f>IF(4798692.63363="","-",4325623.55461/4798692.63363*100)</f>
        <v>90.141709104170232</v>
      </c>
      <c r="D7" s="50">
        <v>100</v>
      </c>
      <c r="E7" s="50">
        <v>100</v>
      </c>
      <c r="F7" s="61">
        <f>IF(4718168.92486="","-",(4798692.63363-4718168.92486)/4718168.92486*100)</f>
        <v>1.7066728650964893</v>
      </c>
      <c r="G7" s="61">
        <f>IF(4798692.63363="","-",(4325623.55461-4798692.63363)/4798692.63363*100)</f>
        <v>-9.8582908958297679</v>
      </c>
    </row>
    <row r="8" spans="1:7" ht="12" customHeight="1" x14ac:dyDescent="0.25">
      <c r="A8" s="41" t="s">
        <v>138</v>
      </c>
      <c r="B8" s="34"/>
      <c r="C8" s="47"/>
      <c r="D8" s="34"/>
      <c r="E8" s="34"/>
      <c r="F8" s="47"/>
      <c r="G8" s="47"/>
    </row>
    <row r="9" spans="1:7" x14ac:dyDescent="0.25">
      <c r="A9" s="38" t="s">
        <v>219</v>
      </c>
      <c r="B9" s="51">
        <v>522530.23654999997</v>
      </c>
      <c r="C9" s="62">
        <f>IF(483211.17868="","-",522530.23655/483211.17868*100)</f>
        <v>108.13703399358616</v>
      </c>
      <c r="D9" s="51">
        <f>IF(483211.17868="","-",483211.17868/4798692.63363*100)</f>
        <v>10.069642204078239</v>
      </c>
      <c r="E9" s="51">
        <f>IF(522530.23655="","-",522530.23655/4325623.55461*100)</f>
        <v>12.079882355761573</v>
      </c>
      <c r="F9" s="62">
        <f>IF(4718168.92486="","-",(483211.17868-451682.31155)/4718168.92486*100)</f>
        <v>0.66824371132357396</v>
      </c>
      <c r="G9" s="62">
        <f>IF(4798692.63363="","-",(522530.23655-483211.17868)/4798692.63363*100)</f>
        <v>0.81937020917834491</v>
      </c>
    </row>
    <row r="10" spans="1:7" ht="14.25" customHeight="1" x14ac:dyDescent="0.25">
      <c r="A10" s="52" t="s">
        <v>24</v>
      </c>
      <c r="B10" s="53">
        <v>5333.6065200000003</v>
      </c>
      <c r="C10" s="63">
        <f>IF(OR(4476.05172="",5333.60652=""),"-",5333.60652/4476.05172*100)</f>
        <v>119.15873304520261</v>
      </c>
      <c r="D10" s="53">
        <f>IF(4476.05172="","-",4476.05172/4798692.63363*100)</f>
        <v>9.3276483028546547E-2</v>
      </c>
      <c r="E10" s="53">
        <f>IF(5333.60652="","-",5333.60652/4325623.55461*100)</f>
        <v>0.12330260487683331</v>
      </c>
      <c r="F10" s="63">
        <f>IF(OR(4718168.92486="",4207.77226="",4476.05172=""),"-",(4476.05172-4207.77226)/4718168.92486*100)</f>
        <v>5.6860927252188453E-3</v>
      </c>
      <c r="G10" s="63">
        <f>IF(OR(4798692.63363="",5333.60652="",4476.05172=""),"-",(5333.60652-4476.05172)/4798692.63363*100)</f>
        <v>1.7870592377392951E-2</v>
      </c>
    </row>
    <row r="11" spans="1:7" s="9" customFormat="1" x14ac:dyDescent="0.25">
      <c r="A11" s="52" t="s">
        <v>220</v>
      </c>
      <c r="B11" s="53">
        <v>33569.877399999998</v>
      </c>
      <c r="C11" s="63">
        <f>IF(OR(38565.53192="",33569.8774=""),"-",33569.8774/38565.53192*100)</f>
        <v>87.046322788019765</v>
      </c>
      <c r="D11" s="53">
        <f>IF(38565.53192="","-",38565.53192/4798692.63363*100)</f>
        <v>0.80366747496446489</v>
      </c>
      <c r="E11" s="53">
        <f>IF(33569.8774="","-",33569.8774/4325623.55461*100)</f>
        <v>0.77607024689476645</v>
      </c>
      <c r="F11" s="63">
        <f>IF(OR(4718168.92486="",33931.92085="",38565.53192=""),"-",(38565.53192-33931.92085)/4718168.92486*100)</f>
        <v>9.820782476832346E-2</v>
      </c>
      <c r="G11" s="63">
        <f>IF(OR(4798692.63363="",33569.8774="",38565.53192=""),"-",(33569.8774-38565.53192)/4798692.63363*100)</f>
        <v>-0.10410449056456886</v>
      </c>
    </row>
    <row r="12" spans="1:7" s="9" customFormat="1" x14ac:dyDescent="0.25">
      <c r="A12" s="52" t="s">
        <v>221</v>
      </c>
      <c r="B12" s="53">
        <v>65269.663070000002</v>
      </c>
      <c r="C12" s="63">
        <f>IF(OR(54141.95356="",65269.66307=""),"-",65269.66307/54141.95356*100)</f>
        <v>120.55284077931967</v>
      </c>
      <c r="D12" s="53">
        <f>IF(54141.95356="","-",54141.95356/4798692.63363*100)</f>
        <v>1.1282646690176528</v>
      </c>
      <c r="E12" s="53">
        <f>IF(65269.66307="","-",65269.66307/4325623.55461*100)</f>
        <v>1.5089076117231552</v>
      </c>
      <c r="F12" s="63">
        <f>IF(OR(4718168.92486="",47321.67137="",54141.95356=""),"-",(54141.95356-47321.67137)/4718168.92486*100)</f>
        <v>0.14455358209122154</v>
      </c>
      <c r="G12" s="63">
        <f>IF(OR(4798692.63363="",65269.66307="",54141.95356=""),"-",(65269.66307-54141.95356)/4798692.63363*100)</f>
        <v>0.23189044099251629</v>
      </c>
    </row>
    <row r="13" spans="1:7" s="9" customFormat="1" x14ac:dyDescent="0.25">
      <c r="A13" s="52" t="s">
        <v>222</v>
      </c>
      <c r="B13" s="53">
        <v>46506.48474</v>
      </c>
      <c r="C13" s="63">
        <f>IF(OR(46521.25564="",46506.48474=""),"-",46506.48474/46521.25564*100)</f>
        <v>99.968249137309812</v>
      </c>
      <c r="D13" s="53">
        <f>IF(46521.25564="","-",46521.25564/4798692.63363*100)</f>
        <v>0.96945687485736554</v>
      </c>
      <c r="E13" s="53">
        <f>IF(46506.48474="","-",46506.48474/4325623.55461*100)</f>
        <v>1.0751394371901843</v>
      </c>
      <c r="F13" s="63">
        <f>IF(OR(4718168.92486="",40726.1807="",46521.25564=""),"-",(46521.25564-40726.1807)/4718168.92486*100)</f>
        <v>0.12282465999608017</v>
      </c>
      <c r="G13" s="63">
        <f>IF(OR(4798692.63363="",46506.48474="",46521.25564=""),"-",(46506.48474-46521.25564)/4798692.63363*100)</f>
        <v>-3.0781092117645445E-4</v>
      </c>
    </row>
    <row r="14" spans="1:7" s="9" customFormat="1" x14ac:dyDescent="0.25">
      <c r="A14" s="52" t="s">
        <v>223</v>
      </c>
      <c r="B14" s="53">
        <v>80537.889320000002</v>
      </c>
      <c r="C14" s="63">
        <f>IF(OR(67413.14474="",80537.88932=""),"-",80537.88932/67413.14474*100)</f>
        <v>119.46911782653027</v>
      </c>
      <c r="D14" s="53">
        <f>IF(67413.14474="","-",67413.14474/4798692.63363*100)</f>
        <v>1.4048231442780472</v>
      </c>
      <c r="E14" s="53">
        <f>IF(80537.88932="","-",80537.88932/4325623.55461*100)</f>
        <v>1.8618792944699813</v>
      </c>
      <c r="F14" s="63">
        <f>IF(OR(4718168.92486="",62961.38954="",67413.14474=""),"-",(67413.14474-62961.38954)/4718168.92486*100)</f>
        <v>9.4353450902186636E-2</v>
      </c>
      <c r="G14" s="63">
        <f>IF(OR(4798692.63363="",80537.88932="",67413.14474=""),"-",(80537.88932-67413.14474)/4798692.63363*100)</f>
        <v>0.27350667321386046</v>
      </c>
    </row>
    <row r="15" spans="1:7" s="9" customFormat="1" x14ac:dyDescent="0.25">
      <c r="A15" s="52" t="s">
        <v>224</v>
      </c>
      <c r="B15" s="53">
        <v>135150.03253</v>
      </c>
      <c r="C15" s="63">
        <f>IF(OR(127232.96765="",135150.03253=""),"-",135150.03253/127232.96765*100)</f>
        <v>106.22249486609377</v>
      </c>
      <c r="D15" s="53">
        <f>IF(127232.96765="","-",127232.96765/4798692.63363*100)</f>
        <v>2.6514089849875186</v>
      </c>
      <c r="E15" s="53">
        <f>IF(135150.03253="","-",135150.03253/4325623.55461*100)</f>
        <v>3.1244057839005639</v>
      </c>
      <c r="F15" s="63">
        <f>IF(OR(4718168.92486="",118211.05192="",127232.96765=""),"-",(127232.96765-118211.05192)/4718168.92486*100)</f>
        <v>0.19121646286260749</v>
      </c>
      <c r="G15" s="63">
        <f>IF(OR(4798692.63363="",135150.03253="",127232.96765=""),"-",(135150.03253-127232.96765)/4798692.63363*100)</f>
        <v>0.16498378796999713</v>
      </c>
    </row>
    <row r="16" spans="1:7" s="9" customFormat="1" ht="14.25" customHeight="1" x14ac:dyDescent="0.25">
      <c r="A16" s="52" t="s">
        <v>181</v>
      </c>
      <c r="B16" s="53">
        <v>12853.373149999999</v>
      </c>
      <c r="C16" s="63">
        <f>IF(OR(12115.13386="",12853.37315=""),"-",12853.37315/12115.13386*100)</f>
        <v>106.09352978292226</v>
      </c>
      <c r="D16" s="53">
        <f>IF(12115.13386="","-",12115.13386/4798692.63363*100)</f>
        <v>0.25246738611877778</v>
      </c>
      <c r="E16" s="53">
        <f>IF(12853.37315="","-",12853.37315/4325623.55461*100)</f>
        <v>0.29714497777555365</v>
      </c>
      <c r="F16" s="63">
        <f>IF(OR(4718168.92486="",12605.36565="",12115.13386=""),"-",(12115.13386-12605.36565)/4718168.92486*100)</f>
        <v>-1.0390297545663783E-2</v>
      </c>
      <c r="G16" s="63">
        <f>IF(OR(4798692.63363="",12853.37315="",12115.13386=""),"-",(12853.37315-12115.13386)/4798692.63363*100)</f>
        <v>1.5384175365313073E-2</v>
      </c>
    </row>
    <row r="17" spans="1:7" s="9" customFormat="1" ht="25.5" x14ac:dyDescent="0.25">
      <c r="A17" s="52" t="s">
        <v>225</v>
      </c>
      <c r="B17" s="53">
        <v>44654.096409999896</v>
      </c>
      <c r="C17" s="63">
        <f>IF(OR(42805.88984="",44654.0964099999=""),"-",44654.0964099999/42805.88984*100)</f>
        <v>104.31764548502116</v>
      </c>
      <c r="D17" s="53">
        <f>IF(42805.88984="","-",42805.88984/4798692.63363*100)</f>
        <v>0.89203233272349081</v>
      </c>
      <c r="E17" s="53">
        <f>IF(44654.0964099999="","-",44654.0964099999/4325623.55461*100)</f>
        <v>1.0323158232854113</v>
      </c>
      <c r="F17" s="63">
        <f>IF(OR(4718168.92486="",43230.64782="",42805.88984=""),"-",(42805.88984-43230.64782)/4718168.92486*100)</f>
        <v>-9.0026022120985958E-3</v>
      </c>
      <c r="G17" s="63">
        <f>IF(OR(4798692.63363="",44654.0964099999="",42805.88984=""),"-",(44654.0964099999-42805.88984)/4798692.63363*100)</f>
        <v>3.8514793738764763E-2</v>
      </c>
    </row>
    <row r="18" spans="1:7" s="9" customFormat="1" ht="25.5" x14ac:dyDescent="0.25">
      <c r="A18" s="52" t="s">
        <v>182</v>
      </c>
      <c r="B18" s="53">
        <v>32515.371029999998</v>
      </c>
      <c r="C18" s="63">
        <f>IF(OR(26236.96995="",32515.37103=""),"-",32515.37103/26236.96995*100)</f>
        <v>123.92959664155121</v>
      </c>
      <c r="D18" s="53">
        <f>IF(26236.96995="","-",26236.96995/4798692.63363*100)</f>
        <v>0.54675245849519816</v>
      </c>
      <c r="E18" s="53">
        <f>IF(32515.37103="","-",32515.37103/4325623.55461*100)</f>
        <v>0.75169211142627035</v>
      </c>
      <c r="F18" s="63">
        <f>IF(OR(4718168.92486="",30192.77507="",26236.96995=""),"-",(26236.96995-30192.77507)/4718168.92486*100)</f>
        <v>-8.3841956127447895E-2</v>
      </c>
      <c r="G18" s="63">
        <f>IF(OR(4798692.63363="",32515.37103="",26236.96995=""),"-",(32515.37103-26236.96995)/4798692.63363*100)</f>
        <v>0.13083565794566562</v>
      </c>
    </row>
    <row r="19" spans="1:7" s="9" customFormat="1" x14ac:dyDescent="0.25">
      <c r="A19" s="52" t="s">
        <v>226</v>
      </c>
      <c r="B19" s="53">
        <v>66139.842380000002</v>
      </c>
      <c r="C19" s="63">
        <f>IF(OR(63702.2798="",66139.84238=""),"-",66139.84238/63702.2798*100)</f>
        <v>103.82649190523946</v>
      </c>
      <c r="D19" s="53">
        <f>IF(63702.2798="","-",63702.2798/4798692.63363*100)</f>
        <v>1.3274923956071765</v>
      </c>
      <c r="E19" s="53">
        <f>IF(66139.84238="","-",66139.84238/4325623.55461*100)</f>
        <v>1.5290244642188517</v>
      </c>
      <c r="F19" s="63">
        <f>IF(OR(4718168.92486="",58293.53637="",63702.2798=""),"-",(63702.2798-58293.53637)/4718168.92486*100)</f>
        <v>0.11463649386314599</v>
      </c>
      <c r="G19" s="63">
        <f>IF(OR(4798692.63363="",66139.84238="",63702.2798=""),"-",(66139.84238-63702.2798)/4798692.63363*100)</f>
        <v>5.079638906057829E-2</v>
      </c>
    </row>
    <row r="20" spans="1:7" s="9" customFormat="1" x14ac:dyDescent="0.25">
      <c r="A20" s="38" t="s">
        <v>227</v>
      </c>
      <c r="B20" s="51">
        <v>83982.953909999997</v>
      </c>
      <c r="C20" s="62">
        <f>IF(101964.84686="","-",83982.95391/101964.84686*100)</f>
        <v>82.364615351514686</v>
      </c>
      <c r="D20" s="51">
        <f>IF(101964.84686="","-",101964.84686/4798692.63363*100)</f>
        <v>2.1248463830630486</v>
      </c>
      <c r="E20" s="51">
        <f>IF(83982.95391="","-",83982.95391/4325623.55461*100)</f>
        <v>1.9415224845559158</v>
      </c>
      <c r="F20" s="62">
        <f>IF(4718168.92486="","-",(101964.84686-97229.96084)/4718168.92486*100)</f>
        <v>0.10035431319662853</v>
      </c>
      <c r="G20" s="62">
        <f>IF(4798692.63363="","-",(83982.95391-101964.84686)/4798692.63363*100)</f>
        <v>-0.37472483284259644</v>
      </c>
    </row>
    <row r="21" spans="1:7" s="9" customFormat="1" x14ac:dyDescent="0.25">
      <c r="A21" s="52" t="s">
        <v>228</v>
      </c>
      <c r="B21" s="53">
        <v>43554.260139999999</v>
      </c>
      <c r="C21" s="63">
        <f>IF(OR(51983.75665="",43554.26014=""),"-",43554.26014/51983.75665*100)</f>
        <v>83.784364476090616</v>
      </c>
      <c r="D21" s="53">
        <f>IF(51983.75665="","-",51983.75665/4798692.63363*100)</f>
        <v>1.0832899837278509</v>
      </c>
      <c r="E21" s="53">
        <f>IF(43554.26014="","-",43554.26014/4325623.55461*100)</f>
        <v>1.0068897487295763</v>
      </c>
      <c r="F21" s="63">
        <f>IF(OR(4718168.92486="",51125.68629="",51983.75665=""),"-",(51983.75665-51125.68629)/4718168.92486*100)</f>
        <v>1.8186512048749215E-2</v>
      </c>
      <c r="G21" s="63">
        <f>IF(OR(4798692.63363="",43554.26014="",51983.75665=""),"-",(43554.26014-51983.75665)/4798692.63363*100)</f>
        <v>-0.17566235542832551</v>
      </c>
    </row>
    <row r="22" spans="1:7" s="9" customFormat="1" x14ac:dyDescent="0.25">
      <c r="A22" s="52" t="s">
        <v>229</v>
      </c>
      <c r="B22" s="53">
        <v>40428.693769999998</v>
      </c>
      <c r="C22" s="63">
        <f>IF(OR(49981.09021="",40428.69377=""),"-",40428.69377/49981.09021*100)</f>
        <v>80.887979033941122</v>
      </c>
      <c r="D22" s="53">
        <f>IF(49981.09021="","-",49981.09021/4798692.63363*100)</f>
        <v>1.0415563993351977</v>
      </c>
      <c r="E22" s="53">
        <f>IF(40428.69377="","-",40428.69377/4325623.55461*100)</f>
        <v>0.93463273582633943</v>
      </c>
      <c r="F22" s="63">
        <f>IF(OR(4718168.92486="",46104.27455="",49981.09021=""),"-",(49981.09021-46104.27455)/4718168.92486*100)</f>
        <v>8.2167801147879319E-2</v>
      </c>
      <c r="G22" s="63">
        <f>IF(OR(4798692.63363="",40428.69377="",49981.09021=""),"-",(40428.69377-49981.09021)/4798692.63363*100)</f>
        <v>-0.19906247741427099</v>
      </c>
    </row>
    <row r="23" spans="1:7" s="9" customFormat="1" ht="25.5" x14ac:dyDescent="0.25">
      <c r="A23" s="38" t="s">
        <v>25</v>
      </c>
      <c r="B23" s="51">
        <v>115635.78602</v>
      </c>
      <c r="C23" s="62">
        <f>IF(121605.70735="","-",115635.78602/121605.70735*100)</f>
        <v>95.090755639603614</v>
      </c>
      <c r="D23" s="51">
        <f>IF(121605.70735="","-",121605.70735/4798692.63363*100)</f>
        <v>2.5341424557548837</v>
      </c>
      <c r="E23" s="51">
        <f>IF(115635.78602="","-",115635.78602/4325623.55461*100)</f>
        <v>2.6732743744369998</v>
      </c>
      <c r="F23" s="62">
        <f>IF(4718168.92486="","-",(121605.70735-116423.13101)/4718168.92486*100)</f>
        <v>0.10984295862517851</v>
      </c>
      <c r="G23" s="62">
        <f>IF(4798692.63363="","-",(115635.78602-121605.70735)/4798692.63363*100)</f>
        <v>-0.1244072455935569</v>
      </c>
    </row>
    <row r="24" spans="1:7" s="9" customFormat="1" x14ac:dyDescent="0.25">
      <c r="A24" s="52" t="s">
        <v>230</v>
      </c>
      <c r="B24" s="53">
        <v>31303.912629999999</v>
      </c>
      <c r="C24" s="63">
        <f>IF(OR(29851.40432="",31303.91263=""),"-",31303.91263/29851.40432*100)</f>
        <v>104.86579557339898</v>
      </c>
      <c r="D24" s="53">
        <f>IF(29851.40432="","-",29851.40432/4798692.63363*100)</f>
        <v>0.62207368962947573</v>
      </c>
      <c r="E24" s="53">
        <f>IF(31303.91263="","-",31303.91263/4325623.55461*100)</f>
        <v>0.72368555041360672</v>
      </c>
      <c r="F24" s="63">
        <f>IF(OR(4718168.92486="",33476.97585="",29851.40432=""),"-",(29851.40432-33476.97585)/4718168.92486*100)</f>
        <v>-7.6842766499878576E-2</v>
      </c>
      <c r="G24" s="63">
        <f>IF(OR(4798692.63363="",31303.91263="",29851.40432=""),"-",(31303.91263-29851.40432)/4798692.63363*100)</f>
        <v>3.0268834053270854E-2</v>
      </c>
    </row>
    <row r="25" spans="1:7" s="9" customFormat="1" ht="25.5" x14ac:dyDescent="0.25">
      <c r="A25" s="52" t="s">
        <v>231</v>
      </c>
      <c r="B25" s="53">
        <v>1153.19949</v>
      </c>
      <c r="C25" s="63">
        <f>IF(OR(1312.06409="",1153.19949=""),"-",1153.19949/1312.06409*100)</f>
        <v>87.892009147205599</v>
      </c>
      <c r="D25" s="53">
        <f>IF(1312.06409="","-",1312.06409/4798692.63363*100)</f>
        <v>2.7342115658853552E-2</v>
      </c>
      <c r="E25" s="53">
        <f>IF(1153.19949="","-",1153.19949/4325623.55461*100)</f>
        <v>2.665972837074522E-2</v>
      </c>
      <c r="F25" s="63">
        <f>IF(OR(4718168.92486="",775.80158="",1312.06409=""),"-",(1312.06409-775.80158)/4718168.92486*100)</f>
        <v>1.1365903140399163E-2</v>
      </c>
      <c r="G25" s="63">
        <f>IF(OR(4798692.63363="",1153.19949="",1312.06409=""),"-",(1153.19949-1312.06409)/4798692.63363*100)</f>
        <v>-3.3105808629344535E-3</v>
      </c>
    </row>
    <row r="26" spans="1:7" s="9" customFormat="1" x14ac:dyDescent="0.25">
      <c r="A26" s="52" t="s">
        <v>232</v>
      </c>
      <c r="B26" s="53">
        <v>33015.244429999999</v>
      </c>
      <c r="C26" s="63">
        <f>IF(OR(32881.21965="",33015.24443=""),"-",33015.24443/32881.21965*100)</f>
        <v>100.40760282442869</v>
      </c>
      <c r="D26" s="53">
        <f>IF(32881.21965="","-",32881.21965/4798692.63363*100)</f>
        <v>0.68521203920341112</v>
      </c>
      <c r="E26" s="53">
        <f>IF(33015.24443="","-",33015.24443/4325623.55461*100)</f>
        <v>0.76324821180553848</v>
      </c>
      <c r="F26" s="63">
        <f>IF(OR(4718168.92486="",29954.57909="",32881.21965=""),"-",(32881.21965-29954.57909)/4718168.92486*100)</f>
        <v>6.2029160180754675E-2</v>
      </c>
      <c r="G26" s="63">
        <f>IF(OR(4798692.63363="",33015.24443="",32881.21965=""),"-",(33015.24443-32881.21965)/4798692.63363*100)</f>
        <v>2.7929436251184917E-3</v>
      </c>
    </row>
    <row r="27" spans="1:7" s="9" customFormat="1" ht="14.25" customHeight="1" x14ac:dyDescent="0.25">
      <c r="A27" s="52" t="s">
        <v>183</v>
      </c>
      <c r="B27" s="53">
        <v>388.71438000000001</v>
      </c>
      <c r="C27" s="63">
        <f>IF(OR(387.77482="",388.71438=""),"-",388.71438/387.77482*100)</f>
        <v>100.24229525785093</v>
      </c>
      <c r="D27" s="53">
        <f>IF(387.77482="","-",387.77482/4798692.63363*100)</f>
        <v>8.0808430463416726E-3</v>
      </c>
      <c r="E27" s="53">
        <f>IF(388.71438="","-",388.71438/4325623.55461*100)</f>
        <v>8.9863201245455274E-3</v>
      </c>
      <c r="F27" s="63">
        <f>IF(OR(4718168.92486="",457.81671="",387.77482=""),"-",(387.77482-457.81671)/4718168.92486*100)</f>
        <v>-1.4845142493934414E-3</v>
      </c>
      <c r="G27" s="63">
        <f>IF(OR(4798692.63363="",388.71438="",387.77482=""),"-",(388.71438-387.77482)/4798692.63363*100)</f>
        <v>1.9579499495663523E-5</v>
      </c>
    </row>
    <row r="28" spans="1:7" s="9" customFormat="1" ht="15.75" customHeight="1" x14ac:dyDescent="0.25">
      <c r="A28" s="52" t="s">
        <v>184</v>
      </c>
      <c r="B28" s="53">
        <v>6366.1625899999999</v>
      </c>
      <c r="C28" s="63">
        <f>IF(OR(6581.45236="",6366.16259=""),"-",6366.16259/6581.45236*100)</f>
        <v>96.728841018306781</v>
      </c>
      <c r="D28" s="53">
        <f>IF(6581.45236="","-",6581.45236/4798692.63363*100)</f>
        <v>0.13715094636143471</v>
      </c>
      <c r="E28" s="53">
        <f>IF(6366.16259="","-",6366.16259/4325623.55461*100)</f>
        <v>0.14717329211912838</v>
      </c>
      <c r="F28" s="63">
        <f>IF(OR(4718168.92486="",7075.49174="",6581.45236=""),"-",(6581.45236-7075.49174)/4718168.92486*100)</f>
        <v>-1.0470998132281998E-2</v>
      </c>
      <c r="G28" s="63">
        <f>IF(OR(4798692.63363="",6366.16259="",6581.45236=""),"-",(6366.16259-6581.45236)/4798692.63363*100)</f>
        <v>-4.4864255003793201E-3</v>
      </c>
    </row>
    <row r="29" spans="1:7" s="9" customFormat="1" ht="15" customHeight="1" x14ac:dyDescent="0.25">
      <c r="A29" s="52" t="s">
        <v>185</v>
      </c>
      <c r="B29" s="53">
        <v>14457.86148</v>
      </c>
      <c r="C29" s="63">
        <f>IF(OR(21122.0878="",14457.86148=""),"-",14457.86148/21122.0878*100)</f>
        <v>68.449017052187429</v>
      </c>
      <c r="D29" s="53">
        <f>IF(21122.0878="","-",21122.0878/4798692.63363*100)</f>
        <v>0.44016338225067919</v>
      </c>
      <c r="E29" s="53">
        <f>IF(14457.86148="","-",14457.86148/4325623.55461*100)</f>
        <v>0.33423762603178092</v>
      </c>
      <c r="F29" s="63">
        <f>IF(OR(4718168.92486="",12828.1545="",21122.0878=""),"-",(21122.0878-12828.1545)/4718168.92486*100)</f>
        <v>0.17578712064121577</v>
      </c>
      <c r="G29" s="63">
        <f>IF(OR(4798692.63363="",14457.86148="",21122.0878=""),"-",(14457.86148-21122.0878)/4798692.63363*100)</f>
        <v>-0.1388758736764269</v>
      </c>
    </row>
    <row r="30" spans="1:7" s="9" customFormat="1" ht="15.75" customHeight="1" x14ac:dyDescent="0.25">
      <c r="A30" s="52" t="s">
        <v>186</v>
      </c>
      <c r="B30" s="53">
        <v>1307.3056200000001</v>
      </c>
      <c r="C30" s="63">
        <f>IF(OR(1260.8907="",1307.30562=""),"-",1307.30562/1260.8907*100)</f>
        <v>103.68112160713059</v>
      </c>
      <c r="D30" s="53">
        <f>IF(1260.8907="","-",1260.8907/4798692.63363*100)</f>
        <v>2.6275712913210521E-2</v>
      </c>
      <c r="E30" s="53">
        <f>IF(1307.30562="","-",1307.30562/4325623.55461*100)</f>
        <v>3.0222362244323113E-2</v>
      </c>
      <c r="F30" s="63">
        <f>IF(OR(4718168.92486="",3218.17278="",1260.8907=""),"-",(1260.8907-3218.17278)/4718168.92486*100)</f>
        <v>-4.1483933940709372E-2</v>
      </c>
      <c r="G30" s="63">
        <f>IF(OR(4798692.63363="",1307.30562="",1260.8907=""),"-",(1307.30562-1260.8907)/4798692.63363*100)</f>
        <v>9.672409454757956E-4</v>
      </c>
    </row>
    <row r="31" spans="1:7" s="9" customFormat="1" ht="25.5" x14ac:dyDescent="0.25">
      <c r="A31" s="52" t="s">
        <v>187</v>
      </c>
      <c r="B31" s="53">
        <v>27643.385399999999</v>
      </c>
      <c r="C31" s="63">
        <f>IF(OR(28190.67361="",27643.3854=""),"-",27643.3854/28190.67361*100)</f>
        <v>98.058619607422699</v>
      </c>
      <c r="D31" s="53">
        <f>IF(28190.67361="","-",28190.67361/4798692.63363*100)</f>
        <v>0.58746570706436341</v>
      </c>
      <c r="E31" s="53">
        <f>IF(27643.3854="","-",27643.3854/4325623.55461*100)</f>
        <v>0.63906128332733148</v>
      </c>
      <c r="F31" s="63">
        <f>IF(OR(4718168.92486="",28596.56578="",28190.67361=""),"-",(28190.67361-28596.56578)/4718168.92486*100)</f>
        <v>-8.6027477282840832E-3</v>
      </c>
      <c r="G31" s="63">
        <f>IF(OR(4798692.63363="",27643.3854="",28190.67361=""),"-",(27643.3854-28190.67361)/4798692.63363*100)</f>
        <v>-1.1404944050063131E-2</v>
      </c>
    </row>
    <row r="32" spans="1:7" s="9" customFormat="1" ht="25.5" x14ac:dyDescent="0.25">
      <c r="A32" s="38" t="s">
        <v>188</v>
      </c>
      <c r="B32" s="51">
        <v>469498.40197000001</v>
      </c>
      <c r="C32" s="62">
        <f>IF(745080.35679="","-",469498.40197/745080.35679*100)</f>
        <v>63.013123039871999</v>
      </c>
      <c r="D32" s="51">
        <f>IF(745080.35679="","-",745080.35679/4798692.63363*100)</f>
        <v>15.526736419172977</v>
      </c>
      <c r="E32" s="51">
        <f>IF(469498.40197="","-",469498.40197/4325623.55461*100)</f>
        <v>10.853889526970875</v>
      </c>
      <c r="F32" s="62">
        <f>IF(4718168.92486="","-",(745080.35679-781781.4494)/4718168.92486*100)</f>
        <v>-0.7778672869600376</v>
      </c>
      <c r="G32" s="62">
        <f>IF(4798692.63363="","-",(469498.40197-745080.35679)/4798692.63363*100)</f>
        <v>-5.7428548952828917</v>
      </c>
    </row>
    <row r="33" spans="1:7" s="9" customFormat="1" x14ac:dyDescent="0.25">
      <c r="A33" s="52" t="s">
        <v>233</v>
      </c>
      <c r="B33" s="53">
        <v>12735.345359999999</v>
      </c>
      <c r="C33" s="63">
        <f>IF(OR(16417.68241="",12735.34536=""),"-",12735.34536/16417.68241*100)</f>
        <v>77.570908255862633</v>
      </c>
      <c r="D33" s="53">
        <f>IF(16417.68241="","-",16417.68241/4798692.63363*100)</f>
        <v>0.34212823498930262</v>
      </c>
      <c r="E33" s="53">
        <f>IF(12735.34536="","-",12735.34536/4325623.55461*100)</f>
        <v>0.29441640492334109</v>
      </c>
      <c r="F33" s="63">
        <f>IF(OR(4718168.92486="",14697.73024="",16417.68241=""),"-",(16417.68241-14697.73024)/4718168.92486*100)</f>
        <v>3.6453806495515328E-2</v>
      </c>
      <c r="G33" s="63">
        <f>IF(OR(4798692.63363="",12735.34536="",16417.68241=""),"-",(12735.34536-16417.68241)/4798692.63363*100)</f>
        <v>-7.6736255708348536E-2</v>
      </c>
    </row>
    <row r="34" spans="1:7" s="9" customFormat="1" ht="25.5" x14ac:dyDescent="0.25">
      <c r="A34" s="52" t="s">
        <v>189</v>
      </c>
      <c r="B34" s="53">
        <v>306313.74851</v>
      </c>
      <c r="C34" s="63">
        <f>IF(OR(488952.70996="",306313.74851=""),"-",306313.74851/488952.70996*100)</f>
        <v>62.646906801080767</v>
      </c>
      <c r="D34" s="53">
        <f>IF(488952.70996="","-",488952.70996/4798692.63363*100)</f>
        <v>10.18929002731581</v>
      </c>
      <c r="E34" s="53">
        <f>IF(306313.74851="","-",306313.74851/4325623.55461*100)</f>
        <v>7.0813778555359601</v>
      </c>
      <c r="F34" s="63">
        <f>IF(OR(4718168.92486="",532031.0372="",488952.70996=""),"-",(488952.70996-532031.0372)/4718168.92486*100)</f>
        <v>-0.91303062535596402</v>
      </c>
      <c r="G34" s="63">
        <f>IF(OR(4798692.63363="",306313.74851="",488952.70996=""),"-",(306313.74851-488952.70996)/4798692.63363*100)</f>
        <v>-3.8060150002114566</v>
      </c>
    </row>
    <row r="35" spans="1:7" s="9" customFormat="1" ht="25.5" x14ac:dyDescent="0.25">
      <c r="A35" s="52" t="s">
        <v>234</v>
      </c>
      <c r="B35" s="53">
        <v>141755.89165000001</v>
      </c>
      <c r="C35" s="63">
        <f>IF(OR(205514.60267="",141755.89165=""),"-",141755.89165/205514.60267*100)</f>
        <v>68.976067787076445</v>
      </c>
      <c r="D35" s="53">
        <f>IF(205514.60267="","-",205514.60267/4798692.63363*100)</f>
        <v>4.2827206983360639</v>
      </c>
      <c r="E35" s="53">
        <f>IF(141755.89165="","-",141755.89165/4325623.55461*100)</f>
        <v>3.2771203934037381</v>
      </c>
      <c r="F35" s="63">
        <f>IF(OR(4718168.92486="",189843.07064="",205514.60267=""),"-",(205514.60267-189843.07064)/4718168.92486*100)</f>
        <v>0.33215283894196346</v>
      </c>
      <c r="G35" s="63">
        <f>IF(OR(4798692.63363="",141755.89165="",205514.60267=""),"-",(141755.89165-205514.60267)/4798692.63363*100)</f>
        <v>-1.3286683663206269</v>
      </c>
    </row>
    <row r="36" spans="1:7" s="9" customFormat="1" x14ac:dyDescent="0.25">
      <c r="A36" s="52" t="s">
        <v>190</v>
      </c>
      <c r="B36" s="53">
        <v>8693.4164500000006</v>
      </c>
      <c r="C36" s="63">
        <f>IF(OR(34195.36175="",8693.41645=""),"-",8693.41645/34195.36175*100)</f>
        <v>25.422794218575568</v>
      </c>
      <c r="D36" s="53">
        <f>IF(34195.36175="","-",34195.36175/4798692.63363*100)</f>
        <v>0.71259745853179823</v>
      </c>
      <c r="E36" s="53">
        <f>IF(8693.41645="","-",8693.41645/4325623.55461*100)</f>
        <v>0.20097487310783341</v>
      </c>
      <c r="F36" s="63">
        <f>IF(OR(4718168.92486="",45209.61132="",34195.36175=""),"-",(34195.36175-45209.61132)/4718168.92486*100)</f>
        <v>-0.2334433070415517</v>
      </c>
      <c r="G36" s="63">
        <f>IF(OR(4798692.63363="",8693.41645="",34195.36175=""),"-",(8693.41645-34195.36175)/4798692.63363*100)</f>
        <v>-0.53143527304245985</v>
      </c>
    </row>
    <row r="37" spans="1:7" s="9" customFormat="1" ht="25.5" x14ac:dyDescent="0.25">
      <c r="A37" s="38" t="s">
        <v>191</v>
      </c>
      <c r="B37" s="51">
        <v>9484.6593799999991</v>
      </c>
      <c r="C37" s="62">
        <f>IF(9383.80344="","-",9484.65938/9383.80344*100)</f>
        <v>101.07478743182199</v>
      </c>
      <c r="D37" s="51">
        <f>IF(9383.80344="","-",9383.80344/4798692.63363*100)</f>
        <v>0.1955491663341139</v>
      </c>
      <c r="E37" s="51">
        <f>IF(9484.65938="","-",9484.65938/4325623.55461*100)</f>
        <v>0.2192668700884014</v>
      </c>
      <c r="F37" s="62">
        <f>IF(4718168.92486="","-",(9383.80344-9493.66428)/4718168.92486*100)</f>
        <v>-2.3284634727922769E-3</v>
      </c>
      <c r="G37" s="62">
        <f>IF(4798692.63363="","-",(9484.65938-9383.80344)/4798692.63363*100)</f>
        <v>2.1017378627917324E-3</v>
      </c>
    </row>
    <row r="38" spans="1:7" s="9" customFormat="1" x14ac:dyDescent="0.25">
      <c r="A38" s="52" t="s">
        <v>237</v>
      </c>
      <c r="B38" s="53">
        <v>1446.4730199999999</v>
      </c>
      <c r="C38" s="63">
        <f>IF(OR(1366.73111="",1446.47302=""),"-",1446.47302/1366.73111*100)</f>
        <v>105.83449878447561</v>
      </c>
      <c r="D38" s="53">
        <f>IF(1366.73111="","-",1366.73111/4798692.63363*100)</f>
        <v>2.8481322192251517E-2</v>
      </c>
      <c r="E38" s="53">
        <f>IF(1446.47302="","-",1446.47302/4325623.55461*100)</f>
        <v>3.343964174733681E-2</v>
      </c>
      <c r="F38" s="63">
        <f>IF(OR(4718168.92486="",1318.45501="",1366.73111=""),"-",(1366.73111-1318.45501)/4718168.92486*100)</f>
        <v>1.023195666980756E-3</v>
      </c>
      <c r="G38" s="63">
        <f>IF(OR(4798692.63363="",1446.47302="",1366.73111=""),"-",(1446.47302-1366.73111)/4798692.63363*100)</f>
        <v>1.661742397109496E-3</v>
      </c>
    </row>
    <row r="39" spans="1:7" s="9" customFormat="1" ht="25.5" x14ac:dyDescent="0.25">
      <c r="A39" s="52" t="s">
        <v>192</v>
      </c>
      <c r="B39" s="53">
        <v>6630.8383000000003</v>
      </c>
      <c r="C39" s="63">
        <f>IF(OR(5827.07234="",6630.8383=""),"-",6630.8383/5827.07234*100)</f>
        <v>113.79364993433394</v>
      </c>
      <c r="D39" s="53">
        <f>IF(5827.07234="","-",5827.07234/4798692.63363*100)</f>
        <v>0.12143041417495572</v>
      </c>
      <c r="E39" s="53">
        <f>IF(6630.8383="","-",6630.8383/4325623.55461*100)</f>
        <v>0.1532920795415319</v>
      </c>
      <c r="F39" s="63">
        <f>IF(OR(4718168.92486="",5911.69152="",5827.07234=""),"-",(5827.07234-5911.69152)/4718168.92486*100)</f>
        <v>-1.7934749973478636E-3</v>
      </c>
      <c r="G39" s="63">
        <f>IF(OR(4798692.63363="",6630.8383="",5827.07234=""),"-",(6630.8383-5827.07234)/4798692.63363*100)</f>
        <v>1.67496862451052E-2</v>
      </c>
    </row>
    <row r="40" spans="1:7" s="9" customFormat="1" ht="63.75" x14ac:dyDescent="0.25">
      <c r="A40" s="52" t="s">
        <v>235</v>
      </c>
      <c r="B40" s="53">
        <v>1407.34806</v>
      </c>
      <c r="C40" s="63">
        <f>IF(OR(2189.99999="",1407.34806=""),"-",1407.34806/2189.99999*100)</f>
        <v>64.262468786586624</v>
      </c>
      <c r="D40" s="53">
        <f>IF(2189.99999="","-",2189.99999/4798692.63363*100)</f>
        <v>4.5637429966906652E-2</v>
      </c>
      <c r="E40" s="53">
        <f>IF(1407.34806="","-",1407.34806/4325623.55461*100)</f>
        <v>3.2535148799532725E-2</v>
      </c>
      <c r="F40" s="63">
        <f>IF(OR(4718168.92486="",2263.51775="",2189.99999=""),"-",(2189.99999-2263.51775)/4718168.92486*100)</f>
        <v>-1.55818414242516E-3</v>
      </c>
      <c r="G40" s="63">
        <f>IF(OR(4798692.63363="",1407.34806="",2189.99999=""),"-",(1407.34806-2189.99999)/4798692.63363*100)</f>
        <v>-1.6309690779422934E-2</v>
      </c>
    </row>
    <row r="41" spans="1:7" s="9" customFormat="1" ht="25.5" x14ac:dyDescent="0.25">
      <c r="A41" s="38" t="s">
        <v>193</v>
      </c>
      <c r="B41" s="51">
        <v>673956.41012000002</v>
      </c>
      <c r="C41" s="62">
        <f>IF(702551.37913="","-",673956.41012/702551.37913*100)</f>
        <v>95.929839459512493</v>
      </c>
      <c r="D41" s="51">
        <f>IF(702551.37913="","-",702551.37913/4798692.63363*100)</f>
        <v>14.640474661919548</v>
      </c>
      <c r="E41" s="51">
        <f>IF(673956.41012="","-",673956.41012/4325623.55461*100)</f>
        <v>15.580560851203435</v>
      </c>
      <c r="F41" s="62">
        <f>IF(4718168.92486="","-",(702551.37913-680457.35929)/4718168.92486*100)</f>
        <v>0.46827530323441208</v>
      </c>
      <c r="G41" s="62">
        <f>IF(4798692.63363="","-",(673956.41012-702551.37913)/4798692.63363*100)</f>
        <v>-0.59589082262952031</v>
      </c>
    </row>
    <row r="42" spans="1:7" s="9" customFormat="1" x14ac:dyDescent="0.25">
      <c r="A42" s="52" t="s">
        <v>26</v>
      </c>
      <c r="B42" s="53">
        <v>10386.99733</v>
      </c>
      <c r="C42" s="63">
        <f>IF(OR(19130.01622="",10386.99733=""),"-",10386.99733/19130.01622*100)</f>
        <v>54.296855844485002</v>
      </c>
      <c r="D42" s="53">
        <f>IF(19130.01622="","-",19130.01622/4798692.63363*100)</f>
        <v>0.3986505842431709</v>
      </c>
      <c r="E42" s="53">
        <f>IF(10386.99733="","-",10386.99733/4325623.55461*100)</f>
        <v>0.2401271677682201</v>
      </c>
      <c r="F42" s="63">
        <f>IF(OR(4718168.92486="",18567.80405="",19130.01622=""),"-",(19130.01622-18567.80405)/4718168.92486*100)</f>
        <v>1.1915897437196673E-2</v>
      </c>
      <c r="G42" s="63">
        <f>IF(OR(4798692.63363="",10386.99733="",19130.01622=""),"-",(10386.99733-19130.01622)/4798692.63363*100)</f>
        <v>-0.18219585119345916</v>
      </c>
    </row>
    <row r="43" spans="1:7" s="9" customFormat="1" x14ac:dyDescent="0.25">
      <c r="A43" s="52" t="s">
        <v>27</v>
      </c>
      <c r="B43" s="53">
        <v>13243.578</v>
      </c>
      <c r="C43" s="63">
        <f>IF(OR(15189.16355="",13243.578=""),"-",13243.578/15189.16355*100)</f>
        <v>87.190963191649885</v>
      </c>
      <c r="D43" s="53">
        <f>IF(15189.16355="","-",15189.16355/4798692.63363*100)</f>
        <v>0.31652711914807646</v>
      </c>
      <c r="E43" s="53">
        <f>IF(13243.578="","-",13243.578/4325623.55461*100)</f>
        <v>0.30616575466641704</v>
      </c>
      <c r="F43" s="63">
        <f>IF(OR(4718168.92486="",13416.42068="",15189.16355=""),"-",(15189.16355-13416.42068)/4718168.92486*100)</f>
        <v>3.7572687587751043E-2</v>
      </c>
      <c r="G43" s="63">
        <f>IF(OR(4798692.63363="",13243.578="",15189.16355=""),"-",(13243.578-15189.16355)/4798692.63363*100)</f>
        <v>-4.0544075200087362E-2</v>
      </c>
    </row>
    <row r="44" spans="1:7" s="9" customFormat="1" x14ac:dyDescent="0.25">
      <c r="A44" s="52" t="s">
        <v>194</v>
      </c>
      <c r="B44" s="53">
        <v>36349.202279999998</v>
      </c>
      <c r="C44" s="63">
        <f>IF(OR(33121.53196="",36349.20228=""),"-",36349.20228/33121.53196*100)</f>
        <v>109.74493065084661</v>
      </c>
      <c r="D44" s="53">
        <f>IF(33121.53196="","-",33121.53196/4798692.63363*100)</f>
        <v>0.69021990964536983</v>
      </c>
      <c r="E44" s="53">
        <f>IF(36349.20228="","-",36349.20228/4325623.55461*100)</f>
        <v>0.84032283024862653</v>
      </c>
      <c r="F44" s="63">
        <f>IF(OR(4718168.92486="",32266.9765="",33121.53196=""),"-",(33121.53196-32266.9765)/4718168.92486*100)</f>
        <v>1.81120149280233E-2</v>
      </c>
      <c r="G44" s="63">
        <f>IF(OR(4798692.63363="",36349.20228="",33121.53196=""),"-",(36349.20228-33121.53196)/4798692.63363*100)</f>
        <v>6.726145153327745E-2</v>
      </c>
    </row>
    <row r="45" spans="1:7" s="9" customFormat="1" x14ac:dyDescent="0.25">
      <c r="A45" s="52" t="s">
        <v>195</v>
      </c>
      <c r="B45" s="53">
        <v>198141.02518</v>
      </c>
      <c r="C45" s="63">
        <f>IF(OR(216643.55291="",198141.02518=""),"-",198141.02518/216643.55291*100)</f>
        <v>91.459460721784552</v>
      </c>
      <c r="D45" s="53">
        <f>IF(216643.55291="","-",216643.55291/4798692.63363*100)</f>
        <v>4.5146369949124807</v>
      </c>
      <c r="E45" s="53">
        <f>IF(198141.02518="","-",198141.02518/4325623.55461*100)</f>
        <v>4.5806349692365789</v>
      </c>
      <c r="F45" s="63">
        <f>IF(OR(4718168.92486="",189136.49054="",216643.55291=""),"-",(216643.55291-189136.49054)/4718168.92486*100)</f>
        <v>0.58300291507295288</v>
      </c>
      <c r="G45" s="63">
        <f>IF(OR(4798692.63363="",198141.02518="",216643.55291=""),"-",(198141.02518-216643.55291)/4798692.63363*100)</f>
        <v>-0.38557434581934563</v>
      </c>
    </row>
    <row r="46" spans="1:7" s="9" customFormat="1" ht="38.25" x14ac:dyDescent="0.25">
      <c r="A46" s="52" t="s">
        <v>196</v>
      </c>
      <c r="B46" s="53">
        <v>91930.314190000005</v>
      </c>
      <c r="C46" s="63">
        <f>IF(OR(93564.58728="",91930.31419=""),"-",91930.31419/93564.58728*100)</f>
        <v>98.253320901091243</v>
      </c>
      <c r="D46" s="53">
        <f>IF(93564.58728="","-",93564.58728/4798692.63363*100)</f>
        <v>1.9497932962883373</v>
      </c>
      <c r="E46" s="53">
        <f>IF(91930.31419="","-",91930.31419/4325623.55461*100)</f>
        <v>2.1252499906522377</v>
      </c>
      <c r="F46" s="63">
        <f>IF(OR(4718168.92486="",92917.25556="",93564.58728=""),"-",(93564.58728-92917.25556)/4718168.92486*100)</f>
        <v>1.3719977608033819E-2</v>
      </c>
      <c r="G46" s="63">
        <f>IF(OR(4798692.63363="",91930.31419="",93564.58728=""),"-",(91930.31419-93564.58728)/4798692.63363*100)</f>
        <v>-3.4056631978192503E-2</v>
      </c>
    </row>
    <row r="47" spans="1:7" s="9" customFormat="1" x14ac:dyDescent="0.25">
      <c r="A47" s="52" t="s">
        <v>197</v>
      </c>
      <c r="B47" s="53">
        <v>67389.765589999995</v>
      </c>
      <c r="C47" s="63">
        <f>IF(OR(74707.15034="",67389.76559=""),"-",67389.76559/74707.15034*100)</f>
        <v>90.205241778467226</v>
      </c>
      <c r="D47" s="53">
        <f>IF(74707.15034="","-",74707.15034/4798692.63363*100)</f>
        <v>1.5568229941722129</v>
      </c>
      <c r="E47" s="53">
        <f>IF(67389.76559="","-",67389.76559/4325623.55461*100)</f>
        <v>1.5579202567958064</v>
      </c>
      <c r="F47" s="63">
        <f>IF(OR(4718168.92486="",77381.52215="",74707.15034=""),"-",(74707.15034-77381.52215)/4718168.92486*100)</f>
        <v>-5.6682409057224825E-2</v>
      </c>
      <c r="G47" s="63">
        <f>IF(OR(4798692.63363="",67389.76559="",74707.15034=""),"-",(67389.76559-74707.15034)/4798692.63363*100)</f>
        <v>-0.1524870482163955</v>
      </c>
    </row>
    <row r="48" spans="1:7" s="9" customFormat="1" x14ac:dyDescent="0.25">
      <c r="A48" s="52" t="s">
        <v>28</v>
      </c>
      <c r="B48" s="53">
        <v>38949.344089999999</v>
      </c>
      <c r="C48" s="63">
        <f>IF(OR(44928.78233="",38949.34409=""),"-",38949.34409/44928.78233*100)</f>
        <v>86.691296915012558</v>
      </c>
      <c r="D48" s="53">
        <f>IF(44928.78233="","-",44928.78233/4798692.63363*100)</f>
        <v>0.93627130887967203</v>
      </c>
      <c r="E48" s="53">
        <f>IF(38949.34409="","-",38949.34409/4325623.55461*100)</f>
        <v>0.90043304966956805</v>
      </c>
      <c r="F48" s="63">
        <f>IF(OR(4718168.92486="",49807.53385="",44928.78233=""),"-",(44928.78233-49807.53385)/4718168.92486*100)</f>
        <v>-0.10340349397610352</v>
      </c>
      <c r="G48" s="63">
        <f>IF(OR(4798692.63363="",38949.34409="",44928.78233=""),"-",(38949.34409-44928.78233)/4798692.63363*100)</f>
        <v>-0.12460556856872121</v>
      </c>
    </row>
    <row r="49" spans="1:7" s="9" customFormat="1" x14ac:dyDescent="0.25">
      <c r="A49" s="52" t="s">
        <v>29</v>
      </c>
      <c r="B49" s="53">
        <v>99629.103210000001</v>
      </c>
      <c r="C49" s="63">
        <f>IF(OR(96008.7749="",99629.10321=""),"-",99629.10321/96008.7749*100)</f>
        <v>103.77083064935557</v>
      </c>
      <c r="D49" s="53">
        <f>IF(96008.7749="","-",96008.7749/4798692.63363*100)</f>
        <v>2.0007277446185086</v>
      </c>
      <c r="E49" s="53">
        <f>IF(99629.10321="","-",99629.10321/4325623.55461*100)</f>
        <v>2.3032310128749196</v>
      </c>
      <c r="F49" s="63">
        <f>IF(OR(4718168.92486="",93739.93016="",96008.7749=""),"-",(96008.7749-93739.93016)/4718168.92486*100)</f>
        <v>4.8087399500375515E-2</v>
      </c>
      <c r="G49" s="63">
        <f>IF(OR(4798692.63363="",99629.10321="",96008.7749=""),"-",(99629.10321-96008.7749)/4798692.63363*100)</f>
        <v>7.5444055004235136E-2</v>
      </c>
    </row>
    <row r="50" spans="1:7" s="9" customFormat="1" x14ac:dyDescent="0.25">
      <c r="A50" s="52" t="s">
        <v>198</v>
      </c>
      <c r="B50" s="53">
        <v>117937.08025</v>
      </c>
      <c r="C50" s="63">
        <f>IF(OR(109257.81964="",117937.08025=""),"-",117937.08025/109257.81964*100)</f>
        <v>107.94383471919704</v>
      </c>
      <c r="D50" s="53">
        <f>IF(109257.81964="","-",109257.81964/4798692.63363*100)</f>
        <v>2.2768247100117196</v>
      </c>
      <c r="E50" s="53">
        <f>IF(117937.08025="","-",117937.08025/4325623.55461*100)</f>
        <v>2.7264758192910583</v>
      </c>
      <c r="F50" s="63">
        <f>IF(OR(4718168.92486="",113223.4258="",109257.81964=""),"-",(109257.81964-113223.4258)/4718168.92486*100)</f>
        <v>-8.4049685866592103E-2</v>
      </c>
      <c r="G50" s="63">
        <f>IF(OR(4798692.63363="",117937.08025="",109257.81964=""),"-",(117937.08025-109257.81964)/4798692.63363*100)</f>
        <v>0.18086719180916822</v>
      </c>
    </row>
    <row r="51" spans="1:7" s="9" customFormat="1" ht="25.5" x14ac:dyDescent="0.25">
      <c r="A51" s="38" t="s">
        <v>241</v>
      </c>
      <c r="B51" s="51">
        <v>865380.09794000001</v>
      </c>
      <c r="C51" s="62">
        <f>IF(950380.68859="","-",865380.09794/950380.68859*100)</f>
        <v>91.056153426674925</v>
      </c>
      <c r="D51" s="51">
        <f>IF(950380.68859="","-",950380.68859/4798692.63363*100)</f>
        <v>19.804991924875146</v>
      </c>
      <c r="E51" s="51">
        <f>IF(865380.09794="","-",865380.09794/4325623.55461*100)</f>
        <v>20.005904050936838</v>
      </c>
      <c r="F51" s="62">
        <f>IF(4718168.92486="","-",(950380.68859-961305.02854)/4718168.92486*100)</f>
        <v>-0.23153770295166126</v>
      </c>
      <c r="G51" s="62">
        <f>IF(4798692.63363="","-",(865380.09794-950380.68859)/4798692.63363*100)</f>
        <v>-1.771328091620255</v>
      </c>
    </row>
    <row r="52" spans="1:7" s="9" customFormat="1" x14ac:dyDescent="0.25">
      <c r="A52" s="52" t="s">
        <v>199</v>
      </c>
      <c r="B52" s="53">
        <v>38422.000740000003</v>
      </c>
      <c r="C52" s="63">
        <f>IF(OR(45599.73931="",38422.00074=""),"-",38422.00074/45599.73931*100)</f>
        <v>84.259255253185358</v>
      </c>
      <c r="D52" s="53">
        <f>IF(45599.73931="","-",45599.73931/4798692.63363*100)</f>
        <v>0.95025338756705902</v>
      </c>
      <c r="E52" s="53">
        <f>IF(38422.00074="","-",38422.00074/4325623.55461*100)</f>
        <v>0.88824189749595861</v>
      </c>
      <c r="F52" s="63">
        <f>IF(OR(4718168.92486="",47383.36938="",45599.73931=""),"-",(45599.73931-47383.36938)/4718168.92486*100)</f>
        <v>-3.7803438121981281E-2</v>
      </c>
      <c r="G52" s="63">
        <f>IF(OR(4798692.63363="",38422.00074="",45599.73931=""),"-",(38422.00074-45599.73931)/4798692.63363*100)</f>
        <v>-0.14957696018488997</v>
      </c>
    </row>
    <row r="53" spans="1:7" s="9" customFormat="1" x14ac:dyDescent="0.25">
      <c r="A53" s="52" t="s">
        <v>30</v>
      </c>
      <c r="B53" s="53">
        <v>49059.815289999999</v>
      </c>
      <c r="C53" s="63">
        <f>IF(OR(56755.86224="",49059.81529=""),"-",49059.81529/56755.86224*100)</f>
        <v>86.440084519452441</v>
      </c>
      <c r="D53" s="53">
        <f>IF(56755.86224="","-",56755.86224/4798692.63363*100)</f>
        <v>1.182735936080713</v>
      </c>
      <c r="E53" s="53">
        <f>IF(49059.81529="","-",49059.81529/4325623.55461*100)</f>
        <v>1.1341674713629408</v>
      </c>
      <c r="F53" s="63">
        <f>IF(OR(4718168.92486="",56516.41437="",56755.86224=""),"-",(56755.86224-56516.41437)/4718168.92486*100)</f>
        <v>5.0750168934892183E-3</v>
      </c>
      <c r="G53" s="63">
        <f>IF(OR(4798692.63363="",49059.81529="",56755.86224=""),"-",(49059.81529-56755.86224)/4798692.63363*100)</f>
        <v>-0.16037799329060762</v>
      </c>
    </row>
    <row r="54" spans="1:7" s="9" customFormat="1" x14ac:dyDescent="0.25">
      <c r="A54" s="52" t="s">
        <v>200</v>
      </c>
      <c r="B54" s="53">
        <v>73955.426800000001</v>
      </c>
      <c r="C54" s="63">
        <f>IF(OR(77296.11151="",73955.4268=""),"-",73955.4268/77296.11151*100)</f>
        <v>95.67806886434667</v>
      </c>
      <c r="D54" s="53">
        <f>IF(77296.11151="","-",77296.11151/4798692.63363*100)</f>
        <v>1.6107743798445557</v>
      </c>
      <c r="E54" s="53">
        <f>IF(73955.4268="","-",73955.4268/4325623.55461*100)</f>
        <v>1.7097055688348695</v>
      </c>
      <c r="F54" s="63">
        <f>IF(OR(4718168.92486="",73381.1298="",77296.11151=""),"-",(77296.11151-73381.1298)/4718168.92486*100)</f>
        <v>8.2976717712924516E-2</v>
      </c>
      <c r="G54" s="63">
        <f>IF(OR(4798692.63363="",73955.4268="",77296.11151=""),"-",(73955.4268-77296.11151)/4798692.63363*100)</f>
        <v>-6.9616559447628554E-2</v>
      </c>
    </row>
    <row r="55" spans="1:7" s="9" customFormat="1" ht="25.5" x14ac:dyDescent="0.25">
      <c r="A55" s="52" t="s">
        <v>201</v>
      </c>
      <c r="B55" s="53">
        <v>76264.489490000007</v>
      </c>
      <c r="C55" s="63">
        <f>IF(OR(87157.26874="",76264.48949=""),"-",76264.48949/87157.26874*100)</f>
        <v>87.502156265939917</v>
      </c>
      <c r="D55" s="53">
        <f>IF(87157.26874="","-",87157.26874/4798692.63363*100)</f>
        <v>1.816271126206084</v>
      </c>
      <c r="E55" s="53">
        <f>IF(76264.48949="","-",76264.48949/4325623.55461*100)</f>
        <v>1.763086605368646</v>
      </c>
      <c r="F55" s="63">
        <f>IF(OR(4718168.92486="",83114.57413="",87157.26874=""),"-",(87157.26874-83114.57413)/4718168.92486*100)</f>
        <v>8.5683549579988028E-2</v>
      </c>
      <c r="G55" s="63">
        <f>IF(OR(4798692.63363="",76264.48949="",87157.26874=""),"-",(76264.48949-87157.26874)/4798692.63363*100)</f>
        <v>-0.22699472714008948</v>
      </c>
    </row>
    <row r="56" spans="1:7" s="9" customFormat="1" ht="25.5" x14ac:dyDescent="0.25">
      <c r="A56" s="52" t="s">
        <v>202</v>
      </c>
      <c r="B56" s="53">
        <v>210530.00130999999</v>
      </c>
      <c r="C56" s="63">
        <f>IF(OR(227664.74914="",210530.00131=""),"-",210530.00131/227664.74914*100)</f>
        <v>92.473693053173037</v>
      </c>
      <c r="D56" s="53">
        <f>IF(227664.74914="","-",227664.74914/4798692.63363*100)</f>
        <v>4.744307804681827</v>
      </c>
      <c r="E56" s="53">
        <f>IF(210530.00131="","-",210530.00131/4325623.55461*100)</f>
        <v>4.8670439915102932</v>
      </c>
      <c r="F56" s="63">
        <f>IF(OR(4718168.92486="",249373.60199="",227664.74914=""),"-",(227664.74914-249373.60199)/4718168.92486*100)</f>
        <v>-0.46011181871035178</v>
      </c>
      <c r="G56" s="63">
        <f>IF(OR(4798692.63363="",210530.00131="",227664.74914=""),"-",(210530.00131-227664.74914)/4798692.63363*100)</f>
        <v>-0.35707116788262228</v>
      </c>
    </row>
    <row r="57" spans="1:7" s="9" customFormat="1" ht="16.5" customHeight="1" x14ac:dyDescent="0.25">
      <c r="A57" s="52" t="s">
        <v>31</v>
      </c>
      <c r="B57" s="53">
        <v>116023.35932</v>
      </c>
      <c r="C57" s="63">
        <f>IF(OR(109786.29127="",116023.35932=""),"-",116023.35932/109786.29127*100)</f>
        <v>105.68109914074886</v>
      </c>
      <c r="D57" s="53">
        <f>IF(109786.29127="","-",109786.29127/4798692.63363*100)</f>
        <v>2.287837535177816</v>
      </c>
      <c r="E57" s="53">
        <f>IF(116023.35932="","-",116023.35932/4325623.55461*100)</f>
        <v>2.6822343150122019</v>
      </c>
      <c r="F57" s="63">
        <f>IF(OR(4718168.92486="",107954.23718="",109786.29127=""),"-",(109786.29127-107954.23718)/4718168.92486*100)</f>
        <v>3.8829768903502475E-2</v>
      </c>
      <c r="G57" s="63">
        <f>IF(OR(4798692.63363="",116023.35932="",109786.29127=""),"-",(116023.35932-109786.29127)/4798692.63363*100)</f>
        <v>0.1299743185527166</v>
      </c>
    </row>
    <row r="58" spans="1:7" s="9" customFormat="1" ht="16.5" customHeight="1" x14ac:dyDescent="0.25">
      <c r="A58" s="52" t="s">
        <v>203</v>
      </c>
      <c r="B58" s="53">
        <v>111654.80562</v>
      </c>
      <c r="C58" s="63">
        <f>IF(OR(123873.83907="",111654.80562=""),"-",111654.80562/123873.83907*100)</f>
        <v>90.135904770744105</v>
      </c>
      <c r="D58" s="53">
        <f>IF(123873.83907="","-",123873.83907/4798692.63363*100)</f>
        <v>2.5814080735630465</v>
      </c>
      <c r="E58" s="53">
        <f>IF(111654.80562="","-",111654.80562/4325623.55461*100)</f>
        <v>2.5812418535821209</v>
      </c>
      <c r="F58" s="63">
        <f>IF(OR(4718168.92486="",115501.16393="",123873.83907=""),"-",(123873.83907-115501.16393)/4718168.92486*100)</f>
        <v>0.1774560273983502</v>
      </c>
      <c r="G58" s="63">
        <f>IF(OR(4798692.63363="",111654.80562="",123873.83907=""),"-",(111654.80562-123873.83907)/4798692.63363*100)</f>
        <v>-0.25463255063195911</v>
      </c>
    </row>
    <row r="59" spans="1:7" s="9" customFormat="1" ht="16.5" customHeight="1" x14ac:dyDescent="0.25">
      <c r="A59" s="52" t="s">
        <v>32</v>
      </c>
      <c r="B59" s="53">
        <v>51956.95422</v>
      </c>
      <c r="C59" s="63">
        <f>IF(OR(78300.83732="",51956.95422=""),"-",51956.95422/78300.83732*100)</f>
        <v>66.355553782473891</v>
      </c>
      <c r="D59" s="53">
        <f>IF(78300.83732="","-",78300.83732/4798692.63363*100)</f>
        <v>1.6317118702551463</v>
      </c>
      <c r="E59" s="53">
        <f>IF(51956.95422="","-",51956.95422/4325623.55461*100)</f>
        <v>1.2011436863160982</v>
      </c>
      <c r="F59" s="63">
        <f>IF(OR(4718168.92486="",89704.22125="",78300.83732=""),"-",(78300.83732-89704.22125)/4718168.92486*100)</f>
        <v>-0.24169087863547328</v>
      </c>
      <c r="G59" s="63">
        <f>IF(OR(4798692.63363="",51956.95422="",78300.83732=""),"-",(51956.95422-78300.83732)/4798692.63363*100)</f>
        <v>-0.54898042261298186</v>
      </c>
    </row>
    <row r="60" spans="1:7" s="9" customFormat="1" ht="15.75" customHeight="1" x14ac:dyDescent="0.25">
      <c r="A60" s="52" t="s">
        <v>33</v>
      </c>
      <c r="B60" s="53">
        <v>137513.24515</v>
      </c>
      <c r="C60" s="63">
        <f>IF(OR(143945.98999="",137513.24515=""),"-",137513.24515/143945.98999*100)</f>
        <v>95.531139950166803</v>
      </c>
      <c r="D60" s="53">
        <f>IF(143945.98999="","-",143945.98999/4798692.63363*100)</f>
        <v>2.9996918114988995</v>
      </c>
      <c r="E60" s="53">
        <f>IF(137513.24515="","-",137513.24515/4325623.55461*100)</f>
        <v>3.1790386614537072</v>
      </c>
      <c r="F60" s="63">
        <f>IF(OR(4718168.92486="",138376.31651="",143945.98999=""),"-",(143945.98999-138376.31651)/4718168.92486*100)</f>
        <v>0.11804735202789003</v>
      </c>
      <c r="G60" s="63">
        <f>IF(OR(4798692.63363="",137513.24515="",143945.98999=""),"-",(137513.24515-143945.98999)/4798692.63363*100)</f>
        <v>-0.13405202898219198</v>
      </c>
    </row>
    <row r="61" spans="1:7" s="9" customFormat="1" ht="15" customHeight="1" x14ac:dyDescent="0.25">
      <c r="A61" s="38" t="s">
        <v>204</v>
      </c>
      <c r="B61" s="51">
        <v>1115568.97434</v>
      </c>
      <c r="C61" s="62">
        <f>IF(1162420.92431="","-",1115568.97434/1162420.92431*100)</f>
        <v>95.969450567331222</v>
      </c>
      <c r="D61" s="51">
        <f>IF(1162420.92431="","-",1162420.92431/4798692.63363*100)</f>
        <v>24.223700350457321</v>
      </c>
      <c r="E61" s="51">
        <f>IF(1115568.97434="","-",1115568.97434/4325623.55461*100)</f>
        <v>25.789784068266663</v>
      </c>
      <c r="F61" s="62">
        <f>IF(4718168.92486="","-",(1162420.92431-1135276.93042)/4718168.92486*100)</f>
        <v>0.57530780101955004</v>
      </c>
      <c r="G61" s="62">
        <f>IF(4798692.63363="","-",(1115568.97434-1162420.92431)/4798692.63363*100)</f>
        <v>-0.97634821704674424</v>
      </c>
    </row>
    <row r="62" spans="1:7" s="9" customFormat="1" ht="25.5" x14ac:dyDescent="0.25">
      <c r="A62" s="52" t="s">
        <v>205</v>
      </c>
      <c r="B62" s="53">
        <v>16706.54621</v>
      </c>
      <c r="C62" s="63">
        <f>IF(OR(17117.89784="",16706.54621=""),"-",16706.54621/17117.89784*100)</f>
        <v>97.596950082043477</v>
      </c>
      <c r="D62" s="53">
        <f>IF(17117.89784="","-",17117.89784/4798692.63363*100)</f>
        <v>0.35672003078578224</v>
      </c>
      <c r="E62" s="53">
        <f>IF(16706.54621="","-",16706.54621/4325623.55461*100)</f>
        <v>0.38622284161078069</v>
      </c>
      <c r="F62" s="63">
        <f>IF(OR(4718168.92486="",20760.21548="",17117.89784=""),"-",(17117.89784-20760.21548)/4718168.92486*100)</f>
        <v>-7.7197694656684523E-2</v>
      </c>
      <c r="G62" s="63">
        <f>IF(OR(4798692.63363="",16706.54621="",17117.89784=""),"-",(16706.54621-17117.89784)/4798692.63363*100)</f>
        <v>-8.5721604071322156E-3</v>
      </c>
    </row>
    <row r="63" spans="1:7" s="9" customFormat="1" ht="25.5" x14ac:dyDescent="0.25">
      <c r="A63" s="52" t="s">
        <v>206</v>
      </c>
      <c r="B63" s="53">
        <v>132068.61374</v>
      </c>
      <c r="C63" s="63">
        <f>IF(OR(164825.30566="",132068.61374=""),"-",132068.61374/164825.30566*100)</f>
        <v>80.126418216648005</v>
      </c>
      <c r="D63" s="53">
        <f>IF(164825.30566="","-",164825.30566/4798692.63363*100)</f>
        <v>3.4347960630959795</v>
      </c>
      <c r="E63" s="53">
        <f>IF(132068.61374="","-",132068.61374/4325623.55461*100)</f>
        <v>3.0531693771467676</v>
      </c>
      <c r="F63" s="63">
        <f>IF(OR(4718168.92486="",183150.73649="",164825.30566=""),"-",(164825.30566-183150.73649)/4718168.92486*100)</f>
        <v>-0.38840132945311534</v>
      </c>
      <c r="G63" s="63">
        <f>IF(OR(4798692.63363="",132068.61374="",164825.30566=""),"-",(132068.61374-164825.30566)/4798692.63363*100)</f>
        <v>-0.68261700469073416</v>
      </c>
    </row>
    <row r="64" spans="1:7" s="9" customFormat="1" ht="27" customHeight="1" x14ac:dyDescent="0.25">
      <c r="A64" s="52" t="s">
        <v>207</v>
      </c>
      <c r="B64" s="53">
        <v>11716.76722</v>
      </c>
      <c r="C64" s="63">
        <f>IF(OR(8893.13307="",11716.76722=""),"-",11716.76722/8893.13307*100)</f>
        <v>131.75072415733007</v>
      </c>
      <c r="D64" s="53">
        <f>IF(8893.13307="","-",8893.13307/4798692.63363*100)</f>
        <v>0.18532408197340064</v>
      </c>
      <c r="E64" s="53">
        <f>IF(11716.76722="","-",11716.76722/4325623.55461*100)</f>
        <v>0.27086886022508699</v>
      </c>
      <c r="F64" s="63">
        <f>IF(OR(4718168.92486="",11937.02644="",8893.13307=""),"-",(8893.13307-11937.02644)/4718168.92486*100)</f>
        <v>-6.4514293966071168E-2</v>
      </c>
      <c r="G64" s="63">
        <f>IF(OR(4798692.63363="",11716.76722="",8893.13307=""),"-",(11716.76722-8893.13307)/4798692.63363*100)</f>
        <v>5.8841738064478712E-2</v>
      </c>
    </row>
    <row r="65" spans="1:7" s="9" customFormat="1" ht="38.25" x14ac:dyDescent="0.25">
      <c r="A65" s="52" t="s">
        <v>208</v>
      </c>
      <c r="B65" s="53">
        <v>166412.36004</v>
      </c>
      <c r="C65" s="63">
        <f>IF(OR(159595.1104="",166412.36004=""),"-",166412.36004/159595.1104*100)</f>
        <v>104.27159054115984</v>
      </c>
      <c r="D65" s="53">
        <f>IF(159595.1104="","-",159595.1104/4798692.63363*100)</f>
        <v>3.3258039758898525</v>
      </c>
      <c r="E65" s="53">
        <f>IF(166412.36004="","-",166412.36004/4325623.55461*100)</f>
        <v>3.8471299672540233</v>
      </c>
      <c r="F65" s="63">
        <f>IF(OR(4718168.92486="",146215.51524="",159595.1104=""),"-",(159595.1104-146215.51524)/4718168.92486*100)</f>
        <v>0.28357600952994716</v>
      </c>
      <c r="G65" s="63">
        <f>IF(OR(4798692.63363="",166412.36004="",159595.1104=""),"-",(166412.36004-159595.1104)/4798692.63363*100)</f>
        <v>0.14206472805162862</v>
      </c>
    </row>
    <row r="66" spans="1:7" s="9" customFormat="1" ht="25.5" x14ac:dyDescent="0.25">
      <c r="A66" s="52" t="s">
        <v>209</v>
      </c>
      <c r="B66" s="53">
        <v>44416.416599999997</v>
      </c>
      <c r="C66" s="63">
        <f>IF(OR(36429.58648="",44416.4166=""),"-",44416.4166/36429.58648*100)</f>
        <v>121.92402080760594</v>
      </c>
      <c r="D66" s="53">
        <f>IF(36429.58648="","-",36429.58648/4798692.63363*100)</f>
        <v>0.75915648826298376</v>
      </c>
      <c r="E66" s="53">
        <f>IF(44416.4166="","-",44416.4166/4325623.55461*100)</f>
        <v>1.0268211285437343</v>
      </c>
      <c r="F66" s="63">
        <f>IF(OR(4718168.92486="",44823.51662="",36429.58648=""),"-",(36429.58648-44823.51662)/4718168.92486*100)</f>
        <v>-0.17790651995888582</v>
      </c>
      <c r="G66" s="63">
        <f>IF(OR(4798692.63363="",44416.4166="",36429.58648=""),"-",(44416.4166-36429.58648)/4798692.63363*100)</f>
        <v>0.16643762644906709</v>
      </c>
    </row>
    <row r="67" spans="1:7" s="9" customFormat="1" ht="38.25" x14ac:dyDescent="0.25">
      <c r="A67" s="52" t="s">
        <v>210</v>
      </c>
      <c r="B67" s="53">
        <v>129843.78009</v>
      </c>
      <c r="C67" s="63">
        <f>IF(OR(130826.56958="",129843.78009=""),"-",129843.78009/130826.56958*100)</f>
        <v>99.24878448379782</v>
      </c>
      <c r="D67" s="53">
        <f>IF(130826.56958="","-",130826.56958/4798692.63363*100)</f>
        <v>2.7262960887127177</v>
      </c>
      <c r="E67" s="53">
        <f>IF(129843.78009="","-",129843.78009/4325623.55461*100)</f>
        <v>3.001735552129126</v>
      </c>
      <c r="F67" s="63">
        <f>IF(OR(4718168.92486="",119376.89844="",130826.56958=""),"-",(130826.56958-119376.89844)/4718168.92486*100)</f>
        <v>0.24267192044930297</v>
      </c>
      <c r="G67" s="63">
        <f>IF(OR(4798692.63363="",129843.78009="",130826.56958=""),"-",(129843.78009-130826.56958)/4798692.63363*100)</f>
        <v>-2.0480359236022969E-2</v>
      </c>
    </row>
    <row r="68" spans="1:7" s="9" customFormat="1" ht="51" x14ac:dyDescent="0.25">
      <c r="A68" s="52" t="s">
        <v>211</v>
      </c>
      <c r="B68" s="53">
        <v>330024.64410999999</v>
      </c>
      <c r="C68" s="63">
        <f>IF(OR(364846.90823="",330024.64411=""),"-",330024.64411/364846.90823*100)</f>
        <v>90.455650483942705</v>
      </c>
      <c r="D68" s="53">
        <f>IF(364846.90823="","-",364846.90823/4798692.63363*100)</f>
        <v>7.6030480817440766</v>
      </c>
      <c r="E68" s="53">
        <f>IF(330024.64411="","-",330024.64411/4325623.55461*100)</f>
        <v>7.6295276263298213</v>
      </c>
      <c r="F68" s="63">
        <f>IF(OR(4718168.92486="",355960.0415="",364846.90823=""),"-",(364846.90823-355960.0415)/4718168.92486*100)</f>
        <v>0.1883541448288375</v>
      </c>
      <c r="G68" s="63">
        <f>IF(OR(4798692.63363="",330024.64411="",364846.90823=""),"-",(330024.64411-364846.90823)/4798692.63363*100)</f>
        <v>-0.72566148279554421</v>
      </c>
    </row>
    <row r="69" spans="1:7" s="9" customFormat="1" ht="25.5" x14ac:dyDescent="0.25">
      <c r="A69" s="52" t="s">
        <v>212</v>
      </c>
      <c r="B69" s="53">
        <v>232000.60251999999</v>
      </c>
      <c r="C69" s="63">
        <f>IF(OR(271437.90976="",232000.60252=""),"-",232000.60252/271437.90976*100)</f>
        <v>85.47096561608889</v>
      </c>
      <c r="D69" s="53">
        <f>IF(271437.90976="","-",271437.90976/4798692.63363*100)</f>
        <v>5.6564971021006851</v>
      </c>
      <c r="E69" s="53">
        <f>IF(232000.60252="","-",232000.60252/4325623.55461*100)</f>
        <v>5.3634025150604501</v>
      </c>
      <c r="F69" s="63">
        <f>IF(OR(4718168.92486="",249273.36614="",271437.90976=""),"-",(271437.90976-249273.36614)/4718168.92486*100)</f>
        <v>0.46977003097992498</v>
      </c>
      <c r="G69" s="63">
        <f>IF(OR(4798692.63363="",232000.60252="",271437.90976=""),"-",(232000.60252-271437.90976)/4798692.63363*100)</f>
        <v>-0.82183440888914439</v>
      </c>
    </row>
    <row r="70" spans="1:7" s="9" customFormat="1" x14ac:dyDescent="0.25">
      <c r="A70" s="52" t="s">
        <v>34</v>
      </c>
      <c r="B70" s="53">
        <v>52379.24381</v>
      </c>
      <c r="C70" s="63" t="s">
        <v>291</v>
      </c>
      <c r="D70" s="53">
        <f>IF(8448.50329="","-",8448.50329/4798692.63363*100)</f>
        <v>0.17605843789184472</v>
      </c>
      <c r="E70" s="53">
        <f>IF(52379.24381="","-",52379.24381/4325623.55461*100)</f>
        <v>1.2109061999668747</v>
      </c>
      <c r="F70" s="63">
        <f>IF(OR(4718168.92486="",3779.61407="",8448.50329=""),"-",(8448.50329-3779.61407)/4718168.92486*100)</f>
        <v>9.895553326629862E-2</v>
      </c>
      <c r="G70" s="63">
        <f>IF(OR(4798692.63363="",52379.24381="",8448.50329=""),"-",(52379.24381-8448.50329)/4798692.63363*100)</f>
        <v>0.91547310640665747</v>
      </c>
    </row>
    <row r="71" spans="1:7" s="9" customFormat="1" x14ac:dyDescent="0.25">
      <c r="A71" s="38" t="s">
        <v>35</v>
      </c>
      <c r="B71" s="51">
        <v>469395.95701999997</v>
      </c>
      <c r="C71" s="62">
        <f>IF(521947.16383="","-",469395.95702/521947.16383*100)</f>
        <v>89.931699901502654</v>
      </c>
      <c r="D71" s="51">
        <f>IF(521947.16383="","-",521947.16383/4798692.63363*100)</f>
        <v>10.876861755472966</v>
      </c>
      <c r="E71" s="51">
        <f>IF(469395.95702="","-",469395.95702/4325623.55461*100)</f>
        <v>10.851521199059148</v>
      </c>
      <c r="F71" s="62">
        <f>IF(4718168.92486="","-",(521947.16383-484099.11554)/4718168.92486*100)</f>
        <v>0.80217662599104589</v>
      </c>
      <c r="G71" s="62">
        <f>IF(4798692.63363="","-",(469395.95702-521947.16383)/4798692.63363*100)</f>
        <v>-1.0951150828397052</v>
      </c>
    </row>
    <row r="72" spans="1:7" s="9" customFormat="1" ht="38.25" x14ac:dyDescent="0.25">
      <c r="A72" s="52" t="s">
        <v>238</v>
      </c>
      <c r="B72" s="53">
        <v>42941.006659999999</v>
      </c>
      <c r="C72" s="63">
        <f>IF(OR(41523.25682="",42941.00666=""),"-",42941.00666/41523.25682*100)</f>
        <v>103.41435125415579</v>
      </c>
      <c r="D72" s="53">
        <f>IF(41523.25682="","-",41523.25682/4798692.63363*100)</f>
        <v>0.86530353140349991</v>
      </c>
      <c r="E72" s="53">
        <f>IF(42941.00666="","-",42941.00666/4325623.55461*100)</f>
        <v>0.99271252151001343</v>
      </c>
      <c r="F72" s="63">
        <f>IF(OR(4718168.92486="",36449.64268="",41523.25682=""),"-",(41523.25682-36449.64268)/4718168.92486*100)</f>
        <v>0.10753354152428005</v>
      </c>
      <c r="G72" s="63">
        <f>IF(OR(4798692.63363="",42941.00666="",41523.25682=""),"-",(42941.00666-41523.25682)/4798692.63363*100)</f>
        <v>2.9544501976729677E-2</v>
      </c>
    </row>
    <row r="73" spans="1:7" x14ac:dyDescent="0.25">
      <c r="A73" s="52" t="s">
        <v>213</v>
      </c>
      <c r="B73" s="53">
        <v>43490.507689999999</v>
      </c>
      <c r="C73" s="63">
        <f>IF(OR(47193.8972="",43490.50769=""),"-",43490.50769/47193.8972*100)</f>
        <v>92.152821170276226</v>
      </c>
      <c r="D73" s="53">
        <f>IF(47193.8972="","-",47193.8972/4798692.63363*100)</f>
        <v>0.98347405852289171</v>
      </c>
      <c r="E73" s="53">
        <f>IF(43490.50769="","-",43490.50769/4325623.55461*100)</f>
        <v>1.0054159161319141</v>
      </c>
      <c r="F73" s="63">
        <f>IF(OR(4718168.92486="",42924.09117="",47193.8972=""),"-",(47193.8972-42924.09117)/4718168.92486*100)</f>
        <v>9.0497099573998319E-2</v>
      </c>
      <c r="G73" s="63">
        <f>IF(OR(4798692.63363="",43490.50769="",47193.8972=""),"-",(43490.50769-47193.8972)/4798692.63363*100)</f>
        <v>-7.7174968116233561E-2</v>
      </c>
    </row>
    <row r="74" spans="1:7" x14ac:dyDescent="0.25">
      <c r="A74" s="52" t="s">
        <v>214</v>
      </c>
      <c r="B74" s="53">
        <v>7270.6579099999999</v>
      </c>
      <c r="C74" s="63">
        <f>IF(OR(7767.9615="",7270.65791=""),"-",7270.65791/7767.9615*100)</f>
        <v>93.598016802735174</v>
      </c>
      <c r="D74" s="53">
        <f>IF(7767.9615="","-",7767.9615/4798692.63363*100)</f>
        <v>0.16187662126056779</v>
      </c>
      <c r="E74" s="53">
        <f>IF(7270.65791="","-",7270.65791/4325623.55461*100)</f>
        <v>0.16808346399564411</v>
      </c>
      <c r="F74" s="63">
        <f>IF(OR(4718168.92486="",7007.05186="",7767.9615=""),"-",(7767.9615-7007.05186)/4718168.92486*100)</f>
        <v>1.6127223338502635E-2</v>
      </c>
      <c r="G74" s="63">
        <f>IF(OR(4798692.63363="",7270.65791="",7767.9615=""),"-",(7270.65791-7767.9615)/4798692.63363*100)</f>
        <v>-1.0363314093401563E-2</v>
      </c>
    </row>
    <row r="75" spans="1:7" x14ac:dyDescent="0.25">
      <c r="A75" s="52" t="s">
        <v>215</v>
      </c>
      <c r="B75" s="53">
        <v>110517.83981999999</v>
      </c>
      <c r="C75" s="63">
        <f>IF(OR(120180.80818="",110517.83982=""),"-",110517.83982/120180.80818*100)</f>
        <v>91.959641055560752</v>
      </c>
      <c r="D75" s="53">
        <f>IF(120180.80818="","-",120180.80818/4798692.63363*100)</f>
        <v>2.5044489688244216</v>
      </c>
      <c r="E75" s="53">
        <f>IF(110517.83982="","-",110517.83982/4325623.55461*100)</f>
        <v>2.5549574165374711</v>
      </c>
      <c r="F75" s="63">
        <f>IF(OR(4718168.92486="",122050.48269="",120180.80818=""),"-",(120180.80818-122050.48269)/4718168.92486*100)</f>
        <v>-3.9627121024613916E-2</v>
      </c>
      <c r="G75" s="63">
        <f>IF(OR(4798692.63363="",110517.83982="",120180.80818=""),"-",(110517.83982-120180.80818)/4798692.63363*100)</f>
        <v>-0.20136668667379104</v>
      </c>
    </row>
    <row r="76" spans="1:7" x14ac:dyDescent="0.25">
      <c r="A76" s="52" t="s">
        <v>216</v>
      </c>
      <c r="B76" s="53">
        <v>32634.05588</v>
      </c>
      <c r="C76" s="63">
        <f>IF(OR(40521.09561="",32634.05588=""),"-",32634.05588/40521.09561*100)</f>
        <v>80.535966238648314</v>
      </c>
      <c r="D76" s="53">
        <f>IF(40521.09561="","-",40521.09561/4798692.63363*100)</f>
        <v>0.84441948471593531</v>
      </c>
      <c r="E76" s="53">
        <f>IF(32634.05588="","-",32634.05588/4325623.55461*100)</f>
        <v>0.75443587422720837</v>
      </c>
      <c r="F76" s="63">
        <f>IF(OR(4718168.92486="",35830.9337="",40521.09561=""),"-",(40521.09561-35830.9337)/4718168.92486*100)</f>
        <v>9.9406400760421371E-2</v>
      </c>
      <c r="G76" s="63">
        <f>IF(OR(4798692.63363="",32634.05588="",40521.09561=""),"-",(32634.05588-40521.09561)/4798692.63363*100)</f>
        <v>-0.16435809359254164</v>
      </c>
    </row>
    <row r="77" spans="1:7" ht="25.5" x14ac:dyDescent="0.25">
      <c r="A77" s="52" t="s">
        <v>239</v>
      </c>
      <c r="B77" s="53">
        <v>46895.478419999999</v>
      </c>
      <c r="C77" s="63">
        <f>IF(OR(53317.00179="",46895.47842=""),"-",46895.47842/53317.00179*100)</f>
        <v>87.955955596879775</v>
      </c>
      <c r="D77" s="53">
        <f>IF(53317.00179="","-",53317.00179/4798692.63363*100)</f>
        <v>1.111073491482784</v>
      </c>
      <c r="E77" s="53">
        <f>IF(46895.47842="","-",46895.47842/4325623.55461*100)</f>
        <v>1.0841322141872818</v>
      </c>
      <c r="F77" s="63">
        <f>IF(OR(4718168.92486="",48793.39856="",53317.00179=""),"-",(53317.00179-48793.39856)/4718168.92486*100)</f>
        <v>9.587624568008081E-2</v>
      </c>
      <c r="G77" s="63">
        <f>IF(OR(4798692.63363="",46895.47842="",53317.00179=""),"-",(46895.47842-53317.00179)/4798692.63363*100)</f>
        <v>-0.13381818466548467</v>
      </c>
    </row>
    <row r="78" spans="1:7" ht="25.5" x14ac:dyDescent="0.25">
      <c r="A78" s="52" t="s">
        <v>217</v>
      </c>
      <c r="B78" s="53">
        <v>8470.3350100000007</v>
      </c>
      <c r="C78" s="63">
        <f>IF(OR(9500.19031="",8470.33501=""),"-",8470.33501/9500.19031*100)</f>
        <v>89.159635055773961</v>
      </c>
      <c r="D78" s="53">
        <f>IF(9500.19031="","-",9500.19031/4798692.63363*100)</f>
        <v>0.19797455339025377</v>
      </c>
      <c r="E78" s="53">
        <f>IF(8470.33501="","-",8470.33501/4325623.55461*100)</f>
        <v>0.19581766427577374</v>
      </c>
      <c r="F78" s="63">
        <f>IF(OR(4718168.92486="",10099.4669="",9500.19031=""),"-",(9500.19031-10099.4669)/4718168.92486*100)</f>
        <v>-1.2701465325720224E-2</v>
      </c>
      <c r="G78" s="63">
        <f>IF(OR(4798692.63363="",8470.33501="",9500.19031=""),"-",(8470.33501-9500.19031)/4798692.63363*100)</f>
        <v>-2.1461164084205137E-2</v>
      </c>
    </row>
    <row r="79" spans="1:7" x14ac:dyDescent="0.25">
      <c r="A79" s="52" t="s">
        <v>36</v>
      </c>
      <c r="B79" s="53">
        <v>177176.07563000001</v>
      </c>
      <c r="C79" s="63">
        <f>IF(OR(201942.95242="",177176.07563=""),"-",177176.07563/201942.95242*100)</f>
        <v>87.735706300614069</v>
      </c>
      <c r="D79" s="53">
        <f>IF(201942.95242="","-",201942.95242/4798692.63363*100)</f>
        <v>4.2082910458726133</v>
      </c>
      <c r="E79" s="53">
        <f>IF(177176.07563="","-",177176.07563/4325623.55461*100)</f>
        <v>4.0959661281938411</v>
      </c>
      <c r="F79" s="63">
        <f>IF(OR(4718168.92486="",180944.04798="",201942.95242=""),"-",(201942.95242-180944.04798)/4718168.92486*100)</f>
        <v>0.4450647014640976</v>
      </c>
      <c r="G79" s="63">
        <f>IF(OR(4798692.63363="",177176.07563="",201942.95242=""),"-",(177176.07563-201942.95242)/4798692.63363*100)</f>
        <v>-0.51611717359077702</v>
      </c>
    </row>
    <row r="80" spans="1:7" ht="25.5" x14ac:dyDescent="0.25">
      <c r="A80" s="59" t="s">
        <v>218</v>
      </c>
      <c r="B80" s="60">
        <v>190.07736</v>
      </c>
      <c r="C80" s="64">
        <f>IF(146.58465="","-",190.07736/146.58465*100)</f>
        <v>129.67071245181538</v>
      </c>
      <c r="D80" s="60">
        <f>IF(146.58465="","-",146.58465/4798692.63363*100)</f>
        <v>3.054678871755851E-3</v>
      </c>
      <c r="E80" s="60">
        <f>IF(190.07736="","-",190.07736/4325623.55461*100)</f>
        <v>4.3942187201525314E-3</v>
      </c>
      <c r="F80" s="64">
        <f>IF(4718168.92486="","-",(146.58465-419.97399)/4718168.92486*100)</f>
        <v>-5.7943949094216071E-3</v>
      </c>
      <c r="G80" s="64">
        <f>IF(4798692.63363="","-",(190.07736-146.58465)/4798692.63363*100)</f>
        <v>9.0634498436503665E-4</v>
      </c>
    </row>
    <row r="81" spans="1:1" x14ac:dyDescent="0.25">
      <c r="A81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1"/>
  <sheetViews>
    <sheetView zoomScale="99" zoomScaleNormal="99" workbookViewId="0">
      <selection activeCell="D26" sqref="D26"/>
    </sheetView>
  </sheetViews>
  <sheetFormatPr defaultRowHeight="15.75" x14ac:dyDescent="0.25"/>
  <cols>
    <col min="1" max="1" width="42.625" customWidth="1"/>
    <col min="2" max="2" width="14.75" customWidth="1"/>
    <col min="3" max="3" width="14.25" customWidth="1"/>
    <col min="4" max="4" width="15" customWidth="1"/>
    <col min="6" max="6" width="12.125" bestFit="1" customWidth="1"/>
  </cols>
  <sheetData>
    <row r="1" spans="1:6" x14ac:dyDescent="0.25">
      <c r="A1" s="103" t="s">
        <v>162</v>
      </c>
      <c r="B1" s="103"/>
      <c r="C1" s="103"/>
      <c r="D1" s="103"/>
    </row>
    <row r="2" spans="1:6" x14ac:dyDescent="0.25">
      <c r="A2" s="103" t="s">
        <v>23</v>
      </c>
      <c r="B2" s="103"/>
      <c r="C2" s="103"/>
      <c r="D2" s="103"/>
    </row>
    <row r="3" spans="1:6" x14ac:dyDescent="0.25">
      <c r="A3" s="5"/>
    </row>
    <row r="4" spans="1:6" ht="22.5" customHeight="1" x14ac:dyDescent="0.25">
      <c r="A4" s="104"/>
      <c r="B4" s="108" t="s">
        <v>275</v>
      </c>
      <c r="C4" s="109"/>
      <c r="D4" s="115" t="s">
        <v>277</v>
      </c>
      <c r="E4" s="1"/>
    </row>
    <row r="5" spans="1:6" ht="34.5" customHeight="1" x14ac:dyDescent="0.25">
      <c r="A5" s="105"/>
      <c r="B5" s="21">
        <v>2019</v>
      </c>
      <c r="C5" s="20">
        <v>2020</v>
      </c>
      <c r="D5" s="120"/>
      <c r="E5" s="1"/>
    </row>
    <row r="6" spans="1:6" ht="14.25" customHeight="1" x14ac:dyDescent="0.25">
      <c r="A6" s="49" t="s">
        <v>140</v>
      </c>
      <c r="B6" s="50">
        <v>-2504372.50074</v>
      </c>
      <c r="C6" s="50">
        <v>-2320708.0203499999</v>
      </c>
      <c r="D6" s="61">
        <f>IF(-2504372.50074="","-",-2320708.02035/-2504372.50074*100)</f>
        <v>92.66624751965891</v>
      </c>
      <c r="F6" s="18"/>
    </row>
    <row r="7" spans="1:6" x14ac:dyDescent="0.25">
      <c r="A7" s="41" t="s">
        <v>138</v>
      </c>
      <c r="B7" s="67"/>
      <c r="C7" s="40"/>
      <c r="D7" s="68"/>
    </row>
    <row r="8" spans="1:6" x14ac:dyDescent="0.25">
      <c r="A8" s="38" t="s">
        <v>219</v>
      </c>
      <c r="B8" s="51">
        <v>29060.77579</v>
      </c>
      <c r="C8" s="51">
        <v>-76160.484030000007</v>
      </c>
      <c r="D8" s="62" t="s">
        <v>22</v>
      </c>
    </row>
    <row r="9" spans="1:6" x14ac:dyDescent="0.25">
      <c r="A9" s="52" t="s">
        <v>24</v>
      </c>
      <c r="B9" s="53">
        <v>4497.3513999999996</v>
      </c>
      <c r="C9" s="53">
        <v>3812.07305</v>
      </c>
      <c r="D9" s="63">
        <f>IF(OR(4497.3514="",3812.07305="",4497.3514=0,3812.07305=0),"-",3812.07305/4497.3514*100)</f>
        <v>84.76262384122353</v>
      </c>
    </row>
    <row r="10" spans="1:6" x14ac:dyDescent="0.25">
      <c r="A10" s="52" t="s">
        <v>220</v>
      </c>
      <c r="B10" s="53">
        <v>-32069.181189999999</v>
      </c>
      <c r="C10" s="53">
        <v>-29049.465</v>
      </c>
      <c r="D10" s="63">
        <f>IF(OR(-32069.18119="",-29049.465="",-32069.18119=0,-29049.465=0),"-",-29049.465/-32069.18119*100)</f>
        <v>90.583744024803408</v>
      </c>
    </row>
    <row r="11" spans="1:6" x14ac:dyDescent="0.25">
      <c r="A11" s="52" t="s">
        <v>221</v>
      </c>
      <c r="B11" s="53">
        <v>-40501.81624</v>
      </c>
      <c r="C11" s="53">
        <v>-55457.268409999997</v>
      </c>
      <c r="D11" s="63">
        <f>IF(OR(-40501.81624="",-55457.26841="",-40501.81624=0,-55457.26841=0),"-",-55457.26841/-40501.81624*100)</f>
        <v>136.92538646015052</v>
      </c>
    </row>
    <row r="12" spans="1:6" x14ac:dyDescent="0.25">
      <c r="A12" s="52" t="s">
        <v>222</v>
      </c>
      <c r="B12" s="53">
        <v>-46499.383370000003</v>
      </c>
      <c r="C12" s="53">
        <v>-46503.126329999999</v>
      </c>
      <c r="D12" s="63">
        <f>IF(OR(-46499.38337="",-46503.12633="",-46499.38337=0,-46503.12633=0),"-",-46503.12633/-46499.38337*100)</f>
        <v>100.00804948308715</v>
      </c>
    </row>
    <row r="13" spans="1:6" x14ac:dyDescent="0.25">
      <c r="A13" s="52" t="s">
        <v>223</v>
      </c>
      <c r="B13" s="53">
        <v>145253.77142999999</v>
      </c>
      <c r="C13" s="53">
        <v>45777.702660000003</v>
      </c>
      <c r="D13" s="63">
        <f>IF(OR(145253.77143="",45777.70266="",145253.77143=0,45777.70266=0),"-",45777.70266/145253.77143*100)</f>
        <v>31.51567233630211</v>
      </c>
    </row>
    <row r="14" spans="1:6" x14ac:dyDescent="0.25">
      <c r="A14" s="52" t="s">
        <v>224</v>
      </c>
      <c r="B14" s="53">
        <v>97842.663480000003</v>
      </c>
      <c r="C14" s="53">
        <v>114652.83374</v>
      </c>
      <c r="D14" s="63">
        <f>IF(OR(97842.66348="",114652.83374="",97842.66348=0,114652.83374=0),"-",114652.83374/97842.66348*100)</f>
        <v>117.18081832822975</v>
      </c>
    </row>
    <row r="15" spans="1:6" x14ac:dyDescent="0.25">
      <c r="A15" s="52" t="s">
        <v>181</v>
      </c>
      <c r="B15" s="53">
        <v>4387.7366300000003</v>
      </c>
      <c r="C15" s="53">
        <v>2495.8471</v>
      </c>
      <c r="D15" s="63">
        <f>IF(OR(4387.73663="",2495.8471="",4387.73663=0,2495.8471=0),"-",2495.8471/4387.73663*100)</f>
        <v>56.882336167018302</v>
      </c>
    </row>
    <row r="16" spans="1:6" x14ac:dyDescent="0.25">
      <c r="A16" s="52" t="s">
        <v>225</v>
      </c>
      <c r="B16" s="53">
        <v>-34607.476280000003</v>
      </c>
      <c r="C16" s="53">
        <v>-38235.406719999999</v>
      </c>
      <c r="D16" s="63">
        <f>IF(OR(-34607.47628="",-38235.40672="",-34607.47628=0,-38235.40672=0),"-",-38235.40672/-34607.47628*100)</f>
        <v>110.48308293458722</v>
      </c>
    </row>
    <row r="17" spans="1:4" x14ac:dyDescent="0.25">
      <c r="A17" s="52" t="s">
        <v>182</v>
      </c>
      <c r="B17" s="53">
        <v>-7900.9263300000002</v>
      </c>
      <c r="C17" s="53">
        <v>-10632.328799999999</v>
      </c>
      <c r="D17" s="63">
        <f>IF(OR(-7900.92633="",-10632.3288="",-7900.92633=0,-10632.3288=0),"-",-10632.3288/-7900.92633*100)</f>
        <v>134.57066115942379</v>
      </c>
    </row>
    <row r="18" spans="1:4" x14ac:dyDescent="0.25">
      <c r="A18" s="52" t="s">
        <v>226</v>
      </c>
      <c r="B18" s="53">
        <v>-61341.963739999999</v>
      </c>
      <c r="C18" s="53">
        <v>-63021.34532</v>
      </c>
      <c r="D18" s="63">
        <f>IF(OR(-61341.96374="",-63021.34532="",-61341.96374=0,-63021.34532=0),"-",-63021.34532/-61341.96374*100)</f>
        <v>102.73773690571453</v>
      </c>
    </row>
    <row r="19" spans="1:4" x14ac:dyDescent="0.25">
      <c r="A19" s="38" t="s">
        <v>227</v>
      </c>
      <c r="B19" s="51">
        <v>77230.362460000004</v>
      </c>
      <c r="C19" s="51">
        <v>66259.529009999998</v>
      </c>
      <c r="D19" s="62">
        <f>IF(77230.36246="","-",66259.52901/77230.36246*100)</f>
        <v>85.794662745908852</v>
      </c>
    </row>
    <row r="20" spans="1:4" x14ac:dyDescent="0.25">
      <c r="A20" s="52" t="s">
        <v>228</v>
      </c>
      <c r="B20" s="53">
        <v>107383.41527</v>
      </c>
      <c r="C20" s="53">
        <v>99540.370410000003</v>
      </c>
      <c r="D20" s="63">
        <f>IF(OR(107383.41527="",99540.37041="",107383.41527=0,99540.37041=0),"-",99540.37041/107383.41527*100)</f>
        <v>92.696223303868848</v>
      </c>
    </row>
    <row r="21" spans="1:4" x14ac:dyDescent="0.25">
      <c r="A21" s="52" t="s">
        <v>229</v>
      </c>
      <c r="B21" s="53">
        <v>-30153.052810000001</v>
      </c>
      <c r="C21" s="53">
        <v>-33280.841399999998</v>
      </c>
      <c r="D21" s="63">
        <f>IF(OR(-30153.05281="",-33280.8414="",-30153.05281=0,-33280.8414=0),"-",-33280.8414/-30153.05281*100)</f>
        <v>110.37304119655404</v>
      </c>
    </row>
    <row r="22" spans="1:4" x14ac:dyDescent="0.25">
      <c r="A22" s="38" t="s">
        <v>25</v>
      </c>
      <c r="B22" s="51">
        <v>120693.48897000001</v>
      </c>
      <c r="C22" s="51">
        <v>74382.715160000007</v>
      </c>
      <c r="D22" s="62">
        <f>IF(120693.48897="","-",74382.71516/120693.48897*100)</f>
        <v>61.629434855834539</v>
      </c>
    </row>
    <row r="23" spans="1:4" x14ac:dyDescent="0.25">
      <c r="A23" s="52" t="s">
        <v>236</v>
      </c>
      <c r="B23" s="53">
        <v>1297.53343</v>
      </c>
      <c r="C23" s="53">
        <v>1027.27684</v>
      </c>
      <c r="D23" s="63">
        <f>IF(OR(1297.53343="",1027.27684="",1297.53343=0,1027.27684=0),"-",1027.27684/1297.53343*100)</f>
        <v>79.171512367122602</v>
      </c>
    </row>
    <row r="24" spans="1:4" x14ac:dyDescent="0.25">
      <c r="A24" s="52" t="s">
        <v>230</v>
      </c>
      <c r="B24" s="53">
        <v>182717.40397000001</v>
      </c>
      <c r="C24" s="53">
        <v>124615.0441</v>
      </c>
      <c r="D24" s="63">
        <f>IF(OR(182717.40397="",124615.0441="",182717.40397=0,124615.0441=0),"-",124615.0441/182717.40397*100)</f>
        <v>68.200971222456886</v>
      </c>
    </row>
    <row r="25" spans="1:4" x14ac:dyDescent="0.25">
      <c r="A25" s="52" t="s">
        <v>231</v>
      </c>
      <c r="B25" s="53">
        <v>-1311.3239599999999</v>
      </c>
      <c r="C25" s="53">
        <v>-1153.0523700000001</v>
      </c>
      <c r="D25" s="63">
        <f>IF(OR(-1311.32396="",-1153.05237="",-1311.32396=0,-1153.05237=0),"-",-1153.05237/-1311.32396*100)</f>
        <v>87.93039745876375</v>
      </c>
    </row>
    <row r="26" spans="1:4" x14ac:dyDescent="0.25">
      <c r="A26" s="52" t="s">
        <v>232</v>
      </c>
      <c r="B26" s="53">
        <v>-32030.41777</v>
      </c>
      <c r="C26" s="53">
        <v>-31666.09834</v>
      </c>
      <c r="D26" s="63">
        <f>IF(OR(-32030.41777="",-31666.09834="",-32030.41777=0,-31666.09834=0),"-",-31666.09834/-32030.41777*100)</f>
        <v>98.862582959060802</v>
      </c>
    </row>
    <row r="27" spans="1:4" x14ac:dyDescent="0.25">
      <c r="A27" s="52" t="s">
        <v>183</v>
      </c>
      <c r="B27" s="53">
        <v>1867.0032799999999</v>
      </c>
      <c r="C27" s="53">
        <v>1231.9419399999999</v>
      </c>
      <c r="D27" s="63">
        <f>IF(OR(1867.00328="",1231.94194="",1867.00328=0,1231.94194=0),"-",1231.94194/1867.00328*100)</f>
        <v>65.984990663755013</v>
      </c>
    </row>
    <row r="28" spans="1:4" ht="25.5" x14ac:dyDescent="0.25">
      <c r="A28" s="52" t="s">
        <v>184</v>
      </c>
      <c r="B28" s="53">
        <v>-6261.9176699999998</v>
      </c>
      <c r="C28" s="53">
        <v>-6204.7653700000001</v>
      </c>
      <c r="D28" s="63">
        <f>IF(OR(-6261.91767="",-6204.76537="",-6261.91767=0,-6204.76537=0),"-",-6204.76537/-6261.91767*100)</f>
        <v>99.087303554407796</v>
      </c>
    </row>
    <row r="29" spans="1:4" ht="25.5" x14ac:dyDescent="0.25">
      <c r="A29" s="52" t="s">
        <v>185</v>
      </c>
      <c r="B29" s="53">
        <v>-12990.098410000001</v>
      </c>
      <c r="C29" s="53">
        <v>-7169.0198300000002</v>
      </c>
      <c r="D29" s="63">
        <f>IF(OR(-12990.09841="",-7169.01983="",-12990.09841=0,-7169.01983=0),"-",-7169.01983/-12990.09841*100)</f>
        <v>55.188341179010358</v>
      </c>
    </row>
    <row r="30" spans="1:4" x14ac:dyDescent="0.25">
      <c r="A30" s="52" t="s">
        <v>186</v>
      </c>
      <c r="B30" s="53">
        <v>12688.81748</v>
      </c>
      <c r="C30" s="53">
        <v>18144.488539999998</v>
      </c>
      <c r="D30" s="63">
        <f>IF(OR(12688.81748="",18144.48854="",12688.81748=0,18144.48854=0),"-",18144.48854/12688.81748*100)</f>
        <v>142.99589830651419</v>
      </c>
    </row>
    <row r="31" spans="1:4" x14ac:dyDescent="0.25">
      <c r="A31" s="52" t="s">
        <v>187</v>
      </c>
      <c r="B31" s="53">
        <v>-25283.51138</v>
      </c>
      <c r="C31" s="53">
        <v>-24443.100350000001</v>
      </c>
      <c r="D31" s="63">
        <f>IF(OR(-25283.51138="",-24443.10035="",-25283.51138=0,-24443.10035=0),"-",-24443.10035/-25283.51138*100)</f>
        <v>96.67605097500504</v>
      </c>
    </row>
    <row r="32" spans="1:4" x14ac:dyDescent="0.25">
      <c r="A32" s="38" t="s">
        <v>188</v>
      </c>
      <c r="B32" s="51">
        <v>-736101.59819000005</v>
      </c>
      <c r="C32" s="51">
        <v>-459561.20389</v>
      </c>
      <c r="D32" s="62">
        <f>IF(-736101.59819="","-",-459561.20389/-736101.59819*100)</f>
        <v>62.431762819156333</v>
      </c>
    </row>
    <row r="33" spans="1:4" x14ac:dyDescent="0.25">
      <c r="A33" s="52" t="s">
        <v>233</v>
      </c>
      <c r="B33" s="53">
        <v>-16413.698380000002</v>
      </c>
      <c r="C33" s="53">
        <v>-12673.20595</v>
      </c>
      <c r="D33" s="63">
        <f>IF(OR(-16413.69838="",-12673.20595="",-16413.69838=0,-12673.20595=0),"-",-12673.20595/-16413.69838*100)</f>
        <v>77.211154101882542</v>
      </c>
    </row>
    <row r="34" spans="1:4" x14ac:dyDescent="0.25">
      <c r="A34" s="52" t="s">
        <v>189</v>
      </c>
      <c r="B34" s="53">
        <v>-480010.61605999997</v>
      </c>
      <c r="C34" s="53">
        <v>-296970.16308999999</v>
      </c>
      <c r="D34" s="63">
        <f>IF(OR(-480010.61606="",-296970.16309="",-480010.61606=0,-296970.16309=0),"-",-296970.16309/-480010.61606*100)</f>
        <v>61.867415668340044</v>
      </c>
    </row>
    <row r="35" spans="1:4" x14ac:dyDescent="0.25">
      <c r="A35" s="52" t="s">
        <v>234</v>
      </c>
      <c r="B35" s="53">
        <v>-205488.49142999999</v>
      </c>
      <c r="C35" s="53">
        <v>-141230.51401000001</v>
      </c>
      <c r="D35" s="63">
        <f>IF(OR(-205488.49143="",-141230.51401="",-205488.49143=0,-141230.51401=0),"-",-141230.51401/-205488.49143*100)</f>
        <v>68.729159977365669</v>
      </c>
    </row>
    <row r="36" spans="1:4" x14ac:dyDescent="0.25">
      <c r="A36" s="52" t="s">
        <v>190</v>
      </c>
      <c r="B36" s="53">
        <v>-34188.79232</v>
      </c>
      <c r="C36" s="53">
        <v>-8687.3208400000003</v>
      </c>
      <c r="D36" s="63">
        <f>IF(OR(-34188.79232="",-8687.32084="",-34188.79232=0,-8687.32084=0),"-",-8687.32084/-34188.79232*100)</f>
        <v>25.409849984429052</v>
      </c>
    </row>
    <row r="37" spans="1:4" x14ac:dyDescent="0.25">
      <c r="A37" s="38" t="s">
        <v>191</v>
      </c>
      <c r="B37" s="51">
        <v>38853.385179999997</v>
      </c>
      <c r="C37" s="51">
        <v>70563.060939999996</v>
      </c>
      <c r="D37" s="62" t="s">
        <v>243</v>
      </c>
    </row>
    <row r="38" spans="1:4" x14ac:dyDescent="0.25">
      <c r="A38" s="52" t="s">
        <v>237</v>
      </c>
      <c r="B38" s="53">
        <v>-1366.7311099999999</v>
      </c>
      <c r="C38" s="53">
        <v>-1442.15319</v>
      </c>
      <c r="D38" s="63">
        <f>IF(OR(-1366.73111="",-1442.15319="",-1366.73111=0,-1442.15319=0),"-",-1442.15319/-1366.73111*100)</f>
        <v>105.51842856639153</v>
      </c>
    </row>
    <row r="39" spans="1:4" ht="14.25" customHeight="1" x14ac:dyDescent="0.25">
      <c r="A39" s="52" t="s">
        <v>192</v>
      </c>
      <c r="B39" s="53">
        <v>42383.717060000003</v>
      </c>
      <c r="C39" s="53">
        <v>73380.870899999994</v>
      </c>
      <c r="D39" s="63" t="s">
        <v>104</v>
      </c>
    </row>
    <row r="40" spans="1:4" ht="38.25" x14ac:dyDescent="0.25">
      <c r="A40" s="52" t="s">
        <v>235</v>
      </c>
      <c r="B40" s="53">
        <v>-2163.60077</v>
      </c>
      <c r="C40" s="53">
        <v>-1375.6567700000001</v>
      </c>
      <c r="D40" s="63">
        <f>IF(OR(-2163.60077="",-1375.65677="",-2163.60077=0,-1375.65677=0),"-",-1375.65677/-2163.60077*100)</f>
        <v>63.581821058420132</v>
      </c>
    </row>
    <row r="41" spans="1:4" ht="15" customHeight="1" x14ac:dyDescent="0.25">
      <c r="A41" s="38" t="s">
        <v>193</v>
      </c>
      <c r="B41" s="51">
        <v>-586404.99017</v>
      </c>
      <c r="C41" s="51">
        <v>-573429.13595999999</v>
      </c>
      <c r="D41" s="62">
        <f>IF(-586404.99017="","-",-573429.13596/-586404.99017*100)</f>
        <v>97.787219681360781</v>
      </c>
    </row>
    <row r="42" spans="1:4" x14ac:dyDescent="0.25">
      <c r="A42" s="52" t="s">
        <v>26</v>
      </c>
      <c r="B42" s="53">
        <v>567.35603000000003</v>
      </c>
      <c r="C42" s="53">
        <v>30423.315419999999</v>
      </c>
      <c r="D42" s="63" t="s">
        <v>292</v>
      </c>
    </row>
    <row r="43" spans="1:4" x14ac:dyDescent="0.25">
      <c r="A43" s="52" t="s">
        <v>27</v>
      </c>
      <c r="B43" s="53">
        <v>-14068.70002</v>
      </c>
      <c r="C43" s="53">
        <v>-11922.38391</v>
      </c>
      <c r="D43" s="63">
        <f>IF(OR(-14068.70002="",-11922.38391="",-14068.70002=0,-11922.38391=0),"-",-11922.38391/-14068.70002*100)</f>
        <v>84.744033869875636</v>
      </c>
    </row>
    <row r="44" spans="1:4" x14ac:dyDescent="0.25">
      <c r="A44" s="52" t="s">
        <v>194</v>
      </c>
      <c r="B44" s="53">
        <v>-32392.749619999999</v>
      </c>
      <c r="C44" s="53">
        <v>-35620.966820000001</v>
      </c>
      <c r="D44" s="63">
        <f>IF(OR(-32392.74962="",-35620.96682="",-32392.74962=0,-35620.96682=0),"-",-35620.96682/-32392.74962*100)</f>
        <v>109.96586346596162</v>
      </c>
    </row>
    <row r="45" spans="1:4" x14ac:dyDescent="0.25">
      <c r="A45" s="52" t="s">
        <v>195</v>
      </c>
      <c r="B45" s="53">
        <v>-140771.12880999999</v>
      </c>
      <c r="C45" s="53">
        <v>-156112.32467</v>
      </c>
      <c r="D45" s="63">
        <f>IF(OR(-140771.12881="",-156112.32467="",-140771.12881=0,-156112.32467=0),"-",-156112.32467/-140771.12881*100)</f>
        <v>110.89797033645029</v>
      </c>
    </row>
    <row r="46" spans="1:4" ht="25.5" x14ac:dyDescent="0.25">
      <c r="A46" s="52" t="s">
        <v>196</v>
      </c>
      <c r="B46" s="53">
        <v>-80530.276110000006</v>
      </c>
      <c r="C46" s="53">
        <v>-82051.061589999998</v>
      </c>
      <c r="D46" s="63">
        <f>IF(OR(-80530.27611="",-82051.06159="",-80530.27611=0,-82051.06159=0),"-",-82051.06159/-80530.27611*100)</f>
        <v>101.88846425650233</v>
      </c>
    </row>
    <row r="47" spans="1:4" x14ac:dyDescent="0.25">
      <c r="A47" s="52" t="s">
        <v>197</v>
      </c>
      <c r="B47" s="53">
        <v>-74661.611739999993</v>
      </c>
      <c r="C47" s="53">
        <v>-67352.457200000004</v>
      </c>
      <c r="D47" s="63">
        <f>IF(OR(-74661.61174="",-67352.4572="",-74661.61174=0,-67352.4572=0),"-",-67352.4572/-74661.61174*100)</f>
        <v>90.210290978644778</v>
      </c>
    </row>
    <row r="48" spans="1:4" x14ac:dyDescent="0.25">
      <c r="A48" s="52" t="s">
        <v>28</v>
      </c>
      <c r="B48" s="53">
        <v>-43158.188289999998</v>
      </c>
      <c r="C48" s="53">
        <v>-37320.445269999997</v>
      </c>
      <c r="D48" s="63">
        <f>IF(OR(-43158.18829="",-37320.44527="",-43158.18829=0,-37320.44527=0),"-",-37320.44527/-43158.18829*100)</f>
        <v>86.473614275062985</v>
      </c>
    </row>
    <row r="49" spans="1:4" x14ac:dyDescent="0.25">
      <c r="A49" s="52" t="s">
        <v>29</v>
      </c>
      <c r="B49" s="53">
        <v>-93941.326360000006</v>
      </c>
      <c r="C49" s="53">
        <v>-97661.879910000003</v>
      </c>
      <c r="D49" s="63">
        <f>IF(OR(-93941.32636="",-97661.87991="",-93941.32636=0,-97661.87991=0),"-",-97661.87991/-93941.32636*100)</f>
        <v>103.96050779157851</v>
      </c>
    </row>
    <row r="50" spans="1:4" x14ac:dyDescent="0.25">
      <c r="A50" s="52" t="s">
        <v>198</v>
      </c>
      <c r="B50" s="53">
        <v>-107448.36525</v>
      </c>
      <c r="C50" s="53">
        <v>-115810.93201</v>
      </c>
      <c r="D50" s="63">
        <f>IF(OR(-107448.36525="",-115810.93201="",-107448.36525=0,-115810.93201=0),"-",-115810.93201/-107448.36525*100)</f>
        <v>107.78287016330385</v>
      </c>
    </row>
    <row r="51" spans="1:4" ht="25.5" x14ac:dyDescent="0.25">
      <c r="A51" s="38" t="s">
        <v>241</v>
      </c>
      <c r="B51" s="51">
        <v>-803016.12934999994</v>
      </c>
      <c r="C51" s="51">
        <v>-722467.64347999997</v>
      </c>
      <c r="D51" s="62">
        <f>IF(-803016.12935="","-",-722467.64348/-803016.12935*100)</f>
        <v>89.969256789997516</v>
      </c>
    </row>
    <row r="52" spans="1:4" x14ac:dyDescent="0.25">
      <c r="A52" s="52" t="s">
        <v>199</v>
      </c>
      <c r="B52" s="53">
        <v>-45114.396529999998</v>
      </c>
      <c r="C52" s="53">
        <v>-37803.447099999998</v>
      </c>
      <c r="D52" s="63">
        <f>IF(OR(-45114.39653="",-37803.4471="",-45114.39653=0,-37803.4471=0),"-",-37803.4471/-45114.39653*100)</f>
        <v>83.794642082514841</v>
      </c>
    </row>
    <row r="53" spans="1:4" x14ac:dyDescent="0.25">
      <c r="A53" s="52" t="s">
        <v>30</v>
      </c>
      <c r="B53" s="53">
        <v>-54916.358970000001</v>
      </c>
      <c r="C53" s="53">
        <v>-47475.170559999897</v>
      </c>
      <c r="D53" s="63">
        <f>IF(OR(-54916.35897="",-47475.1705599999="",-54916.35897=0,-47475.1705599999=0),"-",-47475.1705599999/-54916.35897*100)</f>
        <v>86.449960358688173</v>
      </c>
    </row>
    <row r="54" spans="1:4" x14ac:dyDescent="0.25">
      <c r="A54" s="52" t="s">
        <v>200</v>
      </c>
      <c r="B54" s="53">
        <v>-59984.076639999999</v>
      </c>
      <c r="C54" s="53">
        <v>-58229.946230000001</v>
      </c>
      <c r="D54" s="63">
        <f>IF(OR(-59984.07664="",-58229.94623="",-59984.07664=0,-58229.94623=0),"-",-58229.94623/-59984.07664*100)</f>
        <v>97.075673231535148</v>
      </c>
    </row>
    <row r="55" spans="1:4" ht="25.5" x14ac:dyDescent="0.25">
      <c r="A55" s="52" t="s">
        <v>201</v>
      </c>
      <c r="B55" s="53">
        <v>-78156.665009999997</v>
      </c>
      <c r="C55" s="53">
        <v>-68470.780889999995</v>
      </c>
      <c r="D55" s="63">
        <f>IF(OR(-78156.66501="",-68470.78089="",-78156.66501=0,-68470.78089=0),"-",-68470.78089/-78156.66501*100)</f>
        <v>87.607091322588147</v>
      </c>
    </row>
    <row r="56" spans="1:4" ht="25.5" x14ac:dyDescent="0.25">
      <c r="A56" s="52" t="s">
        <v>202</v>
      </c>
      <c r="B56" s="53">
        <v>-174696.57277999999</v>
      </c>
      <c r="C56" s="53">
        <v>-160818.20342000001</v>
      </c>
      <c r="D56" s="63">
        <f>IF(OR(-174696.57278="",-160818.20342="",-174696.57278=0,-160818.20342=0),"-",-160818.20342/-174696.57278*100)</f>
        <v>92.055728890871052</v>
      </c>
    </row>
    <row r="57" spans="1:4" x14ac:dyDescent="0.25">
      <c r="A57" s="52" t="s">
        <v>31</v>
      </c>
      <c r="B57" s="53">
        <v>-68707.717080000002</v>
      </c>
      <c r="C57" s="53">
        <v>-73447.209789999994</v>
      </c>
      <c r="D57" s="63">
        <f>IF(OR(-68707.71708="",-73447.20979="",-68707.71708=0,-73447.20979=0),"-",-73447.20979/-68707.71708*100)</f>
        <v>106.89805004652032</v>
      </c>
    </row>
    <row r="58" spans="1:4" x14ac:dyDescent="0.25">
      <c r="A58" s="52" t="s">
        <v>203</v>
      </c>
      <c r="B58" s="53">
        <v>-120609.56092</v>
      </c>
      <c r="C58" s="53">
        <v>-110571.37121</v>
      </c>
      <c r="D58" s="63">
        <f>IF(OR(-120609.56092="",-110571.37121="",-120609.56092=0,-110571.37121=0),"-",-110571.37121/-120609.56092*100)</f>
        <v>91.677119431138379</v>
      </c>
    </row>
    <row r="59" spans="1:4" x14ac:dyDescent="0.25">
      <c r="A59" s="52" t="s">
        <v>32</v>
      </c>
      <c r="B59" s="53">
        <v>-76916.119879999998</v>
      </c>
      <c r="C59" s="53">
        <v>-50070.747710000003</v>
      </c>
      <c r="D59" s="63">
        <f>IF(OR(-76916.11988="",-50070.74771="",-76916.11988=0,-50070.74771=0),"-",-50070.74771/-76916.11988*100)</f>
        <v>65.097859574972631</v>
      </c>
    </row>
    <row r="60" spans="1:4" x14ac:dyDescent="0.25">
      <c r="A60" s="52" t="s">
        <v>33</v>
      </c>
      <c r="B60" s="53">
        <v>-123914.66154</v>
      </c>
      <c r="C60" s="53">
        <v>-115580.76657000001</v>
      </c>
      <c r="D60" s="63">
        <f>IF(OR(-123914.66154="",-115580.76657="",-123914.66154=0,-115580.76657=0),"-",-115580.76657/-123914.66154*100)</f>
        <v>93.274488372540333</v>
      </c>
    </row>
    <row r="61" spans="1:4" x14ac:dyDescent="0.25">
      <c r="A61" s="38" t="s">
        <v>204</v>
      </c>
      <c r="B61" s="51">
        <v>-611981.34383000003</v>
      </c>
      <c r="C61" s="51">
        <v>-652483.68259999994</v>
      </c>
      <c r="D61" s="62">
        <f>IF(-611981.34383="","-",-652483.6826/-611981.34383*100)</f>
        <v>106.61823096052596</v>
      </c>
    </row>
    <row r="62" spans="1:4" x14ac:dyDescent="0.25">
      <c r="A62" s="52" t="s">
        <v>205</v>
      </c>
      <c r="B62" s="53">
        <v>-13390.90465</v>
      </c>
      <c r="C62" s="53">
        <v>-15149.007</v>
      </c>
      <c r="D62" s="63">
        <f>IF(OR(-13390.90465="",-15149.007="",-13390.90465=0,-15149.007=0),"-",-15149.007/-13390.90465*100)</f>
        <v>113.12907825088575</v>
      </c>
    </row>
    <row r="63" spans="1:4" x14ac:dyDescent="0.25">
      <c r="A63" s="52" t="s">
        <v>206</v>
      </c>
      <c r="B63" s="53">
        <v>-153072.68578</v>
      </c>
      <c r="C63" s="53">
        <v>-120612.14294999999</v>
      </c>
      <c r="D63" s="63">
        <f>IF(OR(-153072.68578="",-120612.14295="",-153072.68578=0,-120612.14295=0),"-",-120612.14295/-153072.68578*100)</f>
        <v>78.794033262960355</v>
      </c>
    </row>
    <row r="64" spans="1:4" x14ac:dyDescent="0.25">
      <c r="A64" s="52" t="s">
        <v>207</v>
      </c>
      <c r="B64" s="53">
        <v>-6603.45651</v>
      </c>
      <c r="C64" s="53">
        <v>-9115.7548700000007</v>
      </c>
      <c r="D64" s="63">
        <f>IF(OR(-6603.45651="",-9115.75487="",-6603.45651=0,-9115.75487=0),"-",-9115.75487/-6603.45651*100)</f>
        <v>138.0452018756462</v>
      </c>
    </row>
    <row r="65" spans="1:4" ht="25.5" x14ac:dyDescent="0.25">
      <c r="A65" s="52" t="s">
        <v>208</v>
      </c>
      <c r="B65" s="53">
        <v>-139790.63821</v>
      </c>
      <c r="C65" s="53">
        <v>-149280.63292999999</v>
      </c>
      <c r="D65" s="63">
        <f>IF(OR(-139790.63821="",-149280.63293="",-139790.63821=0,-149280.63293=0),"-",-149280.63293/-139790.63821*100)</f>
        <v>106.78871978947808</v>
      </c>
    </row>
    <row r="66" spans="1:4" ht="25.5" x14ac:dyDescent="0.25">
      <c r="A66" s="52" t="s">
        <v>209</v>
      </c>
      <c r="B66" s="53">
        <v>-35370.362939999999</v>
      </c>
      <c r="C66" s="53">
        <v>-42771.014179999998</v>
      </c>
      <c r="D66" s="63">
        <f>IF(OR(-35370.36294="",-42771.01418="",-35370.36294=0,-42771.01418=0),"-",-42771.01418/-35370.36294*100)</f>
        <v>120.92331156610969</v>
      </c>
    </row>
    <row r="67" spans="1:4" ht="25.5" x14ac:dyDescent="0.25">
      <c r="A67" s="52" t="s">
        <v>210</v>
      </c>
      <c r="B67" s="53">
        <v>-128063.78899</v>
      </c>
      <c r="C67" s="53">
        <v>-127798.85954</v>
      </c>
      <c r="D67" s="63">
        <f>IF(OR(-128063.78899="",-127798.85954="",-128063.78899=0,-127798.85954=0),"-",-127798.85954/-128063.78899*100)</f>
        <v>99.79312696267273</v>
      </c>
    </row>
    <row r="68" spans="1:4" ht="26.25" customHeight="1" x14ac:dyDescent="0.25">
      <c r="A68" s="52" t="s">
        <v>211</v>
      </c>
      <c r="B68" s="53">
        <v>121355.20196000001</v>
      </c>
      <c r="C68" s="53">
        <v>56650.843309999997</v>
      </c>
      <c r="D68" s="63">
        <f>IF(OR(121355.20196="",56650.84331="",121355.20196=0,56650.84331=0),"-",56650.84331/121355.20196*100)</f>
        <v>46.68184172992661</v>
      </c>
    </row>
    <row r="69" spans="1:4" x14ac:dyDescent="0.25">
      <c r="A69" s="52" t="s">
        <v>212</v>
      </c>
      <c r="B69" s="53">
        <v>-251582.18612</v>
      </c>
      <c r="C69" s="53">
        <v>-210454.01284000001</v>
      </c>
      <c r="D69" s="63">
        <f>IF(OR(-251582.18612="",-210454.01284="",-251582.18612=0,-210454.01284=0),"-",-210454.01284/-251582.18612*100)</f>
        <v>83.652191788975628</v>
      </c>
    </row>
    <row r="70" spans="1:4" x14ac:dyDescent="0.25">
      <c r="A70" s="52" t="s">
        <v>34</v>
      </c>
      <c r="B70" s="53">
        <v>-5462.5225899999996</v>
      </c>
      <c r="C70" s="53">
        <v>-33953.101600000002</v>
      </c>
      <c r="D70" s="63" t="s">
        <v>291</v>
      </c>
    </row>
    <row r="71" spans="1:4" x14ac:dyDescent="0.25">
      <c r="A71" s="38" t="s">
        <v>35</v>
      </c>
      <c r="B71" s="51">
        <v>-33370.741770000001</v>
      </c>
      <c r="C71" s="51">
        <v>-48183.865519999999</v>
      </c>
      <c r="D71" s="62">
        <f>IF(-33370.74177="","-",-48183.86552/-33370.74177*100)</f>
        <v>144.38955493436728</v>
      </c>
    </row>
    <row r="72" spans="1:4" ht="25.5" x14ac:dyDescent="0.25">
      <c r="A72" s="52" t="s">
        <v>238</v>
      </c>
      <c r="B72" s="53">
        <v>-34145.331839999999</v>
      </c>
      <c r="C72" s="53">
        <v>-33892.1921</v>
      </c>
      <c r="D72" s="63">
        <f>IF(OR(-34145.33184="",-33892.1921="",-34145.33184=0,-33892.1921=0),"-",-33892.1921/-34145.33184*100)</f>
        <v>99.258640269814407</v>
      </c>
    </row>
    <row r="73" spans="1:4" x14ac:dyDescent="0.25">
      <c r="A73" s="52" t="s">
        <v>213</v>
      </c>
      <c r="B73" s="53">
        <v>75332.584489999994</v>
      </c>
      <c r="C73" s="53">
        <v>67267.261129999999</v>
      </c>
      <c r="D73" s="63">
        <f>IF(OR(75332.58449="",67267.26113="",75332.58449=0,67267.26113=0),"-",67267.26113/75332.58449*100)</f>
        <v>89.293712123907525</v>
      </c>
    </row>
    <row r="74" spans="1:4" x14ac:dyDescent="0.25">
      <c r="A74" s="52" t="s">
        <v>214</v>
      </c>
      <c r="B74" s="53">
        <v>3666.91284</v>
      </c>
      <c r="C74" s="53">
        <v>3137.0034700000001</v>
      </c>
      <c r="D74" s="63">
        <f>IF(OR(3666.91284="",3137.00347="",3666.91284=0,3137.00347=0),"-",3137.00347/3666.91284*100)</f>
        <v>85.548896493541974</v>
      </c>
    </row>
    <row r="75" spans="1:4" x14ac:dyDescent="0.25">
      <c r="A75" s="52" t="s">
        <v>215</v>
      </c>
      <c r="B75" s="53">
        <v>115385.46389</v>
      </c>
      <c r="C75" s="53">
        <v>88193.834140000006</v>
      </c>
      <c r="D75" s="63">
        <f>IF(OR(115385.46389="",88193.83414="",115385.46389=0,88193.83414=0),"-",88193.83414/115385.46389*100)</f>
        <v>76.434094180249176</v>
      </c>
    </row>
    <row r="76" spans="1:4" x14ac:dyDescent="0.25">
      <c r="A76" s="52" t="s">
        <v>216</v>
      </c>
      <c r="B76" s="53">
        <v>-10777.360489999999</v>
      </c>
      <c r="C76" s="53">
        <v>-4497.3743999999997</v>
      </c>
      <c r="D76" s="63">
        <f>IF(OR(-10777.36049="",-4497.3744="",-10777.36049=0,-4497.3744=0),"-",-4497.3744/-10777.36049*100)</f>
        <v>41.729831754008629</v>
      </c>
    </row>
    <row r="77" spans="1:4" x14ac:dyDescent="0.25">
      <c r="A77" s="52" t="s">
        <v>239</v>
      </c>
      <c r="B77" s="53">
        <v>-30410.56133</v>
      </c>
      <c r="C77" s="53">
        <v>-29493.00735</v>
      </c>
      <c r="D77" s="63">
        <f>IF(OR(-30410.56133="",-29493.00735="",-30410.56133=0,-29493.00735=0),"-",-29493.00735/-30410.56133*100)</f>
        <v>96.982778548402422</v>
      </c>
    </row>
    <row r="78" spans="1:4" ht="25.5" x14ac:dyDescent="0.25">
      <c r="A78" s="52" t="s">
        <v>217</v>
      </c>
      <c r="B78" s="53">
        <v>-6030.45892</v>
      </c>
      <c r="C78" s="53">
        <v>-6076.2559000000001</v>
      </c>
      <c r="D78" s="63">
        <f>IF(OR(-6030.45892="",-6076.2559="",-6030.45892=0,-6076.2559=0),"-",-6076.2559/-6030.45892*100)</f>
        <v>100.75942777502578</v>
      </c>
    </row>
    <row r="79" spans="1:4" x14ac:dyDescent="0.25">
      <c r="A79" s="52" t="s">
        <v>36</v>
      </c>
      <c r="B79" s="55">
        <v>-146391.99041</v>
      </c>
      <c r="C79" s="55">
        <v>-132823.13451</v>
      </c>
      <c r="D79" s="63">
        <f>IF(OR(-146391.99041="",-132823.13451="",-146391.99041=0,-132823.13451=0),"-",-132823.13451/-146391.99041*100)</f>
        <v>90.731148704244205</v>
      </c>
    </row>
    <row r="80" spans="1:4" x14ac:dyDescent="0.25">
      <c r="A80" s="59" t="s">
        <v>218</v>
      </c>
      <c r="B80" s="60">
        <v>664.29016999999999</v>
      </c>
      <c r="C80" s="60">
        <v>372.69002</v>
      </c>
      <c r="D80" s="64">
        <f>IF(664.29017="","-",372.69002/664.29017*100)</f>
        <v>56.103497662775894</v>
      </c>
    </row>
    <row r="81" spans="1:1" x14ac:dyDescent="0.25">
      <c r="A81" s="26" t="s">
        <v>21</v>
      </c>
    </row>
  </sheetData>
  <mergeCells count="5">
    <mergeCell ref="A1:D1"/>
    <mergeCell ref="A2:D2"/>
    <mergeCell ref="A4:A5"/>
    <mergeCell ref="D4:D5"/>
    <mergeCell ref="B4:C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2020-12-11T07:09:51Z</cp:lastPrinted>
  <dcterms:created xsi:type="dcterms:W3CDTF">2016-09-01T07:59:47Z</dcterms:created>
  <dcterms:modified xsi:type="dcterms:W3CDTF">2020-12-11T09:27:51Z</dcterms:modified>
</cp:coreProperties>
</file>