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0" windowHeight="11760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52511" iterate="1"/>
</workbook>
</file>

<file path=xl/calcChain.xml><?xml version="1.0" encoding="utf-8"?>
<calcChain xmlns="http://schemas.openxmlformats.org/spreadsheetml/2006/main">
  <c r="D43" i="3" l="1"/>
  <c r="D42" i="3"/>
  <c r="D41" i="3"/>
  <c r="D37" i="3"/>
  <c r="D35" i="3"/>
  <c r="D34" i="3"/>
  <c r="D33" i="3"/>
  <c r="D32" i="3"/>
  <c r="D29" i="3"/>
  <c r="D26" i="3"/>
  <c r="D25" i="3"/>
  <c r="D24" i="3"/>
  <c r="D22" i="3"/>
  <c r="D21" i="3"/>
  <c r="D20" i="3"/>
  <c r="D19" i="3"/>
  <c r="D18" i="3"/>
  <c r="D17" i="3"/>
  <c r="D16" i="3"/>
  <c r="D14" i="3"/>
  <c r="D11" i="3"/>
  <c r="D9" i="3"/>
  <c r="D7" i="3"/>
  <c r="D6" i="3"/>
  <c r="G47" i="1" l="1"/>
  <c r="E79" i="4" l="1"/>
  <c r="E78" i="4"/>
  <c r="E74" i="4"/>
  <c r="E73" i="4"/>
  <c r="E72" i="4"/>
  <c r="E71" i="4"/>
  <c r="E69" i="4"/>
  <c r="E68" i="4"/>
  <c r="E66" i="4"/>
  <c r="E65" i="4"/>
  <c r="E64" i="4"/>
  <c r="E63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7" i="4"/>
  <c r="E36" i="4"/>
  <c r="E35" i="4"/>
  <c r="E32" i="4"/>
  <c r="E30" i="4"/>
  <c r="E28" i="4"/>
  <c r="E27" i="4"/>
  <c r="E25" i="4"/>
  <c r="E23" i="4"/>
  <c r="E22" i="4"/>
  <c r="E21" i="4"/>
  <c r="E20" i="4"/>
  <c r="E19" i="4"/>
  <c r="E18" i="4"/>
  <c r="E17" i="4"/>
  <c r="E15" i="4"/>
  <c r="E13" i="4"/>
  <c r="E11" i="4"/>
  <c r="E10" i="4"/>
  <c r="E8" i="4"/>
  <c r="E5" i="4"/>
  <c r="H79" i="6" l="1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H33" i="6"/>
  <c r="G33" i="6"/>
  <c r="F33" i="6"/>
  <c r="E33" i="6"/>
  <c r="H32" i="6"/>
  <c r="G32" i="6"/>
  <c r="F32" i="6"/>
  <c r="E32" i="6"/>
  <c r="D32" i="6"/>
  <c r="H31" i="6"/>
  <c r="G31" i="6"/>
  <c r="F31" i="6"/>
  <c r="E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H8" i="6"/>
  <c r="G8" i="6"/>
  <c r="F8" i="6"/>
  <c r="E8" i="6"/>
  <c r="D8" i="6"/>
  <c r="H7" i="6"/>
  <c r="G7" i="6"/>
  <c r="F7" i="6"/>
  <c r="E7" i="6"/>
  <c r="D7" i="6"/>
  <c r="H6" i="6"/>
  <c r="G6" i="6"/>
  <c r="D6" i="6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H67" i="5"/>
  <c r="G67" i="5"/>
  <c r="F67" i="5"/>
  <c r="E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H57" i="5"/>
  <c r="G57" i="5"/>
  <c r="F57" i="5"/>
  <c r="E57" i="5"/>
  <c r="D57" i="5"/>
  <c r="H56" i="5"/>
  <c r="G56" i="5"/>
  <c r="F56" i="5"/>
  <c r="E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H35" i="5"/>
  <c r="G35" i="5"/>
  <c r="F35" i="5"/>
  <c r="E35" i="5"/>
  <c r="D35" i="5"/>
  <c r="H34" i="5"/>
  <c r="G34" i="5"/>
  <c r="F34" i="5"/>
  <c r="E34" i="5"/>
  <c r="D34" i="5"/>
  <c r="H33" i="5"/>
  <c r="G33" i="5"/>
  <c r="F33" i="5"/>
  <c r="E33" i="5"/>
  <c r="D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H28" i="5"/>
  <c r="G28" i="5"/>
  <c r="F28" i="5"/>
  <c r="E28" i="5"/>
  <c r="D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H13" i="5"/>
  <c r="G13" i="5"/>
  <c r="F13" i="5"/>
  <c r="E13" i="5"/>
  <c r="D13" i="5"/>
  <c r="H12" i="5"/>
  <c r="G12" i="5"/>
  <c r="F12" i="5"/>
  <c r="E12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H6" i="5"/>
  <c r="G6" i="5"/>
  <c r="D6" i="5"/>
  <c r="E38" i="8" l="1"/>
  <c r="D38" i="8"/>
  <c r="E37" i="8"/>
  <c r="D37" i="8"/>
  <c r="E36" i="8"/>
  <c r="D36" i="8"/>
  <c r="E35" i="8"/>
  <c r="D35" i="8"/>
  <c r="E34" i="8"/>
  <c r="D34" i="8"/>
  <c r="E33" i="8"/>
  <c r="D33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3" i="7"/>
  <c r="E33" i="7"/>
  <c r="D34" i="7"/>
  <c r="E34" i="7"/>
  <c r="D35" i="7"/>
  <c r="E35" i="7"/>
  <c r="D36" i="7"/>
  <c r="E36" i="7"/>
  <c r="D37" i="7"/>
  <c r="E37" i="7"/>
  <c r="E38" i="7"/>
  <c r="D154" i="3" l="1"/>
  <c r="D152" i="3"/>
  <c r="D151" i="3"/>
  <c r="D144" i="3"/>
  <c r="D143" i="3"/>
  <c r="D141" i="3"/>
  <c r="D137" i="3"/>
  <c r="D135" i="3"/>
  <c r="D131" i="3"/>
  <c r="D126" i="3"/>
  <c r="D120" i="3"/>
  <c r="D119" i="3"/>
  <c r="D116" i="3"/>
  <c r="D115" i="3"/>
  <c r="D114" i="3"/>
  <c r="D110" i="3"/>
  <c r="D108" i="3"/>
  <c r="D105" i="3"/>
  <c r="D104" i="3"/>
  <c r="D102" i="3"/>
  <c r="D101" i="3"/>
  <c r="D100" i="3"/>
  <c r="D95" i="3"/>
  <c r="D94" i="3"/>
  <c r="D93" i="3"/>
  <c r="D92" i="3"/>
  <c r="D90" i="3"/>
  <c r="D88" i="3"/>
  <c r="D86" i="3"/>
  <c r="D83" i="3"/>
  <c r="D82" i="3"/>
  <c r="D81" i="3"/>
  <c r="D79" i="3"/>
  <c r="D76" i="3"/>
  <c r="D75" i="3"/>
  <c r="D74" i="3"/>
  <c r="D73" i="3"/>
  <c r="D72" i="3"/>
  <c r="D71" i="3"/>
  <c r="D68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8" i="3"/>
  <c r="D47" i="3"/>
  <c r="D46" i="3"/>
  <c r="D4" i="3"/>
  <c r="G122" i="2" l="1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C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122" i="1" l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G113" i="1"/>
  <c r="F113" i="1"/>
  <c r="E113" i="1"/>
  <c r="D113" i="1"/>
  <c r="C113" i="1"/>
  <c r="G112" i="1"/>
  <c r="F112" i="1"/>
  <c r="E112" i="1"/>
  <c r="D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C93" i="1"/>
  <c r="G92" i="1"/>
  <c r="F92" i="1"/>
  <c r="E92" i="1"/>
  <c r="D92" i="1"/>
  <c r="G91" i="1"/>
  <c r="F91" i="1"/>
  <c r="E91" i="1"/>
  <c r="D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C86" i="1"/>
  <c r="G85" i="1"/>
  <c r="F85" i="1"/>
  <c r="E85" i="1"/>
  <c r="D85" i="1"/>
  <c r="G84" i="1"/>
  <c r="F84" i="1"/>
  <c r="E84" i="1"/>
  <c r="D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G74" i="1"/>
  <c r="F74" i="1"/>
  <c r="E74" i="1"/>
  <c r="D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G50" i="1"/>
  <c r="F50" i="1"/>
  <c r="E50" i="1"/>
  <c r="D50" i="1"/>
  <c r="C50" i="1"/>
  <c r="G49" i="1"/>
  <c r="F49" i="1"/>
  <c r="E49" i="1"/>
  <c r="D49" i="1"/>
  <c r="G48" i="1"/>
  <c r="F48" i="1"/>
  <c r="E48" i="1"/>
  <c r="D48" i="1"/>
  <c r="F47" i="1"/>
  <c r="E47" i="1"/>
  <c r="D47" i="1"/>
  <c r="G46" i="1"/>
  <c r="F46" i="1"/>
  <c r="E46" i="1"/>
  <c r="D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<sst xmlns="http://schemas.openxmlformats.org/spreadsheetml/2006/main" count="1187" uniqueCount="424">
  <si>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</si>
  <si>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</si>
  <si>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</si>
  <si>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</si>
  <si>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</si>
  <si>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</si>
  <si>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</si>
  <si>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</si>
  <si>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</si>
  <si>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</si>
  <si>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</si>
  <si>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</si>
  <si>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</si>
  <si>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</si>
  <si>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</si>
  <si>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</si>
  <si>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</si>
  <si>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</si>
  <si>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</si>
  <si>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</si>
  <si>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</si>
  <si>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</si>
  <si>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</si>
  <si>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</si>
  <si>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</si>
  <si>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</si>
  <si>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</si>
  <si>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</si>
  <si>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</si>
  <si>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</si>
  <si>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</si>
  <si>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</si>
  <si>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</si>
  <si>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</si>
  <si>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</si>
  <si>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</si>
  <si>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</si>
  <si>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</si>
  <si>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</si>
  <si>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</si>
  <si>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</si>
  <si>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</si>
  <si>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</si>
  <si>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</si>
  <si>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</si>
  <si>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</si>
  <si>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</si>
  <si>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</si>
  <si>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</si>
  <si>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</si>
  <si>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</si>
  <si>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</si>
  <si>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</si>
  <si>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</si>
  <si>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</si>
  <si>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</si>
  <si>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</si>
  <si>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</si>
  <si>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</si>
  <si>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</si>
  <si>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</si>
  <si>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</si>
  <si>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</si>
  <si>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</si>
  <si>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</si>
  <si>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</si>
  <si>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</si>
  <si>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</si>
  <si>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</si>
  <si>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</si>
  <si>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</si>
  <si>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</si>
  <si>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</si>
  <si>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</si>
  <si>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</si>
  <si>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</si>
  <si>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</si>
  <si>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</si>
  <si>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</si>
  <si>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</si>
  <si>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</si>
  <si>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</si>
  <si>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</si>
  <si>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</si>
  <si>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</si>
  <si>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</si>
  <si>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</si>
  <si>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</si>
  <si>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</si>
  <si>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</si>
  <si>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</si>
  <si>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</si>
  <si>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</si>
  <si>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</si>
  <si>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</si>
  <si>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</si>
  <si>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</si>
  <si>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</si>
  <si>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</si>
  <si>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</si>
  <si>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</si>
  <si>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</si>
  <si>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</si>
  <si>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</si>
  <si>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</si>
  <si>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</si>
  <si>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</si>
  <si>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</si>
  <si>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</si>
  <si>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</si>
  <si>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</si>
  <si>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</si>
  <si>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</si>
  <si>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</si>
  <si>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</si>
  <si>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</si>
  <si>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</si>
  <si>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</si>
  <si>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</si>
  <si>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</si>
  <si>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</si>
  <si>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</si>
  <si>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</si>
  <si>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</si>
  <si>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</si>
  <si>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</si>
  <si>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</si>
  <si>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</si>
  <si>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</si>
  <si>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</si>
  <si>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Laos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</si>
  <si>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</si>
  <si>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</si>
  <si>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</si>
  <si>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</si>
  <si>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</si>
  <si>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</si>
  <si>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</si>
  <si>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</si>
  <si>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</si>
  <si>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</si>
  <si>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</si>
  <si>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</si>
  <si>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</si>
  <si>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</si>
  <si>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</si>
  <si>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</si>
  <si>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</si>
  <si>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</si>
  <si>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</si>
  <si>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</si>
  <si>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</si>
  <si>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</si>
  <si>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</si>
  <si>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</si>
  <si>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</si>
  <si>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</si>
  <si>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</si>
  <si>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</si>
  <si>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</si>
  <si>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</si>
  <si>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</si>
  <si>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</si>
  <si>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</si>
  <si>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</si>
  <si>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</si>
  <si>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</si>
  <si>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</si>
  <si>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</si>
  <si>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</si>
  <si>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</si>
  <si>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</si>
  <si>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</si>
  <si>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</si>
  <si>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</si>
  <si>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</si>
  <si>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</si>
  <si>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</si>
  <si>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</si>
  <si>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</si>
  <si>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</si>
  <si>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</si>
  <si>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</si>
  <si>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</si>
  <si>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</si>
  <si>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</si>
  <si>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</si>
  <si>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</si>
  <si>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</si>
  <si>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</si>
  <si>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</si>
  <si>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</si>
  <si>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</si>
  <si>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</si>
  <si>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</si>
  <si>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</si>
  <si>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</si>
  <si>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</si>
  <si>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</si>
  <si>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</si>
  <si>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</si>
  <si>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</si>
  <si>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</si>
  <si>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</si>
  <si>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</si>
  <si>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</si>
  <si>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</si>
  <si>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</si>
  <si>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</si>
  <si>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</si>
  <si>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</si>
  <si>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</si>
  <si>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</si>
  <si>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</si>
  <si>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</si>
  <si>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Libia</t>
  </si>
  <si>
    <t>Statul Palestina</t>
  </si>
  <si>
    <t>de 2,3 ori</t>
  </si>
  <si>
    <t>de 1,5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</si>
  <si>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</si>
  <si>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</si>
  <si>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</si>
  <si>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</si>
  <si>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</si>
  <si>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</si>
  <si>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</si>
  <si>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</si>
  <si>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</si>
  <si>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</si>
  <si>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</si>
  <si>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</si>
  <si>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</si>
  <si>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</si>
  <si>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</si>
  <si>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</si>
  <si>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</si>
  <si>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</si>
  <si>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</si>
  <si>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</si>
  <si>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</si>
  <si>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</si>
  <si>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</si>
  <si>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</si>
  <si>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</si>
  <si>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</si>
  <si>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</si>
  <si>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</si>
  <si>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</si>
  <si>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</si>
  <si>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</si>
  <si>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</si>
  <si>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</si>
  <si>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</si>
  <si>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</si>
  <si>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</si>
  <si>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</si>
  <si>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</si>
  <si>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</si>
  <si>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</si>
  <si>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</si>
  <si>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</si>
  <si>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</si>
  <si>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</si>
  <si>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</si>
  <si>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</si>
  <si>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</si>
  <si>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</si>
  <si>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</si>
  <si>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</si>
  <si>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</si>
  <si>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</si>
  <si>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</si>
  <si>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</si>
  <si>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</si>
  <si>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</si>
  <si>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</si>
  <si>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</si>
  <si>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</si>
  <si>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</si>
  <si>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</si>
  <si>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</si>
  <si>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</si>
  <si>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</si>
  <si>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</si>
  <si>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</si>
  <si>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</si>
  <si>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</si>
  <si>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</si>
  <si>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</si>
  <si>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</si>
  <si>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</si>
  <si>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</si>
  <si>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</si>
  <si>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</si>
  <si>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</si>
  <si>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</si>
  <si>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</si>
  <si>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</si>
  <si>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</si>
  <si>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</si>
  <si>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Sierra Leone</t>
  </si>
  <si>
    <t>-</t>
  </si>
  <si>
    <t>de 2,7 ori</t>
  </si>
  <si>
    <t>de 2,4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</si>
  <si>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</si>
  <si>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</si>
  <si>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</si>
  <si>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</si>
  <si>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</si>
  <si>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</si>
  <si>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</si>
  <si>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</si>
  <si>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de 4,2 ori</t>
  </si>
  <si>
    <t>Andorra</t>
  </si>
  <si>
    <t>Mauritius</t>
  </si>
  <si>
    <t>de 3,0 ori</t>
  </si>
  <si>
    <t>Celelalte țări ale lumii</t>
  </si>
  <si>
    <t>Trinidad Tobago</t>
  </si>
  <si>
    <t>Congo</t>
  </si>
  <si>
    <t>Angola</t>
  </si>
  <si>
    <t>Madagascar</t>
  </si>
  <si>
    <t>Nepal</t>
  </si>
  <si>
    <t>Togo</t>
  </si>
  <si>
    <t>San Marino</t>
  </si>
  <si>
    <t>Malawi</t>
  </si>
  <si>
    <t>Barbados</t>
  </si>
  <si>
    <t>Guatemala</t>
  </si>
  <si>
    <t>Coreea de Nord</t>
  </si>
  <si>
    <t>Honduras</t>
  </si>
  <si>
    <t>Groenlanda</t>
  </si>
  <si>
    <t>Algeria</t>
  </si>
  <si>
    <t>Namibia</t>
  </si>
  <si>
    <t>de 7,8 ori</t>
  </si>
  <si>
    <t>Rwanda</t>
  </si>
  <si>
    <t>de 10,6 ori</t>
  </si>
  <si>
    <t>de 3,3 ori</t>
  </si>
  <si>
    <t>Republica Dominicană</t>
  </si>
  <si>
    <t>Republica Yemen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</si>
  <si>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</si>
  <si>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</si>
  <si>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</si>
  <si>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</si>
  <si>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</si>
  <si>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</si>
  <si>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</si>
  <si>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</si>
  <si>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</si>
  <si>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</si>
  <si>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3,2 ori</t>
  </si>
  <si>
    <t>de 2,8 ori</t>
  </si>
  <si>
    <t>Șri Lanka</t>
  </si>
  <si>
    <t>Antigua și Barbuda</t>
  </si>
  <si>
    <t>de 4,7 ori</t>
  </si>
  <si>
    <t>Bolivia</t>
  </si>
  <si>
    <t>de 4,1 ori</t>
  </si>
  <si>
    <t>de 3,4 ori</t>
  </si>
  <si>
    <t>Mărfuri manufacturate, clasificate noiembrie ales după materia primă</t>
  </si>
  <si>
    <t>Kuwait</t>
  </si>
  <si>
    <t>de 10,7 ori</t>
  </si>
  <si>
    <t>de 11,6 ori</t>
  </si>
  <si>
    <t>de 6,7 ori</t>
  </si>
  <si>
    <t>de 4,6 ori</t>
  </si>
  <si>
    <t>de 19,5 ori</t>
  </si>
  <si>
    <t xml:space="preserve">Țări cu codul țării de origine a mărfii "EU" </t>
  </si>
  <si>
    <t>Papua-Noua Guinee</t>
  </si>
  <si>
    <t>Somalia</t>
  </si>
  <si>
    <t>Gambia</t>
  </si>
  <si>
    <t>de 3,1 ori</t>
  </si>
  <si>
    <t>Cehia</t>
  </si>
  <si>
    <t>Kârgâzstan</t>
  </si>
  <si>
    <t>Taiwan, provincie a Chinei</t>
  </si>
  <si>
    <t>Insulele Turks și Caicos</t>
  </si>
  <si>
    <t>Muntenegru</t>
  </si>
  <si>
    <t>de 2,9 ori</t>
  </si>
  <si>
    <t>de 13,2 ori</t>
  </si>
  <si>
    <t>de 21,3 ori</t>
  </si>
  <si>
    <t>de 12,6 ori</t>
  </si>
  <si>
    <t>de 7,3 ori</t>
  </si>
  <si>
    <t>de 73,3 ori</t>
  </si>
  <si>
    <t>de 3,8 ori</t>
  </si>
  <si>
    <t>de 5,9 ori</t>
  </si>
  <si>
    <t>de 6,2 ori</t>
  </si>
  <si>
    <t>de 55,9 ori</t>
  </si>
  <si>
    <t>de 19,9 ori</t>
  </si>
  <si>
    <t>de 11,3 ori</t>
  </si>
  <si>
    <t>de 108,3 ori</t>
  </si>
  <si>
    <t>Insulele Feroe</t>
  </si>
  <si>
    <t>Insulele Folkland</t>
  </si>
  <si>
    <r>
      <t xml:space="preserve">2020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</si>
  <si>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2021 </t>
    </r>
    <r>
      <rPr>
        <b/>
        <vertAlign val="superscript"/>
        <sz val="10"/>
        <rFont val="Times New Roman"/>
        <family val="1"/>
        <charset val="204"/>
      </rPr>
      <t>1,2</t>
    </r>
  </si>
  <si>
    <t>de 23,2 ori</t>
  </si>
  <si>
    <t>de 3,9 ori</t>
  </si>
  <si>
    <t>de 17,1 ori</t>
  </si>
  <si>
    <t>de 1786,4 ori</t>
  </si>
  <si>
    <t>de 6,8 ori</t>
  </si>
  <si>
    <t>Guineea Ecuatorială</t>
  </si>
  <si>
    <t>Insulele Seychelles</t>
  </si>
  <si>
    <t>de 6,5 ori</t>
  </si>
  <si>
    <t>de 4,4 ori</t>
  </si>
  <si>
    <t>de 5,5 ori</t>
  </si>
  <si>
    <t>de 40,9 ori</t>
  </si>
  <si>
    <t>de 4,5 ori</t>
  </si>
  <si>
    <t>de11,3 ori</t>
  </si>
  <si>
    <t>de 15,6 ori</t>
  </si>
  <si>
    <t>de 5,4 ori</t>
  </si>
  <si>
    <t>de 8,7 ori</t>
  </si>
  <si>
    <t>de 8,2 ori</t>
  </si>
  <si>
    <t xml:space="preserve"> Anul 2021</t>
  </si>
  <si>
    <t>în % faţă de  anul 2020 ¹</t>
  </si>
  <si>
    <t>Anul 2021</t>
  </si>
  <si>
    <t>în % faţă de anul 2020 ¹</t>
  </si>
  <si>
    <t xml:space="preserve">      din care:</t>
  </si>
  <si>
    <t>Anul 2020</t>
  </si>
  <si>
    <t>Anul 2021
în % faţă de anul 
2020 ¹</t>
  </si>
  <si>
    <t>Ţările Uniunii Europene - total</t>
  </si>
  <si>
    <t>Franţa</t>
  </si>
  <si>
    <t>Croaţia</t>
  </si>
  <si>
    <t xml:space="preserve">Ţări cu codul tarii de origine a marfii "EU" </t>
  </si>
  <si>
    <t>Federaţia Rusă</t>
  </si>
  <si>
    <t xml:space="preserve"> -</t>
  </si>
  <si>
    <t>în % faţă de 
anul 2020 ¹</t>
  </si>
  <si>
    <t>în % faţă de  
anul 2020 ¹</t>
  </si>
  <si>
    <t xml:space="preserve"> </t>
  </si>
  <si>
    <t>Anul 2021 
în % faţă de 
anul 2020 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</si>
</sst>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23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0" fillId="0" borderId="0" xfId="0" applyFill="1"/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Alignment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38" fontId="11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2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 indent="1"/>
    </xf>
    <xf numFmtId="2" fontId="9" fillId="0" borderId="0" xfId="0" applyNumberFormat="1" applyFont="1" applyFill="1" applyBorder="1" applyAlignment="1" applyProtection="1">
      <alignment horizontal="right" vertical="top" indent="1"/>
    </xf>
    <xf numFmtId="38" fontId="9" fillId="0" borderId="0" xfId="0" applyNumberFormat="1" applyFont="1" applyFill="1" applyBorder="1" applyAlignment="1" applyProtection="1">
      <alignment horizontal="center"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38" fontId="33" fillId="0" borderId="0" xfId="0" applyNumberFormat="1" applyFont="1" applyFill="1" applyBorder="1" applyAlignment="1" applyProtection="1">
      <alignment horizontal="left" wrapText="1"/>
    </xf>
    <xf numFmtId="0" fontId="33" fillId="0" borderId="0" xfId="0" applyFont="1" applyAlignment="1">
      <alignment horizontal="left"/>
    </xf>
    <xf numFmtId="4" fontId="11" fillId="0" borderId="0" xfId="0" applyNumberFormat="1" applyFont="1" applyFill="1" applyAlignment="1" applyProtection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4" fontId="11" fillId="0" borderId="0" xfId="0" applyNumberFormat="1" applyFont="1" applyBorder="1" applyAlignment="1">
      <alignment horizontal="right" vertical="top" indent="1"/>
    </xf>
    <xf numFmtId="4" fontId="11" fillId="0" borderId="0" xfId="0" applyNumberFormat="1" applyFont="1" applyBorder="1" applyAlignment="1">
      <alignment horizontal="right" vertical="top" wrapText="1" indent="1"/>
    </xf>
    <xf numFmtId="4" fontId="11" fillId="0" borderId="0" xfId="0" applyNumberFormat="1" applyFont="1" applyFill="1" applyBorder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9" fillId="0" borderId="0" xfId="0" applyNumberFormat="1" applyFont="1" applyFill="1" applyAlignment="1" applyProtection="1">
      <alignment horizontal="right" vertical="top" indent="1"/>
    </xf>
    <xf numFmtId="4" fontId="35" fillId="0" borderId="0" xfId="0" applyNumberFormat="1" applyFont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35" fillId="0" borderId="0" xfId="0" applyNumberFormat="1" applyFont="1" applyAlignment="1">
      <alignment horizontal="right" vertical="top"/>
    </xf>
    <xf numFmtId="4" fontId="35" fillId="0" borderId="3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right" vertical="top" indent="1"/>
    </xf>
    <xf numFmtId="165" fontId="11" fillId="0" borderId="0" xfId="0" applyNumberFormat="1" applyFont="1" applyFill="1" applyAlignment="1" applyProtection="1">
      <alignment horizontal="right" vertical="top" indent="2"/>
    </xf>
    <xf numFmtId="165" fontId="9" fillId="0" borderId="0" xfId="0" applyNumberFormat="1" applyFont="1" applyFill="1" applyAlignment="1" applyProtection="1">
      <alignment horizontal="right" vertical="top" indent="2"/>
    </xf>
    <xf numFmtId="165" fontId="20" fillId="0" borderId="5" xfId="0" applyNumberFormat="1" applyFont="1" applyFill="1" applyBorder="1" applyAlignment="1" applyProtection="1">
      <alignment horizontal="right" vertical="top" indent="2"/>
    </xf>
    <xf numFmtId="165" fontId="24" fillId="0" borderId="0" xfId="0" applyNumberFormat="1" applyFont="1" applyAlignment="1">
      <alignment horizontal="right" vertical="top" indent="2"/>
    </xf>
    <xf numFmtId="165" fontId="9" fillId="0" borderId="3" xfId="0" applyNumberFormat="1" applyFont="1" applyFill="1" applyBorder="1" applyAlignment="1" applyProtection="1">
      <alignment horizontal="right" vertical="top" indent="2"/>
    </xf>
    <xf numFmtId="4" fontId="0" fillId="0" borderId="0" xfId="0" applyNumberFormat="1" applyAlignment="1">
      <alignment horizontal="right" vertical="top" indent="1"/>
    </xf>
    <xf numFmtId="4" fontId="30" fillId="0" borderId="0" xfId="0" applyNumberFormat="1" applyFont="1" applyBorder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wrapText="1" indent="1"/>
    </xf>
    <xf numFmtId="4" fontId="31" fillId="0" borderId="0" xfId="0" applyNumberFormat="1" applyFont="1" applyAlignment="1">
      <alignment horizontal="right" vertical="top" indent="1"/>
    </xf>
    <xf numFmtId="4" fontId="30" fillId="0" borderId="0" xfId="0" applyNumberFormat="1" applyFont="1" applyAlignment="1">
      <alignment horizontal="right" vertical="top" inden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27" fillId="0" borderId="5" xfId="0" applyNumberFormat="1" applyFont="1" applyBorder="1" applyAlignment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vertical="top" wrapText="1" indent="1"/>
    </xf>
    <xf numFmtId="0" fontId="3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4"/>
  <sheetViews>
    <sheetView tabSelected="1" zoomScale="99" zoomScaleNormal="99" workbookViewId="0">
      <selection activeCell="A24" sqref="A24"/>
    </sheetView>
  </sheetViews>
  <sheetFormatPr defaultRowHeight="15.75" x14ac:dyDescent="0.25"/>
  <cols>
    <col min="1" max="1" width="29.75" style="7" customWidth="1"/>
    <col min="2" max="2" width="12.75" style="7" customWidth="1"/>
    <col min="3" max="3" width="10.5" style="7" customWidth="1"/>
    <col min="4" max="4" width="9" style="7" customWidth="1"/>
    <col min="5" max="5" width="8.75" style="7" customWidth="1"/>
    <col min="6" max="6" width="9.875" style="7" customWidth="1"/>
    <col min="7" max="7" width="9.375" style="7" customWidth="1"/>
  </cols>
  <sheetData>
    <row r="1" spans="1:7" x14ac:dyDescent="0.25">
      <c r="A1" s="101" t="s">
        <v>338</v>
      </c>
      <c r="B1" s="101"/>
      <c r="C1" s="101"/>
      <c r="D1" s="101"/>
      <c r="E1" s="101"/>
      <c r="F1" s="101"/>
      <c r="G1" s="101"/>
    </row>
    <row r="3" spans="1:7" ht="54" customHeight="1" x14ac:dyDescent="0.25">
      <c r="A3" s="102"/>
      <c r="B3" s="104" t="s">
        <v>407</v>
      </c>
      <c r="C3" s="105"/>
      <c r="D3" s="106" t="s">
        <v>106</v>
      </c>
      <c r="E3" s="107"/>
      <c r="F3" s="108" t="s">
        <v>1</v>
      </c>
      <c r="G3" s="109"/>
    </row>
    <row r="4" spans="1:7" ht="28.5" customHeight="1" x14ac:dyDescent="0.25">
      <c r="A4" s="103"/>
      <c r="B4" s="73" t="s">
        <v>97</v>
      </c>
      <c r="C4" s="81" t="s">
        <v>408</v>
      </c>
      <c r="D4" s="73">
        <v>2020</v>
      </c>
      <c r="E4" s="73">
        <v>2021</v>
      </c>
      <c r="F4" s="73" t="s">
        <v>388</v>
      </c>
      <c r="G4" s="80" t="s">
        <v>389</v>
      </c>
    </row>
    <row r="5" spans="1:7" ht="15.75" customHeight="1" x14ac:dyDescent="0.25">
      <c r="A5" s="36" t="s">
        <v>98</v>
      </c>
      <c r="B5" s="28">
        <v>3144446.15815</v>
      </c>
      <c r="C5" s="29">
        <f>IF(2467106.07968="","-",3144446.15815/2467106.07968*100)</f>
        <v>127.45484209409656</v>
      </c>
      <c r="D5" s="29">
        <v>100</v>
      </c>
      <c r="E5" s="29">
        <v>100</v>
      </c>
      <c r="F5" s="29">
        <f>IF(2779164.46518="","-",(2467106.07968-2779164.46518)/2779164.46518*100)</f>
        <v>-11.228496528714381</v>
      </c>
      <c r="G5" s="29">
        <f>IF(2467106.07968="","-",(3144446.15815-2467106.07968)/2467106.07968*100)</f>
        <v>27.454842094096559</v>
      </c>
    </row>
    <row r="6" spans="1:7" x14ac:dyDescent="0.25">
      <c r="A6" s="27" t="s">
        <v>411</v>
      </c>
      <c r="B6" s="54"/>
      <c r="C6" s="55"/>
      <c r="D6" s="55"/>
      <c r="E6" s="55"/>
      <c r="F6" s="55"/>
      <c r="G6" s="55"/>
    </row>
    <row r="7" spans="1:7" x14ac:dyDescent="0.25">
      <c r="A7" s="30" t="s">
        <v>140</v>
      </c>
      <c r="B7" s="18">
        <v>1919447.76095</v>
      </c>
      <c r="C7" s="31">
        <f>IF(1640367.52565="","-",1919447.76095/1640367.52565*100)</f>
        <v>117.0132748262871</v>
      </c>
      <c r="D7" s="31">
        <f>IF(1640367.52565="","-",1640367.52565/2467106.07968*100)</f>
        <v>66.489541700726804</v>
      </c>
      <c r="E7" s="31">
        <f>IF(1919447.76095="","-",1919447.76095/3144446.15815*100)</f>
        <v>61.042475030937901</v>
      </c>
      <c r="F7" s="31">
        <f>IF(2779164.46518="","-",(1640367.52565-1780612.26129)/2779164.46518*100)</f>
        <v>-5.0462913367351492</v>
      </c>
      <c r="G7" s="31">
        <f>IF(2467106.07968="","-",(1919447.76095-1640367.52565)/2467106.07968*100)</f>
        <v>11.312048460283419</v>
      </c>
    </row>
    <row r="8" spans="1:7" ht="15.75" customHeight="1" x14ac:dyDescent="0.25">
      <c r="A8" s="32" t="s">
        <v>2</v>
      </c>
      <c r="B8" s="19">
        <v>833463.03663999995</v>
      </c>
      <c r="C8" s="33">
        <f>IF(OR(706674.1093="",833463.03664=""),"-",833463.03664/706674.1093*100)</f>
        <v>117.94164037870178</v>
      </c>
      <c r="D8" s="33">
        <f>IF(706674.1093="","-",706674.1093/2467106.07968*100)</f>
        <v>28.643847750221603</v>
      </c>
      <c r="E8" s="33">
        <f>IF(833463.03664="","-",833463.03664/3144446.15815*100)</f>
        <v>26.505877179031067</v>
      </c>
      <c r="F8" s="33">
        <f>IF(OR(2779164.46518="",765414.78791="",706674.1093=""),"-",(706674.1093-765414.78791)/2779164.46518*100)</f>
        <v>-2.113609300419558</v>
      </c>
      <c r="G8" s="33">
        <f>IF(OR(2467106.07968="",833463.03664="",706674.1093=""),"-",(833463.03664-706674.1093)/2467106.07968*100)</f>
        <v>5.1391761539676191</v>
      </c>
    </row>
    <row r="9" spans="1:7" ht="15.75" customHeight="1" x14ac:dyDescent="0.25">
      <c r="A9" s="32" t="s">
        <v>4</v>
      </c>
      <c r="B9" s="19">
        <v>245445.88827</v>
      </c>
      <c r="C9" s="33">
        <f>IF(OR(225600.61639="",245445.88827=""),"-",245445.88827/225600.61639*100)</f>
        <v>108.79663903297725</v>
      </c>
      <c r="D9" s="33">
        <f>IF(225600.61639="","-",225600.61639/2467106.07968*100)</f>
        <v>9.1443419578967564</v>
      </c>
      <c r="E9" s="33">
        <f>IF(245445.88827="","-",245445.88827/3144446.15815*100)</f>
        <v>7.8056953728985246</v>
      </c>
      <c r="F9" s="33">
        <f>IF(OR(2779164.46518="",245960.38245="",225600.61639=""),"-",(225600.61639-245960.38245)/2779164.46518*100)</f>
        <v>-0.732585865827172</v>
      </c>
      <c r="G9" s="33">
        <f>IF(OR(2467106.07968="",245445.88827="",225600.61639=""),"-",(245445.88827-225600.61639)/2467106.07968*100)</f>
        <v>0.80439475397726112</v>
      </c>
    </row>
    <row r="10" spans="1:7" ht="13.5" customHeight="1" x14ac:dyDescent="0.25">
      <c r="A10" s="32" t="s">
        <v>3</v>
      </c>
      <c r="B10" s="19">
        <v>240059.08368000001</v>
      </c>
      <c r="C10" s="33">
        <f>IF(OR(213726.23884="",240059.08368=""),"-",240059.08368/213726.23884*100)</f>
        <v>112.32082919856805</v>
      </c>
      <c r="D10" s="33">
        <f>IF(213726.23884="","-",213726.23884/2467106.07968*100)</f>
        <v>8.6630340138321777</v>
      </c>
      <c r="E10" s="33">
        <f>IF(240059.08368="","-",240059.08368/3144446.15815*100)</f>
        <v>7.634383659513384</v>
      </c>
      <c r="F10" s="33">
        <f>IF(OR(2779164.46518="",267051.6788="",213726.23884=""),"-",(213726.23884-267051.6788)/2779164.46518*100)</f>
        <v>-1.9187579802531127</v>
      </c>
      <c r="G10" s="33">
        <f>IF(OR(2467106.07968="",240059.08368="",213726.23884=""),"-",(240059.08368-213726.23884)/2467106.07968*100)</f>
        <v>1.0673576242581166</v>
      </c>
    </row>
    <row r="11" spans="1:7" ht="15.75" customHeight="1" x14ac:dyDescent="0.25">
      <c r="A11" s="32" t="s">
        <v>5</v>
      </c>
      <c r="B11" s="19">
        <v>108508.15569</v>
      </c>
      <c r="C11" s="33">
        <f>IF(OR(109763.99893="",108508.15569=""),"-",108508.15569/109763.99893*100)</f>
        <v>98.855869636454401</v>
      </c>
      <c r="D11" s="33">
        <f>IF(109763.99893="","-",109763.99893/2467106.07968*100)</f>
        <v>4.4490992841392991</v>
      </c>
      <c r="E11" s="33">
        <f>IF(108508.15569="","-",108508.15569/3144446.15815*100)</f>
        <v>3.4507875229079952</v>
      </c>
      <c r="F11" s="33">
        <f>IF(OR(2779164.46518="",113039.83757="",109763.99893=""),"-",(109763.99893-113039.83757)/2779164.46518*100)</f>
        <v>-0.11787134878280166</v>
      </c>
      <c r="G11" s="33">
        <f>IF(OR(2467106.07968="",108508.15569="",109763.99893=""),"-",(108508.15569-109763.99893)/2467106.07968*100)</f>
        <v>-5.0903495814127835E-2</v>
      </c>
    </row>
    <row r="12" spans="1:7" s="12" customFormat="1" x14ac:dyDescent="0.25">
      <c r="A12" s="32" t="s">
        <v>368</v>
      </c>
      <c r="B12" s="19">
        <v>79000.739830000006</v>
      </c>
      <c r="C12" s="33">
        <f>IF(OR(80461.43231="",79000.73983=""),"-",79000.73983/80461.43231*100)</f>
        <v>98.184605421424422</v>
      </c>
      <c r="D12" s="33">
        <f>IF(80461.43231="","-",80461.43231/2467106.07968*100)</f>
        <v>3.2613689769041625</v>
      </c>
      <c r="E12" s="33">
        <f>IF(79000.73983="","-",79000.73983/3144446.15815*100)</f>
        <v>2.5123896500895793</v>
      </c>
      <c r="F12" s="33">
        <f>IF(OR(2779164.46518="",64817.8432="",80461.43231=""),"-",(80461.43231-64817.8432)/2779164.46518*100)</f>
        <v>0.56288820996373823</v>
      </c>
      <c r="G12" s="33">
        <f>IF(OR(2467106.07968="",79000.73983="",80461.43231=""),"-",(79000.73983-80461.43231)/2467106.07968*100)</f>
        <v>-5.9206715594063937E-2</v>
      </c>
    </row>
    <row r="13" spans="1:7" s="12" customFormat="1" x14ac:dyDescent="0.25">
      <c r="A13" s="32" t="s">
        <v>6</v>
      </c>
      <c r="B13" s="19">
        <v>77766.044309999997</v>
      </c>
      <c r="C13" s="33">
        <f>IF(OR(58158.27616="",77766.04431=""),"-",77766.04431/58158.27616*100)</f>
        <v>133.71449335268605</v>
      </c>
      <c r="D13" s="33">
        <f>IF(58158.27616="","-",58158.27616/2467106.07968*100)</f>
        <v>2.3573480134888856</v>
      </c>
      <c r="E13" s="33">
        <f>IF(77766.04431="","-",77766.04431/3144446.15815*100)</f>
        <v>2.4731237362242764</v>
      </c>
      <c r="F13" s="33">
        <f>IF(OR(2779164.46518="",62957.59931="",58158.27616=""),"-",(58158.27616-62957.59931)/2779164.46518*100)</f>
        <v>-0.17268942554967348</v>
      </c>
      <c r="G13" s="33">
        <f>IF(OR(2467106.07968="",77766.04431="",58158.27616=""),"-",(77766.04431-58158.27616)/2467106.07968*100)</f>
        <v>0.79476793930738698</v>
      </c>
    </row>
    <row r="14" spans="1:7" s="12" customFormat="1" x14ac:dyDescent="0.25">
      <c r="A14" s="32" t="s">
        <v>39</v>
      </c>
      <c r="B14" s="19">
        <v>62797.900289999998</v>
      </c>
      <c r="C14" s="33" t="s">
        <v>207</v>
      </c>
      <c r="D14" s="33">
        <f>IF(34662.53935="","-",34662.53935/2467106.07968*100)</f>
        <v>1.4049877966534767</v>
      </c>
      <c r="E14" s="33">
        <f>IF(62797.90029="","-",62797.90029/3144446.15815*100)</f>
        <v>1.99710528123485</v>
      </c>
      <c r="F14" s="33">
        <f>IF(OR(2779164.46518="",38145.47781="",34662.53935=""),"-",(34662.53935-38145.47781)/2779164.46518*100)</f>
        <v>-0.12532322227192899</v>
      </c>
      <c r="G14" s="33">
        <f>IF(OR(2467106.07968="",62797.90029="",34662.53935=""),"-",(62797.90029-34662.53935)/2467106.07968*100)</f>
        <v>1.1404195859972646</v>
      </c>
    </row>
    <row r="15" spans="1:7" s="12" customFormat="1" x14ac:dyDescent="0.25">
      <c r="A15" s="32" t="s">
        <v>8</v>
      </c>
      <c r="B15" s="19">
        <v>44501.646370000002</v>
      </c>
      <c r="C15" s="33" t="s">
        <v>102</v>
      </c>
      <c r="D15" s="33">
        <f>IF(27039.61827="","-",27039.61827/2467106.07968*100)</f>
        <v>1.0960054978060456</v>
      </c>
      <c r="E15" s="33">
        <f>IF(44501.64637="","-",44501.64637/3144446.15815*100)</f>
        <v>1.4152459330447575</v>
      </c>
      <c r="F15" s="33">
        <f>IF(OR(2779164.46518="",39276.09025="",27039.61827=""),"-",(27039.61827-39276.09025)/2779164.46518*100)</f>
        <v>-0.4402931936310388</v>
      </c>
      <c r="G15" s="33">
        <f>IF(OR(2467106.07968="",44501.64637="",27039.61827=""),"-",(44501.64637-27039.61827)/2467106.07968*100)</f>
        <v>0.70779397139927369</v>
      </c>
    </row>
    <row r="16" spans="1:7" s="12" customFormat="1" x14ac:dyDescent="0.25">
      <c r="A16" s="32" t="s">
        <v>41</v>
      </c>
      <c r="B16" s="19">
        <v>41801.205600000001</v>
      </c>
      <c r="C16" s="33" t="s">
        <v>218</v>
      </c>
      <c r="D16" s="33">
        <f>IF(27269.74917="","-",27269.74917/2467106.07968*100)</f>
        <v>1.1053334671988271</v>
      </c>
      <c r="E16" s="33">
        <f>IF(41801.2056="","-",41801.2056/3144446.15815*100)</f>
        <v>1.329366238046616</v>
      </c>
      <c r="F16" s="33">
        <f>IF(OR(2779164.46518="",11132.94197="",27269.74917=""),"-",(27269.74917-11132.94197)/2779164.46518*100)</f>
        <v>0.58063520177294936</v>
      </c>
      <c r="G16" s="33">
        <f>IF(OR(2467106.07968="",41801.2056="",27269.74917=""),"-",(41801.2056-27269.74917)/2467106.07968*100)</f>
        <v>0.58900817235571923</v>
      </c>
    </row>
    <row r="17" spans="1:7" s="12" customFormat="1" x14ac:dyDescent="0.25">
      <c r="A17" s="32" t="s">
        <v>9</v>
      </c>
      <c r="B17" s="19">
        <v>35829.53069</v>
      </c>
      <c r="C17" s="33">
        <f>IF(OR(35958.30808="",35829.53069=""),"-",35829.53069/35958.30808*100)</f>
        <v>99.641870274559366</v>
      </c>
      <c r="D17" s="33">
        <f>IF(35958.30808="","-",35958.30808/2467106.07968*100)</f>
        <v>1.4575096051266687</v>
      </c>
      <c r="E17" s="33">
        <f>IF(35829.53069="","-",35829.53069/3144446.15815*100)</f>
        <v>1.1394544186146887</v>
      </c>
      <c r="F17" s="33">
        <f>IF(OR(2779164.46518="",37885.94716="",35958.30808=""),"-",(35958.30808-37885.94716)/2779164.46518*100)</f>
        <v>-6.9360381659714129E-2</v>
      </c>
      <c r="G17" s="33">
        <f>IF(OR(2467106.07968="",35829.53069="",35958.30808=""),"-",(35829.53069-35958.30808)/2467106.07968*100)</f>
        <v>-5.2197751471110719E-3</v>
      </c>
    </row>
    <row r="18" spans="1:7" s="14" customFormat="1" x14ac:dyDescent="0.25">
      <c r="A18" s="32" t="s">
        <v>342</v>
      </c>
      <c r="B18" s="19">
        <v>32403.57893</v>
      </c>
      <c r="C18" s="33">
        <f>IF(OR(29629.16883="",32403.57893=""),"-",32403.57893/29629.16883*100)</f>
        <v>109.36377971288505</v>
      </c>
      <c r="D18" s="33">
        <f>IF(29629.16883="","-",29629.16883/2467106.07968*100)</f>
        <v>1.2009685790990834</v>
      </c>
      <c r="E18" s="33">
        <f>IF(32403.57893="","-",32403.57893/3144446.15815*100)</f>
        <v>1.0305019485232427</v>
      </c>
      <c r="F18" s="33">
        <f>IF(OR(2779164.46518="",36009.6745="",29629.16883=""),"-",(29629.16883-36009.6745)/2779164.46518*100)</f>
        <v>-0.22958359427594191</v>
      </c>
      <c r="G18" s="33">
        <f>IF(OR(2467106.07968="",32403.57893="",29629.16883=""),"-",(32403.57893-29629.16883)/2467106.07968*100)</f>
        <v>0.11245605216780384</v>
      </c>
    </row>
    <row r="19" spans="1:7" s="12" customFormat="1" x14ac:dyDescent="0.25">
      <c r="A19" s="32" t="s">
        <v>7</v>
      </c>
      <c r="B19" s="19">
        <v>22005.81349</v>
      </c>
      <c r="C19" s="33">
        <f>IF(OR(22723.78932="",22005.81349=""),"-",22005.81349/22723.78932*100)</f>
        <v>96.84042207974494</v>
      </c>
      <c r="D19" s="33">
        <f>IF(22723.78932="","-",22723.78932/2467106.07968*100)</f>
        <v>0.92107062226312653</v>
      </c>
      <c r="E19" s="33">
        <f>IF(22005.81349="","-",22005.81349/3144446.15815*100)</f>
        <v>0.69983114301269755</v>
      </c>
      <c r="F19" s="33">
        <f>IF(OR(2779164.46518="",30987.65914="",22723.78932=""),"-",(22723.78932-30987.65914)/2779164.46518*100)</f>
        <v>-0.29735087374416214</v>
      </c>
      <c r="G19" s="33">
        <f>IF(OR(2467106.07968="",22005.81349="",22723.78932=""),"-",(22005.81349-22723.78932)/2467106.07968*100)</f>
        <v>-2.9101944010981706E-2</v>
      </c>
    </row>
    <row r="20" spans="1:7" s="12" customFormat="1" x14ac:dyDescent="0.25">
      <c r="A20" s="32" t="s">
        <v>40</v>
      </c>
      <c r="B20" s="19">
        <v>20868.25949</v>
      </c>
      <c r="C20" s="33" t="s">
        <v>101</v>
      </c>
      <c r="D20" s="33">
        <f>IF(12522.15534="","-",12522.15534/2467106.07968*100)</f>
        <v>0.50756452846260292</v>
      </c>
      <c r="E20" s="33">
        <f>IF(20868.25949="","-",20868.25949/3144446.15815*100)</f>
        <v>0.66365453375349281</v>
      </c>
      <c r="F20" s="33">
        <f>IF(OR(2779164.46518="",13368.89815="",12522.15534=""),"-",(12522.15534-13368.89815)/2779164.46518*100)</f>
        <v>-3.0467531540820852E-2</v>
      </c>
      <c r="G20" s="33">
        <f>IF(OR(2467106.07968="",20868.25949="",12522.15534=""),"-",(20868.25949-12522.15534)/2467106.07968*100)</f>
        <v>0.33829530958322418</v>
      </c>
    </row>
    <row r="21" spans="1:7" s="12" customFormat="1" x14ac:dyDescent="0.25">
      <c r="A21" s="32" t="s">
        <v>43</v>
      </c>
      <c r="B21" s="19">
        <v>16391.65379</v>
      </c>
      <c r="C21" s="33" t="s">
        <v>102</v>
      </c>
      <c r="D21" s="33">
        <f>IF(10049.74265="","-",10049.74265/2467106.07968*100)</f>
        <v>0.40734943392882073</v>
      </c>
      <c r="E21" s="33">
        <f>IF(16391.65379="","-",16391.65379/3144446.15815*100)</f>
        <v>0.52128905904510214</v>
      </c>
      <c r="F21" s="33">
        <f>IF(OR(2779164.46518="",12513.70102="",10049.74265=""),"-",(10049.74265-12513.70102)/2779164.46518*100)</f>
        <v>-8.8658242463546172E-2</v>
      </c>
      <c r="G21" s="33">
        <f>IF(OR(2467106.07968="",16391.65379="",10049.74265=""),"-",(16391.65379-10049.74265)/2467106.07968*100)</f>
        <v>0.25705871313091605</v>
      </c>
    </row>
    <row r="22" spans="1:7" s="12" customFormat="1" x14ac:dyDescent="0.25">
      <c r="A22" s="32" t="s">
        <v>50</v>
      </c>
      <c r="B22" s="19">
        <v>16304.176530000001</v>
      </c>
      <c r="C22" s="33" t="s">
        <v>207</v>
      </c>
      <c r="D22" s="33">
        <f>IF(9251.71585="","-",9251.71585/2467106.07968*100)</f>
        <v>0.37500275834106045</v>
      </c>
      <c r="E22" s="33">
        <f>IF(16304.17653="","-",16304.17653/3144446.15815*100)</f>
        <v>0.51850709822910068</v>
      </c>
      <c r="F22" s="33">
        <f>IF(OR(2779164.46518="",8274.15075="",9251.71585=""),"-",(9251.71585-8274.15075)/2779164.46518*100)</f>
        <v>3.5174784085211928E-2</v>
      </c>
      <c r="G22" s="33">
        <f>IF(OR(2467106.07968="",16304.17653="",9251.71585=""),"-",(16304.17653-9251.71585)/2467106.07968*100)</f>
        <v>0.28585964495352184</v>
      </c>
    </row>
    <row r="23" spans="1:7" s="12" customFormat="1" x14ac:dyDescent="0.25">
      <c r="A23" s="32" t="s">
        <v>46</v>
      </c>
      <c r="B23" s="19">
        <v>13608.29694</v>
      </c>
      <c r="C23" s="33">
        <f>IF(OR(10139.70942="",13608.29694=""),"-",13608.29694/10139.70942*100)</f>
        <v>134.20795780556008</v>
      </c>
      <c r="D23" s="33">
        <f>IF(10139.70942="","-",10139.70942/2467106.07968*100)</f>
        <v>0.4109960857992449</v>
      </c>
      <c r="E23" s="33">
        <f>IF(13608.29694="","-",13608.29694/3144446.15815*100)</f>
        <v>0.43277245834625105</v>
      </c>
      <c r="F23" s="33">
        <f>IF(OR(2779164.46518="",9666.2654="",10139.70942=""),"-",(10139.70942-9666.2654)/2779164.46518*100)</f>
        <v>1.7035480480977406E-2</v>
      </c>
      <c r="G23" s="33">
        <f>IF(OR(2467106.07968="",13608.29694="",10139.70942=""),"-",(13608.29694-10139.70942)/2467106.07968*100)</f>
        <v>0.14059336761270921</v>
      </c>
    </row>
    <row r="24" spans="1:7" s="12" customFormat="1" x14ac:dyDescent="0.25">
      <c r="A24" s="32" t="s">
        <v>42</v>
      </c>
      <c r="B24" s="19">
        <v>8435.7318099999993</v>
      </c>
      <c r="C24" s="33">
        <f>IF(OR(7698.80178="",8435.73181=""),"-",8435.73181/7698.80178*100)</f>
        <v>109.57200939910416</v>
      </c>
      <c r="D24" s="33">
        <f>IF(7698.80178="","-",7698.80178/2467106.07968*100)</f>
        <v>0.3120579955361541</v>
      </c>
      <c r="E24" s="33">
        <f>IF(8435.73181="","-",8435.73181/3144446.15815*100)</f>
        <v>0.26827401029385306</v>
      </c>
      <c r="F24" s="33">
        <f>IF(OR(2779164.46518="",8472.4664="",7698.80178=""),"-",(7698.80178-8472.4664)/2779164.46518*100)</f>
        <v>-2.783802936793419E-2</v>
      </c>
      <c r="G24" s="33">
        <f>IF(OR(2467106.07968="",8435.73181="",7698.80178=""),"-",(8435.73181-7698.80178)/2467106.07968*100)</f>
        <v>2.9870220663376752E-2</v>
      </c>
    </row>
    <row r="25" spans="1:7" s="7" customFormat="1" x14ac:dyDescent="0.25">
      <c r="A25" s="32" t="s">
        <v>44</v>
      </c>
      <c r="B25" s="19">
        <v>7213.9924199999996</v>
      </c>
      <c r="C25" s="33">
        <f>IF(OR(7399.2091="",7213.99242=""),"-",7213.99242/7399.2091*100)</f>
        <v>97.496804354400524</v>
      </c>
      <c r="D25" s="33">
        <f>IF(7399.2091="","-",7399.2091/2467106.07968*100)</f>
        <v>0.29991450959253957</v>
      </c>
      <c r="E25" s="33">
        <f>IF(7213.99242="","-",7213.99242/3144446.15815*100)</f>
        <v>0.22942012860682187</v>
      </c>
      <c r="F25" s="33">
        <f>IF(OR(2779164.46518="",7489.29676="",7399.2091=""),"-",(7399.2091-7489.29676)/2779164.46518*100)</f>
        <v>-3.2415375602524972E-3</v>
      </c>
      <c r="G25" s="33">
        <f>IF(OR(2467106.07968="",7213.99242="",7399.2091=""),"-",(7213.99242-7399.2091)/2467106.07968*100)</f>
        <v>-7.507446944641484E-3</v>
      </c>
    </row>
    <row r="26" spans="1:7" s="7" customFormat="1" x14ac:dyDescent="0.25">
      <c r="A26" s="32" t="s">
        <v>45</v>
      </c>
      <c r="B26" s="19">
        <v>5013.7721000000001</v>
      </c>
      <c r="C26" s="33">
        <f>IF(OR(5809.45456="",5013.7721=""),"-",5013.7721/5809.45456*100)</f>
        <v>86.303663247862644</v>
      </c>
      <c r="D26" s="33">
        <f>IF(5809.45456="","-",5809.45456/2467106.07968*100)</f>
        <v>0.23547648023118348</v>
      </c>
      <c r="E26" s="33">
        <f>IF(5013.7721="","-",5013.7721/3144446.15815*100)</f>
        <v>0.1594484957869273</v>
      </c>
      <c r="F26" s="33">
        <f>IF(OR(2779164.46518="",3655.91559="",5809.45456=""),"-",(5809.45456-3655.91559)/2779164.46518*100)</f>
        <v>7.7488719972551912E-2</v>
      </c>
      <c r="G26" s="33">
        <f>IF(OR(2467106.07968="",5013.7721="",5809.45456=""),"-",(5013.7721-5809.45456)/2467106.07968*100)</f>
        <v>-3.2251651704543055E-2</v>
      </c>
    </row>
    <row r="27" spans="1:7" s="12" customFormat="1" x14ac:dyDescent="0.25">
      <c r="A27" s="32" t="s">
        <v>343</v>
      </c>
      <c r="B27" s="19">
        <v>2137.7926400000001</v>
      </c>
      <c r="C27" s="33">
        <f>IF(OR(2360.31314="",2137.79264=""),"-",2137.79264/2360.31314*100)</f>
        <v>90.572416166780314</v>
      </c>
      <c r="D27" s="33">
        <f>IF(2360.31314="","-",2360.31314/2467106.07968*100)</f>
        <v>9.5671327610937121E-2</v>
      </c>
      <c r="E27" s="33">
        <f>IF(2137.79264="","-",2137.79264/3144446.15815*100)</f>
        <v>6.7986301322384438E-2</v>
      </c>
      <c r="F27" s="33">
        <f>IF(OR(2779164.46518="",1150.08881="",2360.31314=""),"-",(2360.31314-1150.08881)/2779164.46518*100)</f>
        <v>4.3546337223393398E-2</v>
      </c>
      <c r="G27" s="33">
        <f>IF(OR(2467106.07968="",2137.79264="",2360.31314=""),"-",(2137.79264-2360.31314)/2467106.07968*100)</f>
        <v>-9.0194946148753549E-3</v>
      </c>
    </row>
    <row r="28" spans="1:7" s="12" customFormat="1" x14ac:dyDescent="0.25">
      <c r="A28" s="32" t="s">
        <v>48</v>
      </c>
      <c r="B28" s="19">
        <v>1731.83628</v>
      </c>
      <c r="C28" s="33">
        <f>IF(OR(1276.4726="",1731.83628=""),"-",1731.83628/1276.4726*100)</f>
        <v>135.67359612732776</v>
      </c>
      <c r="D28" s="33">
        <f>IF(1276.4726="","-",1276.4726/2467106.07968*100)</f>
        <v>5.1739672262717092E-2</v>
      </c>
      <c r="E28" s="33">
        <f>IF(1731.83628="","-",1731.83628/3144446.15815*100)</f>
        <v>5.5076035425548731E-2</v>
      </c>
      <c r="F28" s="33">
        <f>IF(OR(2779164.46518="",1036.58988="",1276.4726=""),"-",(1276.4726-1036.58988)/2779164.46518*100)</f>
        <v>8.6314690262299185E-3</v>
      </c>
      <c r="G28" s="33">
        <f>IF(OR(2467106.07968="",1731.83628="",1276.4726=""),"-",(1731.83628-1276.4726)/2467106.07968*100)</f>
        <v>1.8457401720604717E-2</v>
      </c>
    </row>
    <row r="29" spans="1:7" s="7" customFormat="1" x14ac:dyDescent="0.25">
      <c r="A29" s="32" t="s">
        <v>47</v>
      </c>
      <c r="B29" s="19">
        <v>1421.12003</v>
      </c>
      <c r="C29" s="33">
        <f>IF(OR(962.62751="",1421.12003=""),"-",1421.12003/962.62751*100)</f>
        <v>147.62927666590372</v>
      </c>
      <c r="D29" s="33">
        <f>IF(962.62751="","-",962.62751/2467106.07968*100)</f>
        <v>3.9018488824966099E-2</v>
      </c>
      <c r="E29" s="33">
        <f>IF(1421.12003="","-",1421.12003/3144446.15815*100)</f>
        <v>4.5194605298508286E-2</v>
      </c>
      <c r="F29" s="33">
        <f>IF(OR(2779164.46518="",791.22556="",962.62751=""),"-",(962.62751-791.22556)/2779164.46518*100)</f>
        <v>6.1673913921786831E-3</v>
      </c>
      <c r="G29" s="33">
        <f>IF(OR(2467106.07968="",1421.12003="",962.62751=""),"-",(1421.12003-962.62751)/2467106.07968*100)</f>
        <v>1.858422399329783E-2</v>
      </c>
    </row>
    <row r="30" spans="1:7" s="7" customFormat="1" x14ac:dyDescent="0.25">
      <c r="A30" s="32" t="s">
        <v>49</v>
      </c>
      <c r="B30" s="19">
        <v>1096.0505800000001</v>
      </c>
      <c r="C30" s="33" t="s">
        <v>214</v>
      </c>
      <c r="D30" s="33">
        <f>IF(446.00069="","-",446.00069/2467106.07968*100)</f>
        <v>1.8077888651543077E-2</v>
      </c>
      <c r="E30" s="33">
        <f>IF(1096.05058="","-",1096.05058/3144446.15815*100)</f>
        <v>3.4856713229424456E-2</v>
      </c>
      <c r="F30" s="33">
        <f>IF(OR(2779164.46518="",656.91533="",446.00069=""),"-",(446.00069-656.91533)/2779164.46518*100)</f>
        <v>-7.5891384854166804E-3</v>
      </c>
      <c r="G30" s="33">
        <f>IF(OR(2467106.07968="",1096.05058="",446.00069=""),"-",(1096.05058-446.00069)/2467106.07968*100)</f>
        <v>2.6348680154211924E-2</v>
      </c>
    </row>
    <row r="31" spans="1:7" s="7" customFormat="1" x14ac:dyDescent="0.25">
      <c r="A31" s="32" t="s">
        <v>52</v>
      </c>
      <c r="B31" s="19">
        <v>876.24882000000002</v>
      </c>
      <c r="C31" s="33" t="s">
        <v>101</v>
      </c>
      <c r="D31" s="33">
        <f>IF(516.18495="","-",516.18495/2467106.07968*100)</f>
        <v>2.0922689715350731E-2</v>
      </c>
      <c r="E31" s="33">
        <f>IF(876.24882="","-",876.24882/3144446.15815*100)</f>
        <v>2.7866555060225021E-2</v>
      </c>
      <c r="F31" s="33">
        <f>IF(OR(2779164.46518="",262.50602="",516.18495=""),"-",(516.18495-262.50602)/2779164.46518*100)</f>
        <v>9.1278847717840908E-3</v>
      </c>
      <c r="G31" s="33">
        <f>IF(OR(2467106.07968="",876.24882="",516.18495=""),"-",(876.24882-516.18495)/2467106.07968*100)</f>
        <v>1.4594584033723542E-2</v>
      </c>
    </row>
    <row r="32" spans="1:7" s="7" customFormat="1" x14ac:dyDescent="0.25">
      <c r="A32" s="32" t="s">
        <v>51</v>
      </c>
      <c r="B32" s="19">
        <v>663.93929000000003</v>
      </c>
      <c r="C32" s="33" t="s">
        <v>373</v>
      </c>
      <c r="D32" s="33">
        <f>IF(228.54121="","-",228.54121/2467106.07968*100)</f>
        <v>9.263533979440533E-3</v>
      </c>
      <c r="E32" s="33">
        <f>IF(663.93929="","-",663.93929/3144446.15815*100)</f>
        <v>2.1114665559756995E-2</v>
      </c>
      <c r="F32" s="33">
        <f>IF(OR(2779164.46518="",64.00147="",228.54121=""),"-",(228.54121-64.00147)/2779164.46518*100)</f>
        <v>5.9204750946375952E-3</v>
      </c>
      <c r="G32" s="33">
        <f>IF(OR(2467106.07968="",663.93929="",228.54121=""),"-",(663.93929-228.54121)/2467106.07968*100)</f>
        <v>1.7648129668444337E-2</v>
      </c>
    </row>
    <row r="33" spans="1:7" s="7" customFormat="1" x14ac:dyDescent="0.25">
      <c r="A33" s="32" t="s">
        <v>54</v>
      </c>
      <c r="B33" s="19">
        <v>92.481409999999997</v>
      </c>
      <c r="C33" s="33" t="s">
        <v>374</v>
      </c>
      <c r="D33" s="33">
        <f>IF(6.98438="","-",6.98438/2467106.07968*100)</f>
        <v>2.8310010897082791E-4</v>
      </c>
      <c r="E33" s="33">
        <f>IF(92.48141="","-",92.48141/3144446.15815*100)</f>
        <v>2.9411033087750628E-3</v>
      </c>
      <c r="F33" s="33">
        <f>IF(OR(2779164.46518="",461.08919="",6.98438=""),"-",(6.98438-461.08919)/2779164.46518*100)</f>
        <v>-1.6339616301570287E-2</v>
      </c>
      <c r="G33" s="33">
        <f>IF(OR(2467106.07968="",92.48141="",6.98438=""),"-",(92.48141-6.98438)/2467106.07968*100)</f>
        <v>3.4654784690526775E-3</v>
      </c>
    </row>
    <row r="34" spans="1:7" s="7" customFormat="1" x14ac:dyDescent="0.25">
      <c r="A34" s="32" t="s">
        <v>53</v>
      </c>
      <c r="B34" s="19">
        <v>9.7850300000000008</v>
      </c>
      <c r="C34" s="33">
        <f>IF(OR(31.76752="",9.78503=""),"-",9.78503/31.76752*100)</f>
        <v>30.801995245458258</v>
      </c>
      <c r="D34" s="33">
        <f>IF(31.76752="","-",31.76752/2467106.07968*100)</f>
        <v>1.2876430511703193E-3</v>
      </c>
      <c r="E34" s="33">
        <f>IF(9.78503="","-",9.78503/3144446.15815*100)</f>
        <v>3.1118453005272366E-4</v>
      </c>
      <c r="F34" s="33">
        <f>IF(OR(2779164.46518="",69.23089="",31.76752=""),"-",(31.76752-69.23089)/2779164.46518*100)</f>
        <v>-1.3480083841520183E-3</v>
      </c>
      <c r="G34" s="33">
        <f>IF(OR(2467106.07968="",9.78503="",31.76752=""),"-",(9.78503-31.76752)/2467106.07968*100)</f>
        <v>-8.9102329977036392E-4</v>
      </c>
    </row>
    <row r="35" spans="1:7" s="7" customFormat="1" x14ac:dyDescent="0.25">
      <c r="A35" s="30" t="s">
        <v>142</v>
      </c>
      <c r="B35" s="18">
        <v>466207.47317000001</v>
      </c>
      <c r="C35" s="31">
        <f>IF(376962.59759="","-",466207.47317/376962.59759*100)</f>
        <v>123.67472957544354</v>
      </c>
      <c r="D35" s="31">
        <f>IF(376962.59759="","-",376962.59759/2467106.07968*100)</f>
        <v>15.279545565340854</v>
      </c>
      <c r="E35" s="31">
        <f>IF(466207.47317="","-",466207.47317/3144446.15815*100)</f>
        <v>14.82637799224675</v>
      </c>
      <c r="F35" s="31">
        <f>IF(2779164.46518="","-",(376962.59759-434949.50526)/2779164.46518*100)</f>
        <v>-2.0864870861913642</v>
      </c>
      <c r="G35" s="31">
        <f>IF(2467106.07968="","-",(466207.47317-376962.59759)/2467106.07968*100)</f>
        <v>3.6173910929511242</v>
      </c>
    </row>
    <row r="36" spans="1:7" s="7" customFormat="1" x14ac:dyDescent="0.25">
      <c r="A36" s="32" t="s">
        <v>344</v>
      </c>
      <c r="B36" s="19">
        <v>276067.08134999999</v>
      </c>
      <c r="C36" s="33">
        <f>IF(OR(216833.64131="",276067.08135=""),"-",276067.08135/216833.64131*100)</f>
        <v>127.31745852817915</v>
      </c>
      <c r="D36" s="33">
        <f>IF(216833.64131="","-",216833.64131/2467106.07968*100)</f>
        <v>8.788987352263538</v>
      </c>
      <c r="E36" s="33">
        <f>IF(276067.08135="","-",276067.08135/3144446.15815*100)</f>
        <v>8.7795137033741106</v>
      </c>
      <c r="F36" s="33">
        <f>IF(OR(2779164.46518="",249858.71118="",216833.64131=""),"-",(216833.64131-249858.71118)/2779164.46518*100)</f>
        <v>-1.1883093024457281</v>
      </c>
      <c r="G36" s="33">
        <f>IF(OR(2467106.07968="",276067.08135="",216833.64131=""),"-",(276067.08135-216833.64131)/2467106.07968*100)</f>
        <v>2.4009279750015029</v>
      </c>
    </row>
    <row r="37" spans="1:7" s="7" customFormat="1" ht="14.25" customHeight="1" x14ac:dyDescent="0.25">
      <c r="A37" s="32" t="s">
        <v>11</v>
      </c>
      <c r="B37" s="19">
        <v>92766.581449999998</v>
      </c>
      <c r="C37" s="33">
        <f>IF(OR(69480.88574="",92766.58145=""),"-",92766.58145/69480.88574*100)</f>
        <v>133.51381529178531</v>
      </c>
      <c r="D37" s="33">
        <f>IF(69480.88574="","-",69480.88574/2467106.07968*100)</f>
        <v>2.8162909699047933</v>
      </c>
      <c r="E37" s="33">
        <f>IF(92766.58145="","-",92766.58145/3144446.15815*100)</f>
        <v>2.9501723605462589</v>
      </c>
      <c r="F37" s="33">
        <f>IF(OR(2779164.46518="",80160.14641="",69480.88574=""),"-",(69480.88574-80160.14641)/2779164.46518*100)</f>
        <v>-0.38426155788186983</v>
      </c>
      <c r="G37" s="33">
        <f>IF(OR(2467106.07968="",92766.58145="",69480.88574=""),"-",(92766.58145-69480.88574)/2467106.07968*100)</f>
        <v>0.94384655373312165</v>
      </c>
    </row>
    <row r="38" spans="1:7" s="13" customFormat="1" ht="14.25" customHeight="1" x14ac:dyDescent="0.2">
      <c r="A38" s="32" t="s">
        <v>10</v>
      </c>
      <c r="B38" s="19">
        <v>67811.322199999995</v>
      </c>
      <c r="C38" s="33">
        <f>IF(OR(65881.91475="",67811.3222=""),"-",67811.3222/65881.91475*100)</f>
        <v>102.92858435781878</v>
      </c>
      <c r="D38" s="33">
        <f>IF(65881.91475="","-",65881.91475/2467106.07968*100)</f>
        <v>2.6704127273905187</v>
      </c>
      <c r="E38" s="33">
        <f>IF(67811.3222="","-",67811.3222/3144446.15815*100)</f>
        <v>2.1565426402433947</v>
      </c>
      <c r="F38" s="33">
        <f>IF(OR(2779164.46518="",80423.39978="",65881.91475=""),"-",(65881.91475-80423.39978)/2779164.46518*100)</f>
        <v>-0.52323225963016884</v>
      </c>
      <c r="G38" s="33">
        <f>IF(OR(2467106.07968="",67811.3222="",65881.91475=""),"-",(67811.3222-65881.91475)/2467106.07968*100)</f>
        <v>7.8205289423560406E-2</v>
      </c>
    </row>
    <row r="39" spans="1:7" s="13" customFormat="1" ht="14.25" customHeight="1" x14ac:dyDescent="0.2">
      <c r="A39" s="32" t="s">
        <v>12</v>
      </c>
      <c r="B39" s="19">
        <v>13978.163399999999</v>
      </c>
      <c r="C39" s="33">
        <f>IF(OR(13841.56253="",13978.1634=""),"-",13978.1634/13841.56253*100)</f>
        <v>100.98688908643034</v>
      </c>
      <c r="D39" s="33">
        <f>IF(13841.56253="","-",13841.56253/2467106.07968*100)</f>
        <v>0.56104448219735004</v>
      </c>
      <c r="E39" s="33">
        <f>IF(13978.1634="","-",13978.1634/3144446.15815*100)</f>
        <v>0.44453498953290699</v>
      </c>
      <c r="F39" s="33">
        <f>IF(OR(2779164.46518="",9951.72678="",13841.56253=""),"-",(13841.56253-9951.72678)/2779164.46518*100)</f>
        <v>0.13996421581865839</v>
      </c>
      <c r="G39" s="33">
        <f>IF(OR(2467106.07968="",13978.1634="",13841.56253=""),"-",(13978.1634-13841.56253)/2467106.07968*100)</f>
        <v>5.5368867648252175E-3</v>
      </c>
    </row>
    <row r="40" spans="1:7" s="13" customFormat="1" ht="14.25" customHeight="1" x14ac:dyDescent="0.2">
      <c r="A40" s="32" t="s">
        <v>14</v>
      </c>
      <c r="B40" s="41">
        <v>7510.6509100000003</v>
      </c>
      <c r="C40" s="33" t="s">
        <v>218</v>
      </c>
      <c r="D40" s="33">
        <f>IF(4855.30376="","-",4855.30376/2467106.07968*100)</f>
        <v>0.19680158060450181</v>
      </c>
      <c r="E40" s="33">
        <f>IF(7510.65091="","-",7510.65091/3144446.15815*100)</f>
        <v>0.23885449240507295</v>
      </c>
      <c r="F40" s="33">
        <f>IF(OR(2779164.46518="",3580.63222="",4855.30376=""),"-",(4855.30376-3580.63222)/2779164.46518*100)</f>
        <v>4.5865279150273039E-2</v>
      </c>
      <c r="G40" s="33">
        <f>IF(OR(2467106.07968="",7510.65091="",4855.30376=""),"-",(7510.65091-4855.30376)/2467106.07968*100)</f>
        <v>0.1076300355250398</v>
      </c>
    </row>
    <row r="41" spans="1:7" s="11" customFormat="1" ht="14.25" customHeight="1" x14ac:dyDescent="0.2">
      <c r="A41" s="32" t="s">
        <v>13</v>
      </c>
      <c r="B41" s="19">
        <v>4333.5959300000004</v>
      </c>
      <c r="C41" s="33">
        <f>IF(OR(3071.78188="",4333.59593=""),"-",4333.59593/3071.78188*100)</f>
        <v>141.07759272282706</v>
      </c>
      <c r="D41" s="33">
        <f>IF(3071.78188="","-",3071.78188/2467106.07968*100)</f>
        <v>0.12450951766121182</v>
      </c>
      <c r="E41" s="33">
        <f>IF(4333.59593="","-",4333.59593/3144446.15815*100)</f>
        <v>0.13781746330010697</v>
      </c>
      <c r="F41" s="33">
        <f>IF(OR(2779164.46518="",5008.53334="",3071.78188=""),"-",(3071.78188-5008.53334)/2779164.46518*100)</f>
        <v>-6.9688263658572697E-2</v>
      </c>
      <c r="G41" s="33">
        <f>IF(OR(2467106.07968="",4333.59593="",3071.78188=""),"-",(4333.59593-3071.78188)/2467106.07968*100)</f>
        <v>5.1145512566029019E-2</v>
      </c>
    </row>
    <row r="42" spans="1:7" s="13" customFormat="1" ht="14.25" customHeight="1" x14ac:dyDescent="0.2">
      <c r="A42" s="32" t="s">
        <v>369</v>
      </c>
      <c r="B42" s="19">
        <v>1740.4034999999999</v>
      </c>
      <c r="C42" s="33" t="s">
        <v>303</v>
      </c>
      <c r="D42" s="33">
        <f>IF(716.01464="","-",716.01464/2467106.07968*100)</f>
        <v>2.9022450469291205E-2</v>
      </c>
      <c r="E42" s="33">
        <f>IF(1740.4035="","-",1740.4035/3144446.15815*100)</f>
        <v>5.534849103677917E-2</v>
      </c>
      <c r="F42" s="33">
        <f>IF(OR(2779164.46518="",1395.20772="",716.01464=""),"-",(716.01464-1395.20772)/2779164.46518*100)</f>
        <v>-2.4438750873133748E-2</v>
      </c>
      <c r="G42" s="33">
        <f>IF(OR(2467106.07968="",1740.4035="",716.01464=""),"-",(1740.4035-716.01464)/2467106.07968*100)</f>
        <v>4.1521881383100881E-2</v>
      </c>
    </row>
    <row r="43" spans="1:7" s="11" customFormat="1" ht="14.25" customHeight="1" x14ac:dyDescent="0.2">
      <c r="A43" s="32" t="s">
        <v>16</v>
      </c>
      <c r="B43" s="19">
        <v>1105.75692</v>
      </c>
      <c r="C43" s="33">
        <f>IF(OR(1288.47579="",1105.75692=""),"-",1105.75692/1288.47579*100)</f>
        <v>85.818990824810143</v>
      </c>
      <c r="D43" s="33">
        <f>IF(1288.47579="","-",1288.47579/2467106.07968*100)</f>
        <v>5.222620140302698E-2</v>
      </c>
      <c r="E43" s="33">
        <f>IF(1105.75692="","-",1105.75692/3144446.15815*100)</f>
        <v>3.5165395252007105E-2</v>
      </c>
      <c r="F43" s="33">
        <f>IF(OR(2779164.46518="",3554.56727="",1288.47579=""),"-",(1288.47579-3554.56727)/2779164.46518*100)</f>
        <v>-8.1538588607897686E-2</v>
      </c>
      <c r="G43" s="33">
        <f>IF(OR(2467106.07968="",1105.75692="",1288.47579=""),"-",(1105.75692-1288.47579)/2467106.07968*100)</f>
        <v>-7.4062024128163876E-3</v>
      </c>
    </row>
    <row r="44" spans="1:7" s="11" customFormat="1" ht="14.25" customHeight="1" x14ac:dyDescent="0.2">
      <c r="A44" s="32" t="s">
        <v>15</v>
      </c>
      <c r="B44" s="19">
        <v>623.74607000000003</v>
      </c>
      <c r="C44" s="33">
        <f>IF(OR(698.57462="",623.74607=""),"-",623.74607/698.57462*100)</f>
        <v>89.288395561808414</v>
      </c>
      <c r="D44" s="33">
        <f>IF(698.57462="","-",698.57462/2467106.07968*100)</f>
        <v>2.8315548559250024E-2</v>
      </c>
      <c r="E44" s="33">
        <f>IF(623.74607="","-",623.74607/3144446.15815*100)</f>
        <v>1.9836436645077556E-2</v>
      </c>
      <c r="F44" s="33">
        <f>IF(OR(2779164.46518="",840.19358="",698.57462=""),"-",(698.57462-840.19358)/2779164.46518*100)</f>
        <v>-5.0957387291877196E-3</v>
      </c>
      <c r="G44" s="33">
        <f>IF(OR(2467106.07968="",623.74607="",698.57462=""),"-",(623.74607-698.57462)/2467106.07968*100)</f>
        <v>-3.0330495561709169E-3</v>
      </c>
    </row>
    <row r="45" spans="1:7" s="11" customFormat="1" ht="14.25" customHeight="1" x14ac:dyDescent="0.2">
      <c r="A45" s="32" t="s">
        <v>17</v>
      </c>
      <c r="B45" s="19">
        <v>270.17144000000002</v>
      </c>
      <c r="C45" s="33">
        <f>IF(OR(294.44257="",270.17144=""),"-",270.17144/294.44257*100)</f>
        <v>91.756922241237078</v>
      </c>
      <c r="D45" s="33">
        <f>IF(294.44257="","-",294.44257/2467106.07968*100)</f>
        <v>1.193473488737019E-2</v>
      </c>
      <c r="E45" s="33">
        <f>IF(270.17144="","-",270.17144/3144446.15815*100)</f>
        <v>8.5920199110342647E-3</v>
      </c>
      <c r="F45" s="33">
        <f>IF(OR(2779164.46518="",176.38698="",294.44257=""),"-",(294.44257-176.38698)/2779164.46518*100)</f>
        <v>4.2478806662618225E-3</v>
      </c>
      <c r="G45" s="33">
        <f>IF(OR(2467106.07968="",270.17144="",294.44257=""),"-",(270.17144-294.44257)/2467106.07968*100)</f>
        <v>-9.8378947706813228E-4</v>
      </c>
    </row>
    <row r="46" spans="1:7" s="11" customFormat="1" ht="12.75" x14ac:dyDescent="0.2">
      <c r="A46" s="30" t="s">
        <v>143</v>
      </c>
      <c r="B46" s="18">
        <v>758790.92402999999</v>
      </c>
      <c r="C46" s="31" t="s">
        <v>101</v>
      </c>
      <c r="D46" s="31">
        <f>IF(449775.95644="","-",449775.95644/2467106.07968*100)</f>
        <v>18.230912733932335</v>
      </c>
      <c r="E46" s="31">
        <f>IF(758790.92403="","-",758790.92403/3144446.15815*100)</f>
        <v>24.131146976815344</v>
      </c>
      <c r="F46" s="31">
        <f>IF(2779164.46518="","-",(449775.95644-563602.69863)/2779164.46518*100)</f>
        <v>-4.0957181057878751</v>
      </c>
      <c r="G46" s="31">
        <f>IF(2467106.07968="","-",(758790.92403-449775.95644)/2467106.07968*100)</f>
        <v>12.525402540862018</v>
      </c>
    </row>
    <row r="47" spans="1:7" s="7" customFormat="1" x14ac:dyDescent="0.25">
      <c r="A47" s="32" t="s">
        <v>55</v>
      </c>
      <c r="B47" s="78">
        <v>313959.59291000001</v>
      </c>
      <c r="C47" s="33" t="s">
        <v>207</v>
      </c>
      <c r="D47" s="33">
        <f>IF(171687.12764="","-",171687.12764/2467106.07968*100)</f>
        <v>6.9590492704824811</v>
      </c>
      <c r="E47" s="33">
        <f>IF(313959.59291="","-",313959.59291/3144446.15815*100)</f>
        <v>9.984575251710293</v>
      </c>
      <c r="F47" s="33">
        <f>IF(OR(2779164.46518="",175543.37425="",171687.12764=""),"-",(171687.12764-175543.37425)/2779164.46518*100)</f>
        <v>-0.13875561012364346</v>
      </c>
      <c r="G47" s="33">
        <f>IF(OR(2467106.07968="",313959.59291="",171687.12764=""),"-",(313959.59291-171687.12764)/2467106.07968*100)</f>
        <v>5.7667753503511161</v>
      </c>
    </row>
    <row r="48" spans="1:7" s="7" customFormat="1" x14ac:dyDescent="0.25">
      <c r="A48" s="32" t="s">
        <v>345</v>
      </c>
      <c r="B48" s="78">
        <v>118855.20765</v>
      </c>
      <c r="C48" s="33" t="s">
        <v>103</v>
      </c>
      <c r="D48" s="33">
        <f>IF(61397.70689="","-",61397.70689/2467106.07968*100)</f>
        <v>2.4886528956210787</v>
      </c>
      <c r="E48" s="33">
        <f>IF(118855.20765="","-",118855.20765/3144446.15815*100)</f>
        <v>3.7798455331137593</v>
      </c>
      <c r="F48" s="33">
        <f>IF(OR(2779164.46518="",85378.69695="",61397.70689=""),"-",(61397.70689-85378.69695)/2779164.46518*100)</f>
        <v>-0.86288488358485138</v>
      </c>
      <c r="G48" s="33">
        <f>IF(OR(2467106.07968="",118855.20765="",61397.70689=""),"-",(118855.20765-61397.70689)/2467106.07968*100)</f>
        <v>2.3289432600098254</v>
      </c>
    </row>
    <row r="49" spans="1:7" s="12" customFormat="1" ht="25.5" x14ac:dyDescent="0.25">
      <c r="A49" s="32" t="s">
        <v>346</v>
      </c>
      <c r="B49" s="78">
        <v>65377.832670000003</v>
      </c>
      <c r="C49" s="33" t="s">
        <v>218</v>
      </c>
      <c r="D49" s="33">
        <f>IF(42764.58253="","-",42764.58253/2467106.07968*100)</f>
        <v>1.7333905048601255</v>
      </c>
      <c r="E49" s="33">
        <f>IF(65377.83267="","-",65377.83267/3144446.15815*100)</f>
        <v>2.0791525560248205</v>
      </c>
      <c r="F49" s="33">
        <f>IF(OR(2779164.46518="",49936.12554="",42764.58253=""),"-",(42764.58253-49936.12554)/2779164.46518*100)</f>
        <v>-0.25804672950636326</v>
      </c>
      <c r="G49" s="33">
        <f>IF(OR(2467106.07968="",65377.83267="",42764.58253=""),"-",(65377.83267-42764.58253)/2467106.07968*100)</f>
        <v>0.91659010231668236</v>
      </c>
    </row>
    <row r="50" spans="1:7" s="7" customFormat="1" x14ac:dyDescent="0.25">
      <c r="A50" s="32" t="s">
        <v>18</v>
      </c>
      <c r="B50" s="78">
        <v>31732.327809999999</v>
      </c>
      <c r="C50" s="33">
        <f>IF(OR(25681.56647="",31732.32781=""),"-",31732.32781/25681.56647*100)</f>
        <v>123.56071755618261</v>
      </c>
      <c r="D50" s="33">
        <f>IF(25681.56647="","-",25681.56647/2467106.07968*100)</f>
        <v>1.0409591497310513</v>
      </c>
      <c r="E50" s="33">
        <f>IF(31732.32781="","-",31732.32781/3144446.15815*100)</f>
        <v>1.0091547513941013</v>
      </c>
      <c r="F50" s="33">
        <f>IF(OR(2779164.46518="",24335.80652="",25681.56647=""),"-",(25681.56647-24335.80652)/2779164.46518*100)</f>
        <v>4.8423184984586427E-2</v>
      </c>
      <c r="G50" s="33">
        <f>IF(OR(2467106.07968="",31732.32781="",25681.56647=""),"-",(31732.32781-25681.56647)/2467106.07968*100)</f>
        <v>0.24525744514337305</v>
      </c>
    </row>
    <row r="51" spans="1:7" s="14" customFormat="1" x14ac:dyDescent="0.25">
      <c r="A51" s="32" t="s">
        <v>59</v>
      </c>
      <c r="B51" s="78">
        <v>24831.193480000002</v>
      </c>
      <c r="C51" s="33" t="s">
        <v>93</v>
      </c>
      <c r="D51" s="33">
        <f>IF(11625.95502="","-",11625.95502/2467106.07968*100)</f>
        <v>0.47123855418117905</v>
      </c>
      <c r="E51" s="33">
        <f>IF(24831.19348="","-",24831.19348/3144446.15815*100)</f>
        <v>0.78968416793020102</v>
      </c>
      <c r="F51" s="33">
        <f>IF(OR(2779164.46518="",14362.4507="",11625.95502=""),"-",(11625.95502-14362.4507)/2779164.46518*100)</f>
        <v>-9.8464690171647107E-2</v>
      </c>
      <c r="G51" s="33">
        <f>IF(OR(2467106.07968="",24831.19348="",11625.95502=""),"-",(24831.19348-11625.95502)/2467106.07968*100)</f>
        <v>0.53525215509633906</v>
      </c>
    </row>
    <row r="52" spans="1:7" s="12" customFormat="1" x14ac:dyDescent="0.25">
      <c r="A52" s="32" t="s">
        <v>65</v>
      </c>
      <c r="B52" s="78">
        <v>24067.818200000002</v>
      </c>
      <c r="C52" s="33" t="s">
        <v>214</v>
      </c>
      <c r="D52" s="33">
        <f>IF(9539.65528="","-",9539.65528/2467106.07968*100)</f>
        <v>0.38667389937433727</v>
      </c>
      <c r="E52" s="33">
        <f>IF(24067.8182="","-",24067.8182/3144446.15815*100)</f>
        <v>0.76540722879351297</v>
      </c>
      <c r="F52" s="33">
        <f>IF(OR(2779164.46518="",8620.21519="",9539.65528=""),"-",(9539.65528-8620.21519)/2779164.46518*100)</f>
        <v>3.3083327795803912E-2</v>
      </c>
      <c r="G52" s="33">
        <f>IF(OR(2467106.07968="",24067.8182="",9539.65528=""),"-",(24067.8182-9539.65528)/2467106.07968*100)</f>
        <v>0.58887467546123506</v>
      </c>
    </row>
    <row r="53" spans="1:7" s="7" customFormat="1" x14ac:dyDescent="0.25">
      <c r="A53" s="32" t="s">
        <v>57</v>
      </c>
      <c r="B53" s="78">
        <v>19485.082549999999</v>
      </c>
      <c r="C53" s="33">
        <f>IF(OR(22790.74712="",19485.08255=""),"-",19485.08255/22790.74712*100)</f>
        <v>85.495584885415539</v>
      </c>
      <c r="D53" s="33">
        <f>IF(22790.74712="","-",22790.74712/2467106.07968*100)</f>
        <v>0.92378464419155049</v>
      </c>
      <c r="E53" s="33">
        <f>IF(19485.08255="","-",19485.08255/3144446.15815*100)</f>
        <v>0.61966659850406958</v>
      </c>
      <c r="F53" s="33">
        <f>IF(OR(2779164.46518="",20969.42495="",22790.74712=""),"-",(22790.74712-20969.42495)/2779164.46518*100)</f>
        <v>6.5534882617392584E-2</v>
      </c>
      <c r="G53" s="33">
        <f>IF(OR(2467106.07968="",19485.08255="",22790.74712=""),"-",(19485.08255-22790.74712)/2467106.07968*100)</f>
        <v>-0.13398955955832947</v>
      </c>
    </row>
    <row r="54" spans="1:7" s="7" customFormat="1" x14ac:dyDescent="0.25">
      <c r="A54" s="32" t="s">
        <v>73</v>
      </c>
      <c r="B54" s="19">
        <v>14403.81776</v>
      </c>
      <c r="C54" s="33" t="s">
        <v>375</v>
      </c>
      <c r="D54" s="33">
        <f>IF(675.76666="","-",675.76666/2467106.07968*100)</f>
        <v>2.7391066219886719E-2</v>
      </c>
      <c r="E54" s="33">
        <f>IF(14403.81776="","-",14403.81776/3144446.15815*100)</f>
        <v>0.4580716932508816</v>
      </c>
      <c r="F54" s="33">
        <f>IF(OR(2779164.46518="",1869.02685="",675.76666=""),"-",(675.76666-1869.02685)/2779164.46518*100)</f>
        <v>-4.293593290178728E-2</v>
      </c>
      <c r="G54" s="33">
        <f>IF(OR(2467106.07968="",14403.81776="",675.76666=""),"-",(14403.81776-675.76666)/2467106.07968*100)</f>
        <v>0.55644348709077884</v>
      </c>
    </row>
    <row r="55" spans="1:7" s="14" customFormat="1" x14ac:dyDescent="0.25">
      <c r="A55" s="32" t="s">
        <v>61</v>
      </c>
      <c r="B55" s="78">
        <v>12715.775509999999</v>
      </c>
      <c r="C55" s="33" t="s">
        <v>214</v>
      </c>
      <c r="D55" s="33">
        <f>IF(5088.99673="","-",5088.99673/2467106.07968*100)</f>
        <v>0.20627393252016452</v>
      </c>
      <c r="E55" s="33">
        <f>IF(12715.77551="","-",12715.77551/3144446.15815*100)</f>
        <v>0.40438840006982935</v>
      </c>
      <c r="F55" s="33">
        <f>IF(OR(2779164.46518="",6555.28925="",5088.99673=""),"-",(5088.99673-6555.28925)/2779164.46518*100)</f>
        <v>-5.2760192438090617E-2</v>
      </c>
      <c r="G55" s="33">
        <f>IF(OR(2467106.07968="",12715.77551="",5088.99673=""),"-",(12715.77551-5088.99673)/2467106.07968*100)</f>
        <v>0.30913866423567987</v>
      </c>
    </row>
    <row r="56" spans="1:7" s="7" customFormat="1" x14ac:dyDescent="0.25">
      <c r="A56" s="32" t="s">
        <v>58</v>
      </c>
      <c r="B56" s="78">
        <v>12399.98227</v>
      </c>
      <c r="C56" s="33">
        <f>IF(OR(12488.36158="",12399.98227=""),"-",12399.98227/12488.36158*100)</f>
        <v>99.292306605363351</v>
      </c>
      <c r="D56" s="33">
        <f>IF(12488.36158="","-",12488.36158/2467106.07968*100)</f>
        <v>0.50619475517728141</v>
      </c>
      <c r="E56" s="33">
        <f>IF(12399.98227="","-",12399.98227/3144446.15815*100)</f>
        <v>0.39434551098484671</v>
      </c>
      <c r="F56" s="33">
        <f>IF(OR(2779164.46518="",17421.87454="",12488.36158=""),"-",(12488.36158-17421.87454)/2779164.46518*100)</f>
        <v>-0.17751784832498094</v>
      </c>
      <c r="G56" s="33">
        <f>IF(OR(2467106.07968="",12399.98227="",12488.36158=""),"-",(12399.98227-12488.36158)/2467106.07968*100)</f>
        <v>-3.5823068463867449E-3</v>
      </c>
    </row>
    <row r="57" spans="1:7" s="12" customFormat="1" x14ac:dyDescent="0.25">
      <c r="A57" s="32" t="s">
        <v>67</v>
      </c>
      <c r="B57" s="78">
        <v>7826.4470499999998</v>
      </c>
      <c r="C57" s="33">
        <f>IF(OR(5538.96835="",7826.44705=""),"-",7826.44705/5538.96835*100)</f>
        <v>141.29791967487952</v>
      </c>
      <c r="D57" s="33">
        <f>IF(5538.96835="","-",5538.96835/2467106.07968*100)</f>
        <v>0.22451277614777074</v>
      </c>
      <c r="E57" s="33">
        <f>IF(7826.44705="","-",7826.44705/3144446.15815*100)</f>
        <v>0.24889747371615364</v>
      </c>
      <c r="F57" s="33">
        <f>IF(OR(2779164.46518="",6712.22343="",5538.96835=""),"-",(5538.96835-6712.22343)/2779164.46518*100)</f>
        <v>-4.221610828361002E-2</v>
      </c>
      <c r="G57" s="33">
        <f>IF(OR(2467106.07968="",7826.44705="",5538.96835=""),"-",(7826.44705-5538.96835)/2467106.07968*100)</f>
        <v>9.2719105953348424E-2</v>
      </c>
    </row>
    <row r="58" spans="1:7" s="7" customFormat="1" x14ac:dyDescent="0.25">
      <c r="A58" s="32" t="s">
        <v>64</v>
      </c>
      <c r="B58" s="78">
        <v>7601.6523100000004</v>
      </c>
      <c r="C58" s="33">
        <f>IF(OR(5156.99595="",7601.65231=""),"-",7601.65231/5156.99595*100)</f>
        <v>147.40465929588328</v>
      </c>
      <c r="D58" s="33">
        <f>IF(5156.99595="","-",5156.99595/2467106.07968*100)</f>
        <v>0.20903016665861796</v>
      </c>
      <c r="E58" s="33">
        <f>IF(7601.65231="","-",7601.65231/3144446.15815*100)</f>
        <v>0.24174852828366911</v>
      </c>
      <c r="F58" s="33">
        <f>IF(OR(2779164.46518="",12473.92108="",5156.99595=""),"-",(5156.99595-12473.92108)/2779164.46518*100)</f>
        <v>-0.26327787439978295</v>
      </c>
      <c r="G58" s="33">
        <f>IF(OR(2467106.07968="",7601.65231="",5156.99595=""),"-",(7601.65231-5156.99595)/2467106.07968*100)</f>
        <v>9.9090038330134883E-2</v>
      </c>
    </row>
    <row r="59" spans="1:7" s="12" customFormat="1" x14ac:dyDescent="0.25">
      <c r="A59" s="32" t="s">
        <v>56</v>
      </c>
      <c r="B59" s="78">
        <v>5703.52855</v>
      </c>
      <c r="C59" s="33">
        <f>IF(OR(6555.76689="",5703.52855=""),"-",5703.52855/6555.76689*100)</f>
        <v>87.000173216958302</v>
      </c>
      <c r="D59" s="33">
        <f>IF(6555.76689="","-",6555.76689/2467106.07968*100)</f>
        <v>0.26572699666202948</v>
      </c>
      <c r="E59" s="33">
        <f>IF(5703.52855="","-",5703.52855/3144446.15815*100)</f>
        <v>0.18138420132325012</v>
      </c>
      <c r="F59" s="33">
        <f>IF(OR(2779164.46518="",8587.73564="",6555.76689=""),"-",(6555.76689-8587.73564)/2779164.46518*100)</f>
        <v>-7.3114375757837538E-2</v>
      </c>
      <c r="G59" s="33">
        <f>IF(OR(2467106.07968="",5703.52855="",6555.76689=""),"-",(5703.52855-6555.76689)/2467106.07968*100)</f>
        <v>-3.4544049281842834E-2</v>
      </c>
    </row>
    <row r="60" spans="1:7" s="7" customFormat="1" x14ac:dyDescent="0.25">
      <c r="A60" s="32" t="s">
        <v>120</v>
      </c>
      <c r="B60" s="78">
        <v>5200.0051700000004</v>
      </c>
      <c r="C60" s="33">
        <f>IF(OR(3777.24465="",5200.00517=""),"-",5200.00517/3777.24465*100)</f>
        <v>137.66662347380648</v>
      </c>
      <c r="D60" s="33">
        <f>IF(3777.24465="","-",3777.24465/2467106.07968*100)</f>
        <v>0.15310426580805694</v>
      </c>
      <c r="E60" s="33">
        <f>IF(5200.00517="","-",5200.00517/3144446.15815*100)</f>
        <v>0.16537109902557101</v>
      </c>
      <c r="F60" s="33">
        <f>IF(OR(2779164.46518="",15907.46473="",3777.24465=""),"-",(3777.24465-15907.46473)/2779164.46518*100)</f>
        <v>-0.43647003378097504</v>
      </c>
      <c r="G60" s="33">
        <f>IF(OR(2467106.07968="",5200.00517="",3777.24465=""),"-",(5200.00517-3777.24465)/2467106.07968*100)</f>
        <v>5.766920732425667E-2</v>
      </c>
    </row>
    <row r="61" spans="1:7" s="12" customFormat="1" x14ac:dyDescent="0.25">
      <c r="A61" s="32" t="s">
        <v>36</v>
      </c>
      <c r="B61" s="78">
        <v>4781.5234300000002</v>
      </c>
      <c r="C61" s="33">
        <f>IF(OR(3873.98236="",4781.52343=""),"-",4781.52343/3873.98236*100)</f>
        <v>123.42656691911216</v>
      </c>
      <c r="D61" s="33">
        <f>IF(3873.98236="","-",3873.98236/2467106.07968*100)</f>
        <v>0.15702536635564859</v>
      </c>
      <c r="E61" s="33">
        <f>IF(4781.52343="","-",4781.52343/3144446.15815*100)</f>
        <v>0.15206249970624897</v>
      </c>
      <c r="F61" s="33">
        <f>IF(OR(2779164.46518="",3066.65897="",3873.98236=""),"-",(3873.98236-3066.65897)/2779164.46518*100)</f>
        <v>2.9049140492220262E-2</v>
      </c>
      <c r="G61" s="33">
        <f>IF(OR(2467106.07968="",4781.52343="",3873.98236=""),"-",(4781.52343-3873.98236)/2467106.07968*100)</f>
        <v>3.678565252928704E-2</v>
      </c>
    </row>
    <row r="62" spans="1:7" s="7" customFormat="1" x14ac:dyDescent="0.25">
      <c r="A62" s="32" t="s">
        <v>62</v>
      </c>
      <c r="B62" s="78">
        <v>4413.8908300000003</v>
      </c>
      <c r="C62" s="33" t="s">
        <v>376</v>
      </c>
      <c r="D62" s="33">
        <f>IF(351.11492="","-",351.11492/2467106.07968*100)</f>
        <v>1.4231853380440859E-2</v>
      </c>
      <c r="E62" s="33">
        <f>IF(4413.89083="","-",4413.89083/3144446.15815*100)</f>
        <v>0.14037100996497467</v>
      </c>
      <c r="F62" s="33">
        <f>IF(OR(2779164.46518="",2417.41419="",351.11492=""),"-",(351.11492-2417.41419)/2779164.46518*100)</f>
        <v>-7.4349657815813028E-2</v>
      </c>
      <c r="G62" s="33">
        <f>IF(OR(2467106.07968="",4413.89083="",351.11492=""),"-",(4413.89083-351.11492)/2467106.07968*100)</f>
        <v>0.16467779571630617</v>
      </c>
    </row>
    <row r="63" spans="1:7" s="7" customFormat="1" x14ac:dyDescent="0.25">
      <c r="A63" s="32" t="s">
        <v>60</v>
      </c>
      <c r="B63" s="78">
        <v>4043.8626300000001</v>
      </c>
      <c r="C63" s="33" t="s">
        <v>102</v>
      </c>
      <c r="D63" s="33">
        <f>IF(2595.6631="","-",2595.6631/2467106.07968*100)</f>
        <v>0.10521084283237124</v>
      </c>
      <c r="E63" s="33">
        <f>IF(4043.86263="","-",4043.86263/3144446.15815*100)</f>
        <v>0.1286033351062103</v>
      </c>
      <c r="F63" s="33">
        <f>IF(OR(2779164.46518="",11543.91882="",2595.6631=""),"-",(2595.6631-11543.91882)/2779164.46518*100)</f>
        <v>-0.32197647286125775</v>
      </c>
      <c r="G63" s="33">
        <f>IF(OR(2467106.07968="",4043.86263="",2595.6631=""),"-",(4043.86263-2595.6631)/2467106.07968*100)</f>
        <v>5.8700334854990953E-2</v>
      </c>
    </row>
    <row r="64" spans="1:7" s="12" customFormat="1" x14ac:dyDescent="0.25">
      <c r="A64" s="32" t="s">
        <v>128</v>
      </c>
      <c r="B64" s="78">
        <v>3682.8726099999999</v>
      </c>
      <c r="C64" s="33" t="s">
        <v>206</v>
      </c>
      <c r="D64" s="33">
        <f>IF(1637.51741="","-",1637.51741/2467106.07968*100)</f>
        <v>6.6374017051281264E-2</v>
      </c>
      <c r="E64" s="33">
        <f>IF(3682.87261="","-",3682.87261/3144446.15815*100)</f>
        <v>0.11712309337701546</v>
      </c>
      <c r="F64" s="33">
        <f>IF(OR(2779164.46518="",1538.97181="",1637.51741=""),"-",(1637.51741-1538.97181)/2779164.46518*100)</f>
        <v>3.5458714744907105E-3</v>
      </c>
      <c r="G64" s="33">
        <f>IF(OR(2467106.07968="",3682.87261="",1637.51741=""),"-",(3682.87261-1637.51741)/2467106.07968*100)</f>
        <v>8.2905036668115065E-2</v>
      </c>
    </row>
    <row r="65" spans="1:7" s="14" customFormat="1" x14ac:dyDescent="0.25">
      <c r="A65" s="32" t="s">
        <v>69</v>
      </c>
      <c r="B65" s="78">
        <v>3354.5687600000001</v>
      </c>
      <c r="C65" s="33" t="s">
        <v>358</v>
      </c>
      <c r="D65" s="33">
        <f>IF(312.37617="","-",312.37617/2467106.07968*100)</f>
        <v>1.2661643233456636E-2</v>
      </c>
      <c r="E65" s="33">
        <f>IF(3354.56876="","-",3354.56876/3144446.15815*100)</f>
        <v>0.10668234058660503</v>
      </c>
      <c r="F65" s="33">
        <f>IF(OR(2779164.46518="",1749.78378="",312.37617=""),"-",(312.37617-1749.78378)/2779164.46518*100)</f>
        <v>-5.1720854523336121E-2</v>
      </c>
      <c r="G65" s="33">
        <f>IF(OR(2467106.07968="",3354.56876="",312.37617=""),"-",(3354.56876-312.37617)/2467106.07968*100)</f>
        <v>0.12331016550348708</v>
      </c>
    </row>
    <row r="66" spans="1:7" s="7" customFormat="1" x14ac:dyDescent="0.25">
      <c r="A66" s="32" t="s">
        <v>74</v>
      </c>
      <c r="B66" s="78">
        <v>3205.3766500000002</v>
      </c>
      <c r="C66" s="33">
        <f>IF(OR(2233.59602="",3205.37665=""),"-",3205.37665/2233.59602*100)</f>
        <v>143.50744813737626</v>
      </c>
      <c r="D66" s="33">
        <f>IF(2233.59602="","-",2233.59602/2467106.07968*100)</f>
        <v>9.0535062046854187E-2</v>
      </c>
      <c r="E66" s="33">
        <f>IF(3205.37665="","-",3205.37665/3144446.15815*100)</f>
        <v>0.1019377177660389</v>
      </c>
      <c r="F66" s="33">
        <f>IF(OR(2779164.46518="",1888.55541="",2233.59602=""),"-",(2233.59602-1888.55541)/2779164.46518*100)</f>
        <v>1.2415264167450146E-2</v>
      </c>
      <c r="G66" s="33">
        <f>IF(OR(2467106.07968="",3205.37665="",2233.59602=""),"-",(3205.37665-2233.59602)/2467106.07968*100)</f>
        <v>3.93894951661765E-2</v>
      </c>
    </row>
    <row r="67" spans="1:7" s="7" customFormat="1" x14ac:dyDescent="0.25">
      <c r="A67" s="32" t="s">
        <v>89</v>
      </c>
      <c r="B67" s="78">
        <v>2590.6815900000001</v>
      </c>
      <c r="C67" s="33" t="s">
        <v>377</v>
      </c>
      <c r="D67" s="33">
        <f>IF(353.43076="","-",353.43076/2467106.07968*100)</f>
        <v>1.4325722064040404E-2</v>
      </c>
      <c r="E67" s="33">
        <f>IF(2590.68159="","-",2590.68159/3144446.15815*100)</f>
        <v>8.2389122271509935E-2</v>
      </c>
      <c r="F67" s="33">
        <f>IF(OR(2779164.46518="",1203.84333="",353.43076=""),"-",(353.43076-1203.84333)/2779164.46518*100)</f>
        <v>-3.0599576982750488E-2</v>
      </c>
      <c r="G67" s="33">
        <f>IF(OR(2467106.07968="",2590.68159="",353.43076=""),"-",(2590.68159-353.43076)/2467106.07968*100)</f>
        <v>9.068320362982471E-2</v>
      </c>
    </row>
    <row r="68" spans="1:7" s="7" customFormat="1" x14ac:dyDescent="0.25">
      <c r="A68" s="32" t="s">
        <v>75</v>
      </c>
      <c r="B68" s="78">
        <v>2255.2085499999998</v>
      </c>
      <c r="C68" s="33" t="s">
        <v>102</v>
      </c>
      <c r="D68" s="33">
        <f>IF(1376.97778="","-",1376.97778/2467106.07968*100)</f>
        <v>5.5813480877101279E-2</v>
      </c>
      <c r="E68" s="33">
        <f>IF(2255.20855="","-",2255.20855/3144446.15815*100)</f>
        <v>7.1720374163659617E-2</v>
      </c>
      <c r="F68" s="33">
        <f>IF(OR(2779164.46518="",1650.09515="",1376.97778=""),"-",(1376.97778-1650.09515)/2779164.46518*100)</f>
        <v>-9.8273194487722062E-3</v>
      </c>
      <c r="G68" s="33">
        <f>IF(OR(2467106.07968="",2255.20855="",1376.97778=""),"-",(2255.20855-1376.97778)/2467106.07968*100)</f>
        <v>3.5597608762486299E-2</v>
      </c>
    </row>
    <row r="69" spans="1:7" s="7" customFormat="1" x14ac:dyDescent="0.25">
      <c r="A69" s="32" t="s">
        <v>215</v>
      </c>
      <c r="B69" s="78">
        <v>2147.1405199999999</v>
      </c>
      <c r="C69" s="33" t="s">
        <v>378</v>
      </c>
      <c r="D69" s="33">
        <f>IF(29.28932="","-",29.28932/2467106.07968*100)</f>
        <v>1.1871933777488407E-3</v>
      </c>
      <c r="E69" s="33">
        <f>IF(2147.14052="","-",2147.14052/3144446.15815*100)</f>
        <v>6.8283583563194042E-2</v>
      </c>
      <c r="F69" s="33">
        <f>IF(OR(2779164.46518="",459.89037="",29.28932=""),"-",(29.28932-459.89037)/2779164.46518*100)</f>
        <v>-1.5493903127899666E-2</v>
      </c>
      <c r="G69" s="33">
        <f>IF(OR(2467106.07968="",2147.14052="",29.28932=""),"-",(2147.14052-29.28932)/2467106.07968*100)</f>
        <v>8.5843540228910609E-2</v>
      </c>
    </row>
    <row r="70" spans="1:7" s="7" customFormat="1" x14ac:dyDescent="0.25">
      <c r="A70" s="32" t="s">
        <v>35</v>
      </c>
      <c r="B70" s="78">
        <v>1770.2488499999999</v>
      </c>
      <c r="C70" s="33" t="s">
        <v>217</v>
      </c>
      <c r="D70" s="33">
        <f>IF(761.21528="","-",761.21528/2467106.07968*100)</f>
        <v>3.085458247092215E-2</v>
      </c>
      <c r="E70" s="33">
        <f>IF(1770.24885="","-",1770.24885/3144446.15815*100)</f>
        <v>5.6297635925860665E-2</v>
      </c>
      <c r="F70" s="33">
        <f>IF(OR(2779164.46518="",374.6978="",761.21528=""),"-",(761.21528-374.6978)/2779164.46518*100)</f>
        <v>1.390768645910152E-2</v>
      </c>
      <c r="G70" s="33">
        <f>IF(OR(2467106.07968="",1770.24885="",761.21528=""),"-",(1770.24885-761.21528)/2467106.07968*100)</f>
        <v>4.089948050109294E-2</v>
      </c>
    </row>
    <row r="71" spans="1:7" s="7" customFormat="1" x14ac:dyDescent="0.25">
      <c r="A71" s="32" t="s">
        <v>347</v>
      </c>
      <c r="B71" s="78">
        <v>1524.6224199999999</v>
      </c>
      <c r="C71" s="33">
        <f>IF(OR(2057.92181="",1524.62242=""),"-",1524.62242/2057.92181*100)</f>
        <v>74.085536806668088</v>
      </c>
      <c r="D71" s="33">
        <f>IF(2057.92181="","-",2057.92181/2467106.07968*100)</f>
        <v>8.3414403091533307E-2</v>
      </c>
      <c r="E71" s="33">
        <f>IF(1524.62242="","-",1524.62242/3144446.15815*100)</f>
        <v>4.8486198946303301E-2</v>
      </c>
      <c r="F71" s="33">
        <f>IF(OR(2779164.46518="",1914.91517="",2057.92181=""),"-",(2057.92181-1914.91517)/2779164.46518*100)</f>
        <v>5.1456702829833292E-3</v>
      </c>
      <c r="G71" s="33">
        <f>IF(OR(2467106.07968="",1524.62242="",2057.92181=""),"-",(1524.62242-2057.92181)/2467106.07968*100)</f>
        <v>-2.1616394787092916E-2</v>
      </c>
    </row>
    <row r="72" spans="1:7" s="7" customFormat="1" x14ac:dyDescent="0.25">
      <c r="A72" s="32" t="s">
        <v>63</v>
      </c>
      <c r="B72" s="78">
        <v>1389.0401999999999</v>
      </c>
      <c r="C72" s="33" t="s">
        <v>348</v>
      </c>
      <c r="D72" s="33">
        <f>IF(432.21897="","-",432.21897/2467106.07968*100)</f>
        <v>1.7519269785758934E-2</v>
      </c>
      <c r="E72" s="33">
        <f>IF(1389.0402="","-",1389.0402/3144446.15815*100)</f>
        <v>4.4174399246741318E-2</v>
      </c>
      <c r="F72" s="33">
        <f>IF(OR(2779164.46518="",1644.63353="",432.21897=""),"-",(432.21897-1644.63353)/2779164.46518*100)</f>
        <v>-4.3625146161383258E-2</v>
      </c>
      <c r="G72" s="33">
        <f>IF(OR(2467106.07968="",1389.0402="",432.21897=""),"-",(1389.0402-432.21897)/2467106.07968*100)</f>
        <v>3.8783141020190995E-2</v>
      </c>
    </row>
    <row r="73" spans="1:7" s="7" customFormat="1" x14ac:dyDescent="0.25">
      <c r="A73" s="32" t="s">
        <v>37</v>
      </c>
      <c r="B73" s="78">
        <v>1225.1928600000001</v>
      </c>
      <c r="C73" s="33">
        <f>IF(OR(1477.67051="",1225.19286=""),"-",1225.19286/1477.67051*100)</f>
        <v>82.913806001312167</v>
      </c>
      <c r="D73" s="33">
        <f>IF(1477.67051="","-",1477.67051/2467106.07968*100)</f>
        <v>5.9894891515636151E-2</v>
      </c>
      <c r="E73" s="33">
        <f>IF(1225.19286="","-",1225.19286/3144446.15815*100)</f>
        <v>3.8963709295020292E-2</v>
      </c>
      <c r="F73" s="33">
        <f>IF(OR(2779164.46518="",887.71033="",1477.67051=""),"-",(1477.67051-887.71033)/2779164.46518*100)</f>
        <v>2.1227969319253283E-2</v>
      </c>
      <c r="G73" s="33">
        <f>IF(OR(2467106.07968="",1225.19286="",1477.67051=""),"-",(1225.19286-1477.67051)/2467106.07968*100)</f>
        <v>-1.0233757359665209E-2</v>
      </c>
    </row>
    <row r="74" spans="1:7" s="7" customFormat="1" x14ac:dyDescent="0.25">
      <c r="A74" s="32" t="s">
        <v>94</v>
      </c>
      <c r="B74" s="78">
        <v>1223.4232999999999</v>
      </c>
      <c r="C74" s="33" t="s">
        <v>214</v>
      </c>
      <c r="D74" s="33">
        <f>IF(494.50929="","-",494.50929/2467106.07968*100)</f>
        <v>2.0044103254130894E-2</v>
      </c>
      <c r="E74" s="33">
        <f>IF(1223.4233="","-",1223.4233/3144446.15815*100)</f>
        <v>3.8907433565972947E-2</v>
      </c>
      <c r="F74" s="33">
        <f>IF(OR(2779164.46518="",951.0528="",494.50929=""),"-",(494.50929-951.0528)/2779164.46518*100)</f>
        <v>-1.642736569641735E-2</v>
      </c>
      <c r="G74" s="33">
        <f>IF(OR(2467106.07968="",1223.4233="",494.50929=""),"-",(1223.4233-494.50929)/2467106.07968*100)</f>
        <v>2.9545304760245451E-2</v>
      </c>
    </row>
    <row r="75" spans="1:7" x14ac:dyDescent="0.25">
      <c r="A75" s="32" t="s">
        <v>146</v>
      </c>
      <c r="B75" s="78">
        <v>1177.91975</v>
      </c>
      <c r="C75" s="33" t="s">
        <v>206</v>
      </c>
      <c r="D75" s="33">
        <f>IF(535.46692="","-",535.46692/2467106.07968*100)</f>
        <v>2.1704251974015387E-2</v>
      </c>
      <c r="E75" s="33">
        <f>IF(1177.91975="","-",1177.91975/3144446.15815*100)</f>
        <v>3.7460324990681859E-2</v>
      </c>
      <c r="F75" s="33">
        <f>IF(OR(2779164.46518="",1004.40352="",535.46692=""),"-",(535.46692-1004.40352)/2779164.46518*100)</f>
        <v>-1.6873294325516937E-2</v>
      </c>
      <c r="G75" s="33">
        <f>IF(OR(2467106.07968="",1177.91975="",535.46692=""),"-",(1177.91975-535.46692)/2467106.07968*100)</f>
        <v>2.6040746090793567E-2</v>
      </c>
    </row>
    <row r="76" spans="1:7" x14ac:dyDescent="0.25">
      <c r="A76" s="32" t="s">
        <v>66</v>
      </c>
      <c r="B76" s="78">
        <v>1146.97081</v>
      </c>
      <c r="C76" s="33">
        <f>IF(OR(3153.32012="",1146.97081=""),"-",1146.97081/3153.32012*100)</f>
        <v>36.373433915742119</v>
      </c>
      <c r="D76" s="33">
        <f>IF(3153.32012="","-",3153.32012/2467106.07968*100)</f>
        <v>0.1278145332287052</v>
      </c>
      <c r="E76" s="33">
        <f>IF(1146.97081="","-",1146.97081/3144446.15815*100)</f>
        <v>3.6476083618960979E-2</v>
      </c>
      <c r="F76" s="33">
        <f>IF(OR(2779164.46518="",47.29872="",3153.32012=""),"-",(3153.32012-47.29872)/2779164.46518*100)</f>
        <v>0.1117609784852668</v>
      </c>
      <c r="G76" s="33">
        <f>IF(OR(2467106.07968="",1146.97081="",3153.32012=""),"-",(1146.97081-3153.32012)/2467106.07968*100)</f>
        <v>-8.1323998450047869E-2</v>
      </c>
    </row>
    <row r="77" spans="1:7" x14ac:dyDescent="0.25">
      <c r="A77" s="32" t="s">
        <v>86</v>
      </c>
      <c r="B77" s="78">
        <v>1144.49431</v>
      </c>
      <c r="C77" s="33" t="s">
        <v>359</v>
      </c>
      <c r="D77" s="33">
        <f>IF(98.8642="","-",98.8642/2467106.07968*100)</f>
        <v>4.0072942470646957E-3</v>
      </c>
      <c r="E77" s="33">
        <f>IF(1144.49431="","-",1144.49431/3144446.15815*100)</f>
        <v>3.6397325711353588E-2</v>
      </c>
      <c r="F77" s="33">
        <f>IF(OR(2779164.46518="",4.15058="",98.8642=""),"-",(98.8642-4.15058)/2779164.46518*100)</f>
        <v>3.4079890264380455E-3</v>
      </c>
      <c r="G77" s="33">
        <f>IF(OR(2467106.07968="",1144.49431="",98.8642=""),"-",(1144.49431-98.8642)/2467106.07968*100)</f>
        <v>4.2382859764815026E-2</v>
      </c>
    </row>
    <row r="78" spans="1:7" x14ac:dyDescent="0.25">
      <c r="A78" s="32" t="s">
        <v>127</v>
      </c>
      <c r="B78" s="78">
        <v>1061.8601000000001</v>
      </c>
      <c r="C78" s="33" t="s">
        <v>102</v>
      </c>
      <c r="D78" s="33">
        <f>IF(681.44425="","-",681.44425/2467106.07968*100)</f>
        <v>2.7621197791721543E-2</v>
      </c>
      <c r="E78" s="33">
        <f>IF(1061.8601="","-",1061.8601/3144446.15815*100)</f>
        <v>3.3769384069362911E-2</v>
      </c>
      <c r="F78" s="33">
        <f>IF(OR(2779164.46518="",117.36746="",681.44425=""),"-",(681.44425-117.36746)/2779164.46518*100)</f>
        <v>2.0296632209690624E-2</v>
      </c>
      <c r="G78" s="33">
        <f>IF(OR(2467106.07968="",1061.8601="",681.44425=""),"-",(1061.8601-681.44425)/2467106.07968*100)</f>
        <v>1.5419517350033954E-2</v>
      </c>
    </row>
    <row r="79" spans="1:7" x14ac:dyDescent="0.25">
      <c r="A79" s="32" t="s">
        <v>370</v>
      </c>
      <c r="B79" s="78">
        <v>1046.61781</v>
      </c>
      <c r="C79" s="33">
        <f>IF(OR(1154.66333="",1046.61781=""),"-",1046.61781/1154.66333*100)</f>
        <v>90.64268196687253</v>
      </c>
      <c r="D79" s="33">
        <f>IF(1154.66333="","-",1154.66333/2467106.07968*100)</f>
        <v>4.6802338152795095E-2</v>
      </c>
      <c r="E79" s="33">
        <f>IF(1046.61781="","-",1046.61781/3144446.15815*100)</f>
        <v>3.3284647195732743E-2</v>
      </c>
      <c r="F79" s="33">
        <f>IF(OR(2779164.46518="",3157.32996="",1154.66333=""),"-",(1154.66333-3157.32996)/2779164.46518*100)</f>
        <v>-7.2060025777218331E-2</v>
      </c>
      <c r="G79" s="33">
        <f>IF(OR(2467106.07968="",1046.61781="",1154.66333=""),"-",(1046.61781-1154.66333)/2467106.07968*100)</f>
        <v>-4.3794436278967921E-3</v>
      </c>
    </row>
    <row r="80" spans="1:7" x14ac:dyDescent="0.25">
      <c r="A80" s="32" t="s">
        <v>76</v>
      </c>
      <c r="B80" s="78">
        <v>924.00726999999995</v>
      </c>
      <c r="C80" s="33" t="s">
        <v>379</v>
      </c>
      <c r="D80" s="33">
        <f>IF(242.23552="","-",242.23552/2467106.07968*100)</f>
        <v>9.8186098277306157E-3</v>
      </c>
      <c r="E80" s="33">
        <f>IF(924.00727="","-",924.00727/3144446.15815*100)</f>
        <v>2.9385374197140952E-2</v>
      </c>
      <c r="F80" s="33">
        <f>IF(OR(2779164.46518="",174.67336="",242.23552=""),"-",(242.23552-174.67336)/2779164.46518*100)</f>
        <v>2.431024174584938E-3</v>
      </c>
      <c r="G80" s="33">
        <f>IF(OR(2467106.07968="",924.00727="",242.23552=""),"-",(924.00727-242.23552)/2467106.07968*100)</f>
        <v>2.7634472453994773E-2</v>
      </c>
    </row>
    <row r="81" spans="1:7" x14ac:dyDescent="0.25">
      <c r="A81" s="32" t="s">
        <v>91</v>
      </c>
      <c r="B81" s="78">
        <v>916.07704000000001</v>
      </c>
      <c r="C81" s="33">
        <f>IF(OR(801.31483="",916.07704=""),"-",916.07704/801.31483*100)</f>
        <v>114.32173793663596</v>
      </c>
      <c r="D81" s="33">
        <f>IF(801.31483="","-",801.31483/2467106.07968*100)</f>
        <v>3.247995035965117E-2</v>
      </c>
      <c r="E81" s="33">
        <f>IF(916.07704="","-",916.07704/3144446.15815*100)</f>
        <v>2.9133176207379038E-2</v>
      </c>
      <c r="F81" s="33">
        <f>IF(OR(2779164.46518="",427.16446="",801.31483=""),"-",(801.31483-427.16446)/2779164.46518*100)</f>
        <v>1.346269264333614E-2</v>
      </c>
      <c r="G81" s="33">
        <f>IF(OR(2467106.07968="",916.07704="",801.31483=""),"-",(916.07704-801.31483)/2467106.07968*100)</f>
        <v>4.6516933724586908E-3</v>
      </c>
    </row>
    <row r="82" spans="1:7" x14ac:dyDescent="0.25">
      <c r="A82" s="32" t="s">
        <v>85</v>
      </c>
      <c r="B82" s="19">
        <v>901.67112999999995</v>
      </c>
      <c r="C82" s="33">
        <f>IF(OR(1208.27933="",901.67113=""),"-",901.67113/1208.27933*100)</f>
        <v>74.624394178786446</v>
      </c>
      <c r="D82" s="33">
        <f>IF(1208.27933="","-",1208.27933/2467106.07968*100)</f>
        <v>4.8975572633533533E-2</v>
      </c>
      <c r="E82" s="33">
        <f>IF(901.67113="","-",901.67113/3144446.15815*100)</f>
        <v>2.8675037976496575E-2</v>
      </c>
      <c r="F82" s="33">
        <f>IF(OR(2779164.46518="",600.57503="",1208.27933=""),"-",(1208.27933-600.57503)/2779164.46518*100)</f>
        <v>2.1866438910467308E-2</v>
      </c>
      <c r="G82" s="33">
        <f>IF(OR(2467106.07968="",901.67113="",1208.27933=""),"-",(901.67113-1208.27933)/2467106.07968*100)</f>
        <v>-1.2427848260167606E-2</v>
      </c>
    </row>
    <row r="83" spans="1:7" x14ac:dyDescent="0.25">
      <c r="A83" s="32" t="s">
        <v>107</v>
      </c>
      <c r="B83" s="78">
        <v>889.48889999999994</v>
      </c>
      <c r="C83" s="33">
        <f>IF(OR(709.97836="",889.4889=""),"-",889.4889/709.97836*100)</f>
        <v>125.28394527405034</v>
      </c>
      <c r="D83" s="33">
        <f>IF(709.97836="","-",709.97836/2467106.07968*100)</f>
        <v>2.8777780000934894E-2</v>
      </c>
      <c r="E83" s="33">
        <f>IF(889.4889="","-",889.4889/3144446.15815*100)</f>
        <v>2.8287617445589237E-2</v>
      </c>
      <c r="F83" s="33">
        <f>IF(OR(2779164.46518="",1542.98229="",709.97836=""),"-",(709.97836-1542.98229)/2779164.46518*100)</f>
        <v>-2.9973178645476398E-2</v>
      </c>
      <c r="G83" s="33">
        <f>IF(OR(2467106.07968="",889.4889="",709.97836=""),"-",(889.4889-709.97836)/2467106.07968*100)</f>
        <v>7.2761581465229782E-3</v>
      </c>
    </row>
    <row r="84" spans="1:7" x14ac:dyDescent="0.25">
      <c r="A84" s="32" t="s">
        <v>99</v>
      </c>
      <c r="B84" s="78">
        <v>871.08141000000001</v>
      </c>
      <c r="C84" s="33" t="s">
        <v>348</v>
      </c>
      <c r="D84" s="33">
        <f>IF(271.30947="","-",271.30947/2467106.07968*100)</f>
        <v>1.0997073544368656E-2</v>
      </c>
      <c r="E84" s="33">
        <f>IF(871.08141="","-",871.08141/3144446.15815*100)</f>
        <v>2.7702220556146875E-2</v>
      </c>
      <c r="F84" s="33">
        <f>IF(OR(2779164.46518="",627.52627="",271.30947=""),"-",(271.30947-627.52627)/2779164.46518*100)</f>
        <v>-1.2817406255118071E-2</v>
      </c>
      <c r="G84" s="33">
        <f>IF(OR(2467106.07968="",871.08141="",271.30947=""),"-",(871.08141-271.30947)/2467106.07968*100)</f>
        <v>2.4310747922026706E-2</v>
      </c>
    </row>
    <row r="85" spans="1:7" x14ac:dyDescent="0.25">
      <c r="A85" s="32" t="s">
        <v>105</v>
      </c>
      <c r="B85" s="78">
        <v>866.88504999999998</v>
      </c>
      <c r="C85" s="33" t="s">
        <v>380</v>
      </c>
      <c r="D85" s="33">
        <f>IF(147.37926="","-",147.37926/2467106.07968*100)</f>
        <v>5.9737706948991857E-3</v>
      </c>
      <c r="E85" s="33">
        <f>IF(866.88505="","-",866.88505/3144446.15815*100)</f>
        <v>2.7568767484001767E-2</v>
      </c>
      <c r="F85" s="33">
        <f>IF(OR(2779164.46518="",502.36997="",147.37926=""),"-",(147.37926-502.36997)/2779164.46518*100)</f>
        <v>-1.2773289038761805E-2</v>
      </c>
      <c r="G85" s="33">
        <f>IF(OR(2467106.07968="",866.88505="",147.37926=""),"-",(866.88505-147.37926)/2467106.07968*100)</f>
        <v>2.9163958369123902E-2</v>
      </c>
    </row>
    <row r="86" spans="1:7" x14ac:dyDescent="0.25">
      <c r="A86" s="32" t="s">
        <v>100</v>
      </c>
      <c r="B86" s="78">
        <v>855.68192999999997</v>
      </c>
      <c r="C86" s="33">
        <f>IF(OR(674.46154="",855.68193=""),"-",855.68193/674.46154*100)</f>
        <v>126.86889900349247</v>
      </c>
      <c r="D86" s="33">
        <f>IF(674.46154="","-",674.46154/2467106.07968*100)</f>
        <v>2.7338165373394972E-2</v>
      </c>
      <c r="E86" s="33">
        <f>IF(855.68193="","-",855.68193/3144446.15815*100)</f>
        <v>2.7212484709976111E-2</v>
      </c>
      <c r="F86" s="33">
        <f>IF(OR(2779164.46518="",378.33183="",674.46154=""),"-",(674.46154-378.33183)/2779164.46518*100)</f>
        <v>1.0655350329575418E-2</v>
      </c>
      <c r="G86" s="33">
        <f>IF(OR(2467106.07968="",855.68193="",674.46154=""),"-",(855.68193-674.46154)/2467106.07968*100)</f>
        <v>7.3454640435852451E-3</v>
      </c>
    </row>
    <row r="87" spans="1:7" x14ac:dyDescent="0.25">
      <c r="A87" s="32" t="s">
        <v>220</v>
      </c>
      <c r="B87" s="78">
        <v>810.46847000000002</v>
      </c>
      <c r="C87" s="33" t="s">
        <v>381</v>
      </c>
      <c r="D87" s="33">
        <f>IF(130.0475="","-",130.0475/2467106.07968*100)</f>
        <v>5.2712569220723596E-3</v>
      </c>
      <c r="E87" s="33">
        <f>IF(810.46847="","-",810.46847/3144446.15815*100)</f>
        <v>2.5774601606688988E-2</v>
      </c>
      <c r="F87" s="33">
        <f>IF(OR(2779164.46518="",3534.06758="",130.0475=""),"-",(130.0475-3534.06758)/2779164.46518*100)</f>
        <v>-0.12248357816346538</v>
      </c>
      <c r="G87" s="33">
        <f>IF(OR(2467106.07968="",810.46847="",130.0475=""),"-",(810.46847-130.0475)/2467106.07968*100)</f>
        <v>2.7579720856115562E-2</v>
      </c>
    </row>
    <row r="88" spans="1:7" x14ac:dyDescent="0.25">
      <c r="A88" s="32" t="s">
        <v>38</v>
      </c>
      <c r="B88" s="78">
        <v>774.44808</v>
      </c>
      <c r="C88" s="33">
        <f>IF(OR(1907.34724="",774.44808=""),"-",774.44808/1907.34724*100)</f>
        <v>40.603413146732528</v>
      </c>
      <c r="D88" s="33">
        <f>IF(1907.34724="","-",1907.34724/2467106.07968*100)</f>
        <v>7.7311115874166045E-2</v>
      </c>
      <c r="E88" s="33">
        <f>IF(774.44808="","-",774.44808/3144446.15815*100)</f>
        <v>2.4629077460675549E-2</v>
      </c>
      <c r="F88" s="33">
        <f>IF(OR(2779164.46518="",1495.39589="",1907.34724=""),"-",(1907.34724-1495.39589)/2779164.46518*100)</f>
        <v>1.4822848923167953E-2</v>
      </c>
      <c r="G88" s="33">
        <f>IF(OR(2467106.07968="",774.44808="",1907.34724=""),"-",(774.44808-1907.34724)/2467106.07968*100)</f>
        <v>-4.5920164087429285E-2</v>
      </c>
    </row>
    <row r="89" spans="1:7" x14ac:dyDescent="0.25">
      <c r="A89" s="32" t="s">
        <v>70</v>
      </c>
      <c r="B89" s="78">
        <v>744.26757999999995</v>
      </c>
      <c r="C89" s="33">
        <f>IF(OR(1211.13806="",744.26758=""),"-",744.26758/1211.13806*100)</f>
        <v>61.451919032253024</v>
      </c>
      <c r="D89" s="33">
        <f>IF(1211.13806="","-",1211.13806/2467106.07968*100)</f>
        <v>4.9091446451183511E-2</v>
      </c>
      <c r="E89" s="33">
        <f>IF(744.26758="","-",744.26758/3144446.15815*100)</f>
        <v>2.3669274096837504E-2</v>
      </c>
      <c r="F89" s="33">
        <f>IF(OR(2779164.46518="",1547.41336="",1211.13806=""),"-",(1211.13806-1547.41336)/2779164.46518*100)</f>
        <v>-1.2099870454346079E-2</v>
      </c>
      <c r="G89" s="33">
        <f>IF(OR(2467106.07968="",744.26758="",1211.13806=""),"-",(744.26758-1211.13806)/2467106.07968*100)</f>
        <v>-1.8923810526240373E-2</v>
      </c>
    </row>
    <row r="90" spans="1:7" x14ac:dyDescent="0.25">
      <c r="A90" s="32" t="s">
        <v>139</v>
      </c>
      <c r="B90" s="78">
        <v>723.62303999999995</v>
      </c>
      <c r="C90" s="33">
        <f>IF(OR(553.03947="",723.62304=""),"-",723.62304/553.03947*100)</f>
        <v>130.84473699499239</v>
      </c>
      <c r="D90" s="33">
        <f>IF(553.03947="","-",553.03947/2467106.07968*100)</f>
        <v>2.2416525764945339E-2</v>
      </c>
      <c r="E90" s="33">
        <f>IF(723.62304="","-",723.62304/3144446.15815*100)</f>
        <v>2.3012734313305448E-2</v>
      </c>
      <c r="F90" s="33">
        <f>IF(OR(2779164.46518="",427.85064="",553.03947=""),"-",(553.03947-427.85064)/2779164.46518*100)</f>
        <v>4.5045491754260713E-3</v>
      </c>
      <c r="G90" s="33">
        <f>IF(OR(2467106.07968="",723.62304="",553.03947=""),"-",(723.62304-553.03947)/2467106.07968*100)</f>
        <v>6.9143184156120977E-3</v>
      </c>
    </row>
    <row r="91" spans="1:7" x14ac:dyDescent="0.25">
      <c r="A91" s="32" t="s">
        <v>321</v>
      </c>
      <c r="B91" s="78">
        <v>662.95096999999998</v>
      </c>
      <c r="C91" s="33" t="s">
        <v>334</v>
      </c>
      <c r="D91" s="33">
        <f>IF(62.40516="","-",62.40516/2467106.07968*100)</f>
        <v>2.529488314831374E-3</v>
      </c>
      <c r="E91" s="33">
        <f>IF(662.95097="","-",662.95097/3144446.15815*100)</f>
        <v>2.1083234905508442E-2</v>
      </c>
      <c r="F91" s="33">
        <f>IF(OR(2779164.46518="",165.7069="",62.40516=""),"-",(62.40516-165.7069)/2779164.46518*100)</f>
        <v>-3.7170070823177928E-3</v>
      </c>
      <c r="G91" s="33">
        <f>IF(OR(2467106.07968="",662.95097="",62.40516=""),"-",(662.95097-62.40516)/2467106.07968*100)</f>
        <v>2.4342115442311858E-2</v>
      </c>
    </row>
    <row r="92" spans="1:7" x14ac:dyDescent="0.25">
      <c r="A92" s="32" t="s">
        <v>79</v>
      </c>
      <c r="B92" s="78">
        <v>656.69443000000001</v>
      </c>
      <c r="C92" s="33" t="s">
        <v>382</v>
      </c>
      <c r="D92" s="33">
        <f>IF(11.756="","-",11.756/2467106.07968*100)</f>
        <v>4.7650970895928528E-4</v>
      </c>
      <c r="E92" s="33">
        <f>IF(656.69443="","-",656.69443/3144446.15815*100)</f>
        <v>2.0884263777197536E-2</v>
      </c>
      <c r="F92" s="33" t="str">
        <f>IF(OR(2779164.46518="",""="",11.756=""),"-",(11.756-"")/2779164.46518*100)</f>
        <v>-</v>
      </c>
      <c r="G92" s="33">
        <f>IF(OR(2467106.07968="",656.69443="",11.756=""),"-",(656.69443-11.756)/2467106.07968*100)</f>
        <v>2.6141495710782444E-2</v>
      </c>
    </row>
    <row r="93" spans="1:7" x14ac:dyDescent="0.25">
      <c r="A93" s="32" t="s">
        <v>123</v>
      </c>
      <c r="B93" s="78">
        <v>650.25851</v>
      </c>
      <c r="C93" s="33">
        <f>IF(OR(1210.68666="",650.25851=""),"-",650.25851/1210.68666*100)</f>
        <v>53.709893028804004</v>
      </c>
      <c r="D93" s="33">
        <f>IF(1210.68666="","-",1210.68666/2467106.07968*100)</f>
        <v>4.9073149710572396E-2</v>
      </c>
      <c r="E93" s="33">
        <f>IF(650.25851="","-",650.25851/3144446.15815*100)</f>
        <v>2.0679587987684687E-2</v>
      </c>
      <c r="F93" s="33">
        <f>IF(OR(2779164.46518="",685.3698="",1210.68666=""),"-",(1210.68666-685.3698)/2779164.46518*100)</f>
        <v>1.8901970954999833E-2</v>
      </c>
      <c r="G93" s="33">
        <f>IF(OR(2467106.07968="",650.25851="",1210.68666=""),"-",(650.25851-1210.68666)/2467106.07968*100)</f>
        <v>-2.2716013495159126E-2</v>
      </c>
    </row>
    <row r="94" spans="1:7" x14ac:dyDescent="0.25">
      <c r="A94" s="32" t="s">
        <v>133</v>
      </c>
      <c r="B94" s="78">
        <v>623.55673999999999</v>
      </c>
      <c r="C94" s="33" t="s">
        <v>360</v>
      </c>
      <c r="D94" s="33">
        <f>IF(93.00495="","-",93.00495/2467106.07968*100)</f>
        <v>3.769799392333521E-3</v>
      </c>
      <c r="E94" s="33">
        <f>IF(623.55674="","-",623.55674/3144446.15815*100)</f>
        <v>1.983041555295266E-2</v>
      </c>
      <c r="F94" s="33">
        <f>IF(OR(2779164.46518="",95.95616="",93.00495=""),"-",(93.00495-95.95616)/2779164.46518*100)</f>
        <v>-1.0619054888530536E-4</v>
      </c>
      <c r="G94" s="33">
        <f>IF(OR(2467106.07968="",623.55674="",93.00495=""),"-",(623.55674-93.00495)/2467106.07968*100)</f>
        <v>2.1505025437285455E-2</v>
      </c>
    </row>
    <row r="95" spans="1:7" x14ac:dyDescent="0.25">
      <c r="A95" s="32" t="s">
        <v>129</v>
      </c>
      <c r="B95" s="78">
        <v>606.06420000000003</v>
      </c>
      <c r="C95" s="33" t="s">
        <v>102</v>
      </c>
      <c r="D95" s="33">
        <f>IF(376.87811="","-",376.87811/2467106.07968*100)</f>
        <v>1.5276121002826258E-2</v>
      </c>
      <c r="E95" s="33">
        <f>IF(606.0642="","-",606.0642/3144446.15815*100)</f>
        <v>1.9274115997475725E-2</v>
      </c>
      <c r="F95" s="33">
        <f>IF(OR(2779164.46518="",436.8705="",376.87811=""),"-",(376.87811-436.8705)/2779164.46518*100)</f>
        <v>-2.1586484265915667E-3</v>
      </c>
      <c r="G95" s="33">
        <f>IF(OR(2467106.07968="",606.0642="",376.87811=""),"-",(606.0642-376.87811)/2467106.07968*100)</f>
        <v>9.2896731067894332E-3</v>
      </c>
    </row>
    <row r="96" spans="1:7" x14ac:dyDescent="0.25">
      <c r="A96" s="32" t="s">
        <v>81</v>
      </c>
      <c r="B96" s="78">
        <v>523.68822</v>
      </c>
      <c r="C96" s="33" t="s">
        <v>103</v>
      </c>
      <c r="D96" s="33">
        <f>IF(276.87429="","-",276.87429/2467106.07968*100)</f>
        <v>1.1222634173716292E-2</v>
      </c>
      <c r="E96" s="33">
        <f>IF(523.68822="","-",523.68822/3144446.15815*100)</f>
        <v>1.6654386612493507E-2</v>
      </c>
      <c r="F96" s="33">
        <f>IF(OR(2779164.46518="",752.84311="",276.87429=""),"-",(276.87429-752.84311)/2779164.46518*100)</f>
        <v>-1.7126327929253109E-2</v>
      </c>
      <c r="G96" s="33">
        <f>IF(OR(2467106.07968="",523.68822="",276.87429=""),"-",(523.68822-276.87429)/2467106.07968*100)</f>
        <v>1.0004187984977665E-2</v>
      </c>
    </row>
    <row r="97" spans="1:7" x14ac:dyDescent="0.25">
      <c r="A97" s="32" t="s">
        <v>82</v>
      </c>
      <c r="B97" s="78">
        <v>475.66825999999998</v>
      </c>
      <c r="C97" s="33" t="s">
        <v>383</v>
      </c>
      <c r="D97" s="33">
        <f>IF(23.86737="","-",23.86737/2467106.07968*100)</f>
        <v>9.6742374381792926E-4</v>
      </c>
      <c r="E97" s="33">
        <f>IF(475.66826="","-",475.66826/3144446.15815*100)</f>
        <v>1.5127250907671898E-2</v>
      </c>
      <c r="F97" s="33">
        <f>IF(OR(2779164.46518="",22.15327="",23.86737=""),"-",(23.86737-22.15327)/2779164.46518*100)</f>
        <v>6.1676810475805497E-5</v>
      </c>
      <c r="G97" s="33">
        <f>IF(OR(2467106.07968="",475.66826="",23.86737=""),"-",(475.66826-23.86737)/2467106.07968*100)</f>
        <v>1.8312990013733075E-2</v>
      </c>
    </row>
    <row r="98" spans="1:7" ht="16.5" customHeight="1" x14ac:dyDescent="0.25">
      <c r="A98" s="32" t="s">
        <v>88</v>
      </c>
      <c r="B98" s="78">
        <v>372.39033000000001</v>
      </c>
      <c r="C98" s="33" t="s">
        <v>367</v>
      </c>
      <c r="D98" s="33">
        <f>IF(118.95241="","-",118.95241/2467106.07968*100)</f>
        <v>4.8215360895802637E-3</v>
      </c>
      <c r="E98" s="33">
        <f>IF(372.39033="","-",372.39033/3144446.15815*100)</f>
        <v>1.1842795559873467E-2</v>
      </c>
      <c r="F98" s="33">
        <f>IF(OR(2779164.46518="",109.51939="",118.95241=""),"-",(118.95241-109.51939)/2779164.46518*100)</f>
        <v>3.3941927936204542E-4</v>
      </c>
      <c r="G98" s="33">
        <f>IF(OR(2467106.07968="",372.39033="",118.95241=""),"-",(372.39033-118.95241)/2467106.07968*100)</f>
        <v>1.0272680290783143E-2</v>
      </c>
    </row>
    <row r="99" spans="1:7" ht="15.75" customHeight="1" x14ac:dyDescent="0.25">
      <c r="A99" s="32" t="s">
        <v>124</v>
      </c>
      <c r="B99" s="78">
        <v>363.13017000000002</v>
      </c>
      <c r="C99" s="33">
        <f>IF(OR(378.35006="",363.13017=""),"-",363.13017/378.35006*100)</f>
        <v>95.977299435343028</v>
      </c>
      <c r="D99" s="33">
        <f>IF(378.35006="","-",378.35006/2467106.07968*100)</f>
        <v>1.533578402307997E-2</v>
      </c>
      <c r="E99" s="33">
        <f>IF(363.13017="","-",363.13017/3144446.15815*100)</f>
        <v>1.1548302999522295E-2</v>
      </c>
      <c r="F99" s="33">
        <f>IF(OR(2779164.46518="",441.7962="",378.35006=""),"-",(378.35006-441.7962)/2779164.46518*100)</f>
        <v>-2.2829213886012595E-3</v>
      </c>
      <c r="G99" s="33">
        <f>IF(OR(2467106.07968="",363.13017="",378.35006=""),"-",(363.13017-378.35006)/2467106.07968*100)</f>
        <v>-6.1691267049101043E-4</v>
      </c>
    </row>
    <row r="100" spans="1:7" x14ac:dyDescent="0.25">
      <c r="A100" s="32" t="s">
        <v>84</v>
      </c>
      <c r="B100" s="78">
        <v>343.24986999999999</v>
      </c>
      <c r="C100" s="33">
        <f>IF(OR(328.50137="",343.24987=""),"-",343.24987/328.50137*100)</f>
        <v>104.48963120001599</v>
      </c>
      <c r="D100" s="33">
        <f>IF(328.50137="","-",328.50137/2467106.07968*100)</f>
        <v>1.3315251123802866E-2</v>
      </c>
      <c r="E100" s="33">
        <f>IF(343.24987="","-",343.24987/3144446.15815*100)</f>
        <v>1.0916067655041269E-2</v>
      </c>
      <c r="F100" s="33">
        <f>IF(OR(2779164.46518="",217.5923="",328.50137=""),"-",(328.50137-217.5923)/2779164.46518*100)</f>
        <v>3.9907343156396005E-3</v>
      </c>
      <c r="G100" s="33">
        <f>IF(OR(2467106.07968="",343.24987="",328.50137=""),"-",(343.24987-328.50137)/2467106.07968*100)</f>
        <v>5.978056688147336E-4</v>
      </c>
    </row>
    <row r="101" spans="1:7" x14ac:dyDescent="0.25">
      <c r="A101" s="32" t="s">
        <v>144</v>
      </c>
      <c r="B101" s="78">
        <v>332.14800000000002</v>
      </c>
      <c r="C101" s="33">
        <f>IF(OR(223.9968="",332.148=""),"-",332.148/223.9968*100)</f>
        <v>148.28247546393521</v>
      </c>
      <c r="D101" s="33">
        <f>IF(223.9968="","-",223.9968/2467106.07968*100)</f>
        <v>9.0793339550707067E-3</v>
      </c>
      <c r="E101" s="33">
        <f>IF(332.148="","-",332.148/3144446.15815*100)</f>
        <v>1.0563004843925063E-2</v>
      </c>
      <c r="F101" s="33">
        <f>IF(OR(2779164.46518="",197.6455="",223.9968=""),"-",(223.9968-197.6455)/2779164.46518*100)</f>
        <v>9.4817346472848266E-4</v>
      </c>
      <c r="G101" s="33">
        <f>IF(OR(2467106.07968="",332.148="",223.9968=""),"-",(332.148-223.9968)/2467106.07968*100)</f>
        <v>4.3837271891457516E-3</v>
      </c>
    </row>
    <row r="102" spans="1:7" x14ac:dyDescent="0.25">
      <c r="A102" s="32" t="s">
        <v>337</v>
      </c>
      <c r="B102" s="78">
        <v>211.45376999999999</v>
      </c>
      <c r="C102" s="33">
        <f>IF(OR(148.09013="",211.45377=""),"-",211.45377/148.09013*100)</f>
        <v>142.78721343549364</v>
      </c>
      <c r="D102" s="33">
        <f>IF(148.09013="","-",148.09013/2467106.07968*100)</f>
        <v>6.0025846160294922E-3</v>
      </c>
      <c r="E102" s="33">
        <f>IF(211.45377="","-",211.45377/3144446.15815*100)</f>
        <v>6.7246745329678807E-3</v>
      </c>
      <c r="F102" s="33">
        <f>IF(OR(2779164.46518="",76.79541="",148.09013=""),"-",(148.09013-76.79541)/2779164.46518*100)</f>
        <v>2.5653292884695255E-3</v>
      </c>
      <c r="G102" s="33">
        <f>IF(OR(2467106.07968="",211.45377="",148.09013=""),"-",(211.45377-148.09013)/2467106.07968*100)</f>
        <v>2.5683386913066459E-3</v>
      </c>
    </row>
    <row r="103" spans="1:7" x14ac:dyDescent="0.25">
      <c r="A103" s="32" t="s">
        <v>68</v>
      </c>
      <c r="B103" s="19">
        <v>200.91996</v>
      </c>
      <c r="C103" s="33" t="s">
        <v>217</v>
      </c>
      <c r="D103" s="33">
        <f>IF(88.2011="","-",88.2011/2467106.07968*100)</f>
        <v>3.5750834034440977E-3</v>
      </c>
      <c r="E103" s="33">
        <f>IF(200.91996="","-",200.91996/3144446.15815*100)</f>
        <v>6.3896772243735604E-3</v>
      </c>
      <c r="F103" s="33">
        <f>IF(OR(2779164.46518="",241.40866="",88.2011=""),"-",(88.2011-241.40866)/2779164.46518*100)</f>
        <v>-5.5127201689403119E-3</v>
      </c>
      <c r="G103" s="33">
        <f>IF(OR(2467106.07968="",200.91996="",88.2011=""),"-",(200.91996-88.2011)/2467106.07968*100)</f>
        <v>4.5688696132036768E-3</v>
      </c>
    </row>
    <row r="104" spans="1:7" x14ac:dyDescent="0.25">
      <c r="A104" s="32" t="s">
        <v>322</v>
      </c>
      <c r="B104" s="78">
        <v>192.04275999999999</v>
      </c>
      <c r="C104" s="33" t="s">
        <v>384</v>
      </c>
      <c r="D104" s="33">
        <f>IF(16.97773="","-",16.97773/2467106.07968*100)</f>
        <v>6.8816376157615911E-4</v>
      </c>
      <c r="E104" s="33">
        <f>IF(192.04276="","-",192.04276/3144446.15815*100)</f>
        <v>6.1073635973142625E-3</v>
      </c>
      <c r="F104" s="33">
        <f>IF(OR(2779164.46518="",17.48765="",16.97773=""),"-",(16.97773-17.48765)/2779164.46518*100)</f>
        <v>-1.834796056112394E-5</v>
      </c>
      <c r="G104" s="33">
        <f>IF(OR(2467106.07968="",192.04276="",16.97773=""),"-",(192.04276-16.97773)/2467106.07968*100)</f>
        <v>7.09596686749307E-3</v>
      </c>
    </row>
    <row r="105" spans="1:7" x14ac:dyDescent="0.25">
      <c r="A105" s="32" t="s">
        <v>371</v>
      </c>
      <c r="B105" s="78">
        <v>189.88813999999999</v>
      </c>
      <c r="C105" s="33" t="str">
        <f>IF(OR(""="",189.88814=""),"-",189.88814/""*100)</f>
        <v>-</v>
      </c>
      <c r="D105" s="33" t="str">
        <f>IF(""="","-",""/2467106.07968*100)</f>
        <v>-</v>
      </c>
      <c r="E105" s="33">
        <f>IF(189.88814="","-",189.88814/3144446.15815*100)</f>
        <v>6.0388421505591493E-3</v>
      </c>
      <c r="F105" s="33" t="str">
        <f>IF(OR(2779164.46518="",""="",""=""),"-",(""-"")/2779164.46518*100)</f>
        <v>-</v>
      </c>
      <c r="G105" s="33" t="str">
        <f>IF(OR(2467106.07968="",189.88814="",""=""),"-",(189.88814-"")/2467106.07968*100)</f>
        <v>-</v>
      </c>
    </row>
    <row r="106" spans="1:7" x14ac:dyDescent="0.25">
      <c r="A106" s="32" t="s">
        <v>320</v>
      </c>
      <c r="B106" s="78">
        <v>173.40701000000001</v>
      </c>
      <c r="C106" s="33" t="str">
        <f>IF(OR(""="",173.40701=""),"-",173.40701/""*100)</f>
        <v>-</v>
      </c>
      <c r="D106" s="33" t="str">
        <f>IF(""="","-",""/2467106.07968*100)</f>
        <v>-</v>
      </c>
      <c r="E106" s="33">
        <f>IF(173.40701="","-",173.40701/3144446.15815*100)</f>
        <v>5.514707559884635E-3</v>
      </c>
      <c r="F106" s="33" t="str">
        <f>IF(OR(2779164.46518="",""="",""=""),"-",(""-"")/2779164.46518*100)</f>
        <v>-</v>
      </c>
      <c r="G106" s="33" t="str">
        <f>IF(OR(2467106.07968="",173.40701="",""=""),"-",(173.40701-"")/2467106.07968*100)</f>
        <v>-</v>
      </c>
    </row>
    <row r="107" spans="1:7" x14ac:dyDescent="0.25">
      <c r="A107" s="32" t="s">
        <v>216</v>
      </c>
      <c r="B107" s="78">
        <v>164.61404999999999</v>
      </c>
      <c r="C107" s="33" t="s">
        <v>385</v>
      </c>
      <c r="D107" s="33">
        <f>IF(1.52="","-",1.52/2467106.07968*100)</f>
        <v>6.1610646275783731E-5</v>
      </c>
      <c r="E107" s="33">
        <f>IF(164.61405="","-",164.61405/3144446.15815*100)</f>
        <v>5.2350729419659969E-3</v>
      </c>
      <c r="F107" s="33">
        <f>IF(OR(2779164.46518="",1063.66979="",1.52=""),"-",(1.52-1063.66979)/2779164.46518*100)</f>
        <v>-3.8218313572572507E-2</v>
      </c>
      <c r="G107" s="33">
        <f>IF(OR(2467106.07968="",164.61405="",1.52=""),"-",(164.61405-1.52)/2467106.07968*100)</f>
        <v>6.6107433054177532E-3</v>
      </c>
    </row>
    <row r="108" spans="1:7" x14ac:dyDescent="0.25">
      <c r="A108" s="32" t="s">
        <v>72</v>
      </c>
      <c r="B108" s="78">
        <v>151.18419</v>
      </c>
      <c r="C108" s="33">
        <f>IF(OR(281.47543="",151.18419=""),"-",151.18419/281.47543*100)</f>
        <v>53.711327486026036</v>
      </c>
      <c r="D108" s="33">
        <f>IF(281.47543="","-",281.47543/2467106.07968*100)</f>
        <v>1.1409133653325083E-2</v>
      </c>
      <c r="E108" s="33">
        <f>IF(151.18419="","-",151.18419/3144446.15815*100)</f>
        <v>4.8079751535306152E-3</v>
      </c>
      <c r="F108" s="33">
        <f>IF(OR(2779164.46518="",711.50068="",281.47543=""),"-",(281.47543-711.50068)/2779164.46518*100)</f>
        <v>-1.5473184670708153E-2</v>
      </c>
      <c r="G108" s="33">
        <f>IF(OR(2467106.07968="",151.18419="",281.47543=""),"-",(151.18419-281.47543)/2467106.07968*100)</f>
        <v>-5.2811365134692407E-3</v>
      </c>
    </row>
    <row r="109" spans="1:7" x14ac:dyDescent="0.25">
      <c r="A109" s="32" t="s">
        <v>219</v>
      </c>
      <c r="B109" s="78">
        <v>139.09809000000001</v>
      </c>
      <c r="C109" s="33">
        <f>IF(OR(361.77183="",139.09809=""),"-",139.09809/361.77183*100)</f>
        <v>38.449121370229406</v>
      </c>
      <c r="D109" s="33">
        <f>IF(361.77183="","-",361.77183/2467106.07968*100)</f>
        <v>1.4663813322811164E-2</v>
      </c>
      <c r="E109" s="33">
        <f>IF(139.09809="","-",139.09809/3144446.15815*100)</f>
        <v>4.4236117587663458E-3</v>
      </c>
      <c r="F109" s="33">
        <f>IF(OR(2779164.46518="",184.19083="",361.77183=""),"-",(361.77183-184.19083)/2779164.46518*100)</f>
        <v>6.3897262009824426E-3</v>
      </c>
      <c r="G109" s="33">
        <f>IF(OR(2467106.07968="",139.09809="",361.77183=""),"-",(139.09809-361.77183)/2467106.07968*100)</f>
        <v>-9.025705940819629E-3</v>
      </c>
    </row>
    <row r="110" spans="1:7" x14ac:dyDescent="0.25">
      <c r="A110" s="32" t="s">
        <v>96</v>
      </c>
      <c r="B110" s="78">
        <v>130.35845</v>
      </c>
      <c r="C110" s="33">
        <f>IF(OR(129.41661="",130.35845=""),"-",130.35845/129.41661*100)</f>
        <v>100.72775820661661</v>
      </c>
      <c r="D110" s="33">
        <f>IF(129.41661="","-",129.41661/2467106.07968*100)</f>
        <v>5.2456848558691156E-3</v>
      </c>
      <c r="E110" s="33">
        <f>IF(130.35845="","-",130.35845/3144446.15815*100)</f>
        <v>4.1456728289695046E-3</v>
      </c>
      <c r="F110" s="33">
        <f>IF(OR(2779164.46518="",102.43682="",129.41661=""),"-",(129.41661-102.43682)/2779164.46518*100)</f>
        <v>9.7078781547577748E-4</v>
      </c>
      <c r="G110" s="33">
        <f>IF(OR(2467106.07968="",130.35845="",129.41661=""),"-",(130.35845-129.41661)/2467106.07968*100)</f>
        <v>3.8175902031832224E-5</v>
      </c>
    </row>
    <row r="111" spans="1:7" x14ac:dyDescent="0.25">
      <c r="A111" s="32" t="s">
        <v>83</v>
      </c>
      <c r="B111" s="78">
        <v>117.84536</v>
      </c>
      <c r="C111" s="33">
        <f>IF(OR(1178.62706="",117.84536=""),"-",117.84536/1178.62706*100)</f>
        <v>9.998528287650208</v>
      </c>
      <c r="D111" s="33">
        <f>IF(1178.62706="","-",1178.62706/2467106.07968*100)</f>
        <v>4.7773667687320352E-2</v>
      </c>
      <c r="E111" s="33">
        <f>IF(117.84536="","-",117.84536/3144446.15815*100)</f>
        <v>3.7477302543266638E-3</v>
      </c>
      <c r="F111" s="33">
        <f>IF(OR(2779164.46518="",2087.03896="",1178.62706=""),"-",(1178.62706-2087.03896)/2779164.46518*100)</f>
        <v>-3.2686511049685722E-2</v>
      </c>
      <c r="G111" s="33">
        <f>IF(OR(2467106.07968="",117.84536="",1178.62706=""),"-",(117.84536-1178.62706)/2467106.07968*100)</f>
        <v>-4.2997004009555619E-2</v>
      </c>
    </row>
    <row r="112" spans="1:7" x14ac:dyDescent="0.25">
      <c r="A112" s="32" t="s">
        <v>78</v>
      </c>
      <c r="B112" s="78">
        <v>105.34275</v>
      </c>
      <c r="C112" s="33" t="s">
        <v>361</v>
      </c>
      <c r="D112" s="33">
        <f>IF(23.12681="","-",23.12681/2467106.07968*100)</f>
        <v>9.374063884192487E-4</v>
      </c>
      <c r="E112" s="33">
        <f>IF(105.34275="","-",105.34275/3144446.15815*100)</f>
        <v>3.3501209657212649E-3</v>
      </c>
      <c r="F112" s="33" t="str">
        <f>IF(OR(2779164.46518="",""="",23.12681=""),"-",(23.12681-"")/2779164.46518*100)</f>
        <v>-</v>
      </c>
      <c r="G112" s="33">
        <f>IF(OR(2467106.07968="",105.34275="",23.12681=""),"-",(105.34275-23.12681)/2467106.07968*100)</f>
        <v>3.3324849984020122E-3</v>
      </c>
    </row>
    <row r="113" spans="1:7" x14ac:dyDescent="0.25">
      <c r="A113" s="32" t="s">
        <v>372</v>
      </c>
      <c r="B113" s="78">
        <v>98.650419999999997</v>
      </c>
      <c r="C113" s="33">
        <f>IF(OR(72.2805="",98.65042=""),"-",98.65042/72.2805*100)</f>
        <v>136.48275814362103</v>
      </c>
      <c r="D113" s="33">
        <f>IF(72.2805="","-",72.2805/2467106.07968*100)</f>
        <v>2.9297686303531491E-3</v>
      </c>
      <c r="E113" s="33">
        <f>IF(98.65042="","-",98.65042/3144446.15815*100)</f>
        <v>3.1372907990270655E-3</v>
      </c>
      <c r="F113" s="33">
        <f>IF(OR(2779164.46518="",787.3835="",72.2805=""),"-",(72.2805-787.3835)/2779164.46518*100)</f>
        <v>-2.5730862961134058E-2</v>
      </c>
      <c r="G113" s="33">
        <f>IF(OR(2467106.07968="",98.65042="",72.2805=""),"-",(98.65042-72.2805)/2467106.07968*100)</f>
        <v>1.0688604035794175E-3</v>
      </c>
    </row>
    <row r="114" spans="1:7" x14ac:dyDescent="0.25">
      <c r="A114" s="32" t="s">
        <v>319</v>
      </c>
      <c r="B114" s="78">
        <v>84.567549999999997</v>
      </c>
      <c r="C114" s="33" t="s">
        <v>367</v>
      </c>
      <c r="D114" s="33">
        <f>IF(27.49258="","-",27.49258/2467106.07968*100)</f>
        <v>1.1143655405188727E-3</v>
      </c>
      <c r="E114" s="33">
        <f>IF(84.56755="","-",84.56755/3144446.15815*100)</f>
        <v>2.6894259194361393E-3</v>
      </c>
      <c r="F114" s="33">
        <f>IF(OR(2779164.46518="",30.16258="",27.49258=""),"-",(27.49258-30.16258)/2779164.46518*100)</f>
        <v>-9.6072040120413256E-5</v>
      </c>
      <c r="G114" s="33">
        <f>IF(OR(2467106.07968="",84.56755="",27.49258=""),"-",(84.56755-27.49258)/2467106.07968*100)</f>
        <v>2.313438018336163E-3</v>
      </c>
    </row>
    <row r="115" spans="1:7" x14ac:dyDescent="0.25">
      <c r="A115" s="32" t="s">
        <v>357</v>
      </c>
      <c r="B115" s="78">
        <v>79.481260000000006</v>
      </c>
      <c r="C115" s="33">
        <f>IF(OR(85.73571="",79.48126=""),"-",79.48126/85.73571*100)</f>
        <v>92.704965060649769</v>
      </c>
      <c r="D115" s="33">
        <f>IF(85.73571="","-",85.73571/2467106.07968*100)</f>
        <v>3.4751529618507727E-3</v>
      </c>
      <c r="E115" s="33">
        <f>IF(79.48126="","-",79.48126/3144446.15815*100)</f>
        <v>2.5276712019378931E-3</v>
      </c>
      <c r="F115" s="33">
        <f>IF(OR(2779164.46518="",323.94286="",85.73571=""),"-",(85.73571-323.94286)/2779164.46518*100)</f>
        <v>-8.5711786036589202E-3</v>
      </c>
      <c r="G115" s="33">
        <f>IF(OR(2467106.07968="",79.48126="",85.73571=""),"-",(79.48126-85.73571)/2467106.07968*100)</f>
        <v>-2.5351362276287835E-4</v>
      </c>
    </row>
    <row r="116" spans="1:7" x14ac:dyDescent="0.25">
      <c r="A116" s="32" t="s">
        <v>333</v>
      </c>
      <c r="B116" s="78">
        <v>66.801640000000006</v>
      </c>
      <c r="C116" s="33" t="str">
        <f>IF(OR(""="",66.80164=""),"-",66.80164/""*100)</f>
        <v>-</v>
      </c>
      <c r="D116" s="33" t="str">
        <f>IF(""="","-",""/2467106.07968*100)</f>
        <v>-</v>
      </c>
      <c r="E116" s="33">
        <f>IF(66.80164="","-",66.80164/3144446.15815*100)</f>
        <v>2.124432623114209E-3</v>
      </c>
      <c r="F116" s="33" t="str">
        <f>IF(OR(2779164.46518="",""="",""=""),"-",(""-"")/2779164.46518*100)</f>
        <v>-</v>
      </c>
      <c r="G116" s="33" t="str">
        <f>IF(OR(2467106.07968="",66.80164="",""=""),"-",(66.80164-"")/2467106.07968*100)</f>
        <v>-</v>
      </c>
    </row>
    <row r="117" spans="1:7" x14ac:dyDescent="0.25">
      <c r="A117" s="32" t="s">
        <v>90</v>
      </c>
      <c r="B117" s="78">
        <v>61.887839999999997</v>
      </c>
      <c r="C117" s="33" t="s">
        <v>303</v>
      </c>
      <c r="D117" s="33">
        <f>IF(26.06454="","-",26.06454/2467106.07968*100)</f>
        <v>1.0564823383427738E-3</v>
      </c>
      <c r="E117" s="33">
        <f>IF(61.88784="","-",61.88784/3144446.15815*100)</f>
        <v>1.9681634503295495E-3</v>
      </c>
      <c r="F117" s="33">
        <f>IF(OR(2779164.46518="",4.595="",26.06454=""),"-",(26.06454-4.595)/2779164.46518*100)</f>
        <v>7.7251779335086863E-4</v>
      </c>
      <c r="G117" s="33">
        <f>IF(OR(2467106.07968="",61.88784="",26.06454=""),"-",(61.88784-26.06454)/2467106.07968*100)</f>
        <v>1.4520372794284758E-3</v>
      </c>
    </row>
    <row r="118" spans="1:7" x14ac:dyDescent="0.25">
      <c r="A118" s="32" t="s">
        <v>300</v>
      </c>
      <c r="B118" s="78">
        <v>60.503999999999998</v>
      </c>
      <c r="C118" s="33">
        <f>IF(OR(109.128="",60.504=""),"-",60.504/109.128*100)</f>
        <v>55.443149329228056</v>
      </c>
      <c r="D118" s="33">
        <f>IF(109.128="","-",109.128/2467106.07968*100)</f>
        <v>4.4233201360419257E-3</v>
      </c>
      <c r="E118" s="33">
        <f>IF(60.504="","-",60.504/3144446.15815*100)</f>
        <v>1.9241544283778375E-3</v>
      </c>
      <c r="F118" s="33">
        <f>IF(OR(2779164.46518="",85.37911="",109.128=""),"-",(109.128-85.37911)/2779164.46518*100)</f>
        <v>8.54533450522578E-4</v>
      </c>
      <c r="G118" s="33">
        <f>IF(OR(2467106.07968="",60.504="",109.128=""),"-",(60.504-109.128)/2467106.07968*100)</f>
        <v>-1.9708921477063872E-3</v>
      </c>
    </row>
    <row r="119" spans="1:7" x14ac:dyDescent="0.25">
      <c r="A119" s="32" t="s">
        <v>353</v>
      </c>
      <c r="B119" s="19">
        <v>57.645040000000002</v>
      </c>
      <c r="C119" s="33" t="str">
        <f>IF(OR(""="",57.64504=""),"-",57.64504/""*100)</f>
        <v>-</v>
      </c>
      <c r="D119" s="33" t="str">
        <f>IF(""="","-",""/2467106.07968*100)</f>
        <v>-</v>
      </c>
      <c r="E119" s="33">
        <f>IF(57.64504="","-",57.64504/3144446.15815*100)</f>
        <v>1.8332334885299744E-3</v>
      </c>
      <c r="F119" s="33" t="str">
        <f>IF(OR(2779164.46518="",""="",""=""),"-",(""-"")/2779164.46518*100)</f>
        <v>-</v>
      </c>
      <c r="G119" s="33" t="str">
        <f>IF(OR(2467106.07968="",57.64504="",""=""),"-",(57.64504-"")/2467106.07968*100)</f>
        <v>-</v>
      </c>
    </row>
    <row r="120" spans="1:7" x14ac:dyDescent="0.25">
      <c r="A120" s="32" t="s">
        <v>77</v>
      </c>
      <c r="B120" s="78">
        <v>56.25423</v>
      </c>
      <c r="C120" s="33" t="s">
        <v>315</v>
      </c>
      <c r="D120" s="33">
        <f>IF(19.0101="","-",19.0101/2467106.07968*100)</f>
        <v>7.7054246497847134E-4</v>
      </c>
      <c r="E120" s="33">
        <f>IF(56.25423="","-",56.25423/3144446.15815*100)</f>
        <v>1.7890028059216812E-3</v>
      </c>
      <c r="F120" s="33" t="str">
        <f>IF(OR(2779164.46518="",""="",19.0101=""),"-",(19.0101-"")/2779164.46518*100)</f>
        <v>-</v>
      </c>
      <c r="G120" s="33">
        <f>IF(OR(2467106.07968="",56.25423="",19.0101=""),"-",(56.25423-19.0101)/2467106.07968*100)</f>
        <v>1.5096282363679639E-3</v>
      </c>
    </row>
    <row r="121" spans="1:7" x14ac:dyDescent="0.25">
      <c r="A121" s="32" t="s">
        <v>80</v>
      </c>
      <c r="B121" s="78">
        <v>54.841259999999998</v>
      </c>
      <c r="C121" s="33">
        <f>IF(OR(381.79848="",54.84126=""),"-",54.84126/381.79848*100)</f>
        <v>14.363928321558536</v>
      </c>
      <c r="D121" s="33">
        <f>IF(381.79848="","-",381.79848/2467106.07968*100)</f>
        <v>1.5475559934152559E-2</v>
      </c>
      <c r="E121" s="33">
        <f>IF(54.84126="","-",54.84126/3144446.15815*100)</f>
        <v>1.7440673887151321E-3</v>
      </c>
      <c r="F121" s="33">
        <f>IF(OR(2779164.46518="",441.93182="",381.79848=""),"-",(381.79848-441.93182)/2779164.46518*100)</f>
        <v>-2.1637200947769507E-3</v>
      </c>
      <c r="G121" s="33">
        <f>IF(OR(2467106.07968="",54.84126="",381.79848=""),"-",(54.84126-381.79848)/2467106.07968*100)</f>
        <v>-1.3252661597851054E-2</v>
      </c>
    </row>
    <row r="122" spans="1:7" x14ac:dyDescent="0.25">
      <c r="A122" s="34" t="s">
        <v>92</v>
      </c>
      <c r="B122" s="79">
        <v>50.399439999999998</v>
      </c>
      <c r="C122" s="35">
        <f>IF(OR(122.49936="",50.39944=""),"-",50.39944/122.49936*100)</f>
        <v>41.142614949171978</v>
      </c>
      <c r="D122" s="35">
        <f>IF(122.49936="","-",122.49936/2467106.07968*100)</f>
        <v>4.9653057486644019E-3</v>
      </c>
      <c r="E122" s="35">
        <f>IF(50.39944="","-",50.39944/3144446.15815*100)</f>
        <v>1.6028081724144372E-3</v>
      </c>
      <c r="F122" s="35">
        <f>IF(OR(2779164.46518="",81.87974="",122.49936=""),"-",(122.49936-81.87974)/2779164.46518*100)</f>
        <v>1.4615766900059714E-3</v>
      </c>
      <c r="G122" s="35">
        <f>IF(OR(2467106.07968="",50.39944="",122.49936=""),"-",(50.39944-122.49936)/2467106.07968*100)</f>
        <v>-2.922449123442306E-3</v>
      </c>
    </row>
    <row r="123" spans="1:7" x14ac:dyDescent="0.25">
      <c r="A123" s="58" t="s">
        <v>299</v>
      </c>
      <c r="B123" s="72"/>
      <c r="C123" s="72"/>
      <c r="D123" s="72"/>
      <c r="E123" s="72"/>
    </row>
    <row r="124" spans="1:7" x14ac:dyDescent="0.25">
      <c r="A124" s="100" t="s">
        <v>340</v>
      </c>
      <c r="B124" s="100"/>
      <c r="C124" s="100"/>
      <c r="D124" s="100"/>
      <c r="E124" s="100"/>
    </row>
  </sheetData>
  <mergeCells count="6">
    <mergeCell ref="A124:E124"/>
    <mergeCell ref="A1:G1"/>
    <mergeCell ref="A3:A4"/>
    <mergeCell ref="B3:C3"/>
    <mergeCell ref="D3:E3"/>
    <mergeCell ref="F3:G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5"/>
  <sheetViews>
    <sheetView zoomScaleNormal="100" workbookViewId="0">
      <selection activeCell="C14" sqref="C14"/>
    </sheetView>
  </sheetViews>
  <sheetFormatPr defaultRowHeight="15.75" x14ac:dyDescent="0.25"/>
  <cols>
    <col min="1" max="1" width="28.875" customWidth="1"/>
    <col min="2" max="2" width="13.125" customWidth="1"/>
    <col min="3" max="3" width="10.875" customWidth="1"/>
    <col min="4" max="5" width="8.875" customWidth="1"/>
    <col min="6" max="7" width="9.625" customWidth="1"/>
  </cols>
  <sheetData>
    <row r="1" spans="1:7" x14ac:dyDescent="0.25">
      <c r="A1" s="110" t="s">
        <v>339</v>
      </c>
      <c r="B1" s="110"/>
      <c r="C1" s="110"/>
      <c r="D1" s="110"/>
      <c r="E1" s="110"/>
      <c r="F1" s="110"/>
      <c r="G1" s="110"/>
    </row>
    <row r="2" spans="1:7" x14ac:dyDescent="0.25">
      <c r="A2" s="2"/>
    </row>
    <row r="3" spans="1:7" ht="55.5" customHeight="1" x14ac:dyDescent="0.25">
      <c r="A3" s="102"/>
      <c r="B3" s="104" t="s">
        <v>409</v>
      </c>
      <c r="C3" s="105"/>
      <c r="D3" s="106" t="s">
        <v>106</v>
      </c>
      <c r="E3" s="107"/>
      <c r="F3" s="108" t="s">
        <v>118</v>
      </c>
      <c r="G3" s="109"/>
    </row>
    <row r="4" spans="1:7" ht="30" customHeight="1" x14ac:dyDescent="0.25">
      <c r="A4" s="103"/>
      <c r="B4" s="73" t="s">
        <v>309</v>
      </c>
      <c r="C4" s="81" t="s">
        <v>410</v>
      </c>
      <c r="D4" s="73">
        <v>2020</v>
      </c>
      <c r="E4" s="73">
        <v>2021</v>
      </c>
      <c r="F4" s="73" t="s">
        <v>388</v>
      </c>
      <c r="G4" s="80" t="s">
        <v>389</v>
      </c>
    </row>
    <row r="5" spans="1:7" s="3" customFormat="1" ht="15" x14ac:dyDescent="0.25">
      <c r="A5" s="36" t="s">
        <v>121</v>
      </c>
      <c r="B5" s="28">
        <v>7176590.6949300002</v>
      </c>
      <c r="C5" s="29">
        <f>IF(5415988.29784="","-",7176590.69493/5415988.29784*100)</f>
        <v>132.50750002159646</v>
      </c>
      <c r="D5" s="29">
        <v>100</v>
      </c>
      <c r="E5" s="29">
        <v>100</v>
      </c>
      <c r="F5" s="29">
        <f>IF(5842484.3398="","-",(5415988.29784-5842484.3398)/5842484.3398*100)</f>
        <v>-7.2999090310715307</v>
      </c>
      <c r="G5" s="29">
        <f>IF(5415988.29784="","-",(7176590.69493-5415988.29784)/5415988.29784*100)</f>
        <v>32.507500021596464</v>
      </c>
    </row>
    <row r="6" spans="1:7" s="3" customFormat="1" ht="15" x14ac:dyDescent="0.25">
      <c r="A6" s="37" t="s">
        <v>125</v>
      </c>
      <c r="B6" s="54"/>
      <c r="C6" s="55"/>
      <c r="D6" s="55"/>
      <c r="E6" s="55"/>
      <c r="F6" s="55"/>
      <c r="G6" s="55"/>
    </row>
    <row r="7" spans="1:7" ht="16.5" customHeight="1" x14ac:dyDescent="0.25">
      <c r="A7" s="30" t="s">
        <v>140</v>
      </c>
      <c r="B7" s="18">
        <v>3149116.6668099998</v>
      </c>
      <c r="C7" s="31">
        <f>IF(2470745.10472="","-",3149116.66681/2470745.10472*100)</f>
        <v>127.45615323871608</v>
      </c>
      <c r="D7" s="31">
        <f>IF(2470745.10472="","-",2470745.10472/5415988.29784*100)</f>
        <v>45.619469039572714</v>
      </c>
      <c r="E7" s="31">
        <f>IF(3149116.66681="","-",3149116.66681/7176590.69493*100)</f>
        <v>43.880399491568269</v>
      </c>
      <c r="F7" s="31">
        <f>IF(5842484.3398="","-",(2470745.10472-2831246.82739)/5842484.3398*100)</f>
        <v>-6.1703498324197605</v>
      </c>
      <c r="G7" s="31">
        <f>IF(5415988.29784="","-",(3149116.66681-2470745.10472)/5415988.29784*100)</f>
        <v>12.525351326193729</v>
      </c>
    </row>
    <row r="8" spans="1:7" x14ac:dyDescent="0.25">
      <c r="A8" s="32" t="s">
        <v>2</v>
      </c>
      <c r="B8" s="19">
        <v>829982.97057999996</v>
      </c>
      <c r="C8" s="33">
        <f>IF(OR(631931.78444="",829982.97058=""),"-",829982.97058/631931.78444*100)</f>
        <v>131.34059577577781</v>
      </c>
      <c r="D8" s="33">
        <f>IF(631931.78444="","-",631931.78444/5415988.29784*100)</f>
        <v>11.667894199328801</v>
      </c>
      <c r="E8" s="33">
        <f>IF(829982.97058="","-",829982.97058/7176590.69493*100)</f>
        <v>11.565142918995683</v>
      </c>
      <c r="F8" s="33">
        <f>IF(OR(5842484.3398="",841187.97847="",631931.78444=""),"-",(631931.78444-841187.97847)/5842484.3398*100)</f>
        <v>-3.5816303794690745</v>
      </c>
      <c r="G8" s="33">
        <f>IF(OR(5415988.29784="",829982.97058="",631931.78444=""),"-",(829982.97058-631931.78444)/5415988.29784*100)</f>
        <v>3.6567875565570667</v>
      </c>
    </row>
    <row r="9" spans="1:7" s="7" customFormat="1" x14ac:dyDescent="0.25">
      <c r="A9" s="32" t="s">
        <v>4</v>
      </c>
      <c r="B9" s="78">
        <v>546705.43189000001</v>
      </c>
      <c r="C9" s="33">
        <f>IF(OR(452202.96369="",546705.43189=""),"-",546705.43189/452202.96369*100)</f>
        <v>120.89824167202596</v>
      </c>
      <c r="D9" s="33">
        <f>IF(452202.96369="","-",452202.96369/5415988.29784*100)</f>
        <v>8.3494080640895625</v>
      </c>
      <c r="E9" s="33">
        <f>IF(546705.43189="","-",546705.43189/7176590.69493*100)</f>
        <v>7.6178990154228448</v>
      </c>
      <c r="F9" s="33">
        <f>IF(OR(5842484.3398="",484115.1814="",452202.96369=""),"-",(452202.96369-484115.1814)/5842484.3398*100)</f>
        <v>-0.546209726102448</v>
      </c>
      <c r="G9" s="33">
        <f>IF(OR(5415988.29784="",546705.43189="",452202.96369=""),"-",(546705.43189-452202.96369)/5415988.29784*100)</f>
        <v>1.7448794754170609</v>
      </c>
    </row>
    <row r="10" spans="1:7" s="7" customFormat="1" x14ac:dyDescent="0.25">
      <c r="A10" s="32" t="s">
        <v>3</v>
      </c>
      <c r="B10" s="19">
        <v>444463.68780999997</v>
      </c>
      <c r="C10" s="33">
        <f>IF(OR(346826.35604="",444463.68781=""),"-",444463.68781/346826.35604*100)</f>
        <v>128.15164709072437</v>
      </c>
      <c r="D10" s="33">
        <f>IF(346826.35604="","-",346826.35604/5415988.29784*100)</f>
        <v>6.403750100019991</v>
      </c>
      <c r="E10" s="33">
        <f>IF(444463.68781="","-",444463.68781/7176590.69493*100)</f>
        <v>6.1932428182646309</v>
      </c>
      <c r="F10" s="33">
        <f>IF(OR(5842484.3398="",406430.65966="",346826.35604=""),"-",(346826.35604-406430.65966)/5842484.3398*100)</f>
        <v>-1.0201876488391306</v>
      </c>
      <c r="G10" s="33">
        <f>IF(OR(5415988.29784="",444463.68781="",346826.35604=""),"-",(444463.68781-346826.35604)/5415988.29784*100)</f>
        <v>1.8027611287295364</v>
      </c>
    </row>
    <row r="11" spans="1:7" s="7" customFormat="1" x14ac:dyDescent="0.25">
      <c r="A11" s="32" t="s">
        <v>5</v>
      </c>
      <c r="B11" s="19">
        <v>261614.91845</v>
      </c>
      <c r="C11" s="33">
        <f>IF(OR(217169.11091="",261614.91845=""),"-",261614.91845/217169.11091*100)</f>
        <v>120.46598954785028</v>
      </c>
      <c r="D11" s="33">
        <f>IF(217169.11091="","-",217169.11091/5415988.29784*100)</f>
        <v>4.0097780675894592</v>
      </c>
      <c r="E11" s="33">
        <f>IF(261614.91845="","-",261614.91845/7176590.69493*100)</f>
        <v>3.645392771735211</v>
      </c>
      <c r="F11" s="33">
        <f>IF(OR(5842484.3398="",201624.70556="",217169.11091=""),"-",(217169.11091-201624.70556)/5842484.3398*100)</f>
        <v>0.26605814317907273</v>
      </c>
      <c r="G11" s="33">
        <f>IF(OR(5415988.29784="",261614.91845="",217169.11091=""),"-",(261614.91845-217169.11091)/5415988.29784*100)</f>
        <v>0.8206407602048521</v>
      </c>
    </row>
    <row r="12" spans="1:7" s="7" customFormat="1" x14ac:dyDescent="0.25">
      <c r="A12" s="32" t="s">
        <v>342</v>
      </c>
      <c r="B12" s="19">
        <v>170655.43487999999</v>
      </c>
      <c r="C12" s="33">
        <f>IF(OR(121336.76493="",170655.43488=""),"-",170655.43488/121336.76493*100)</f>
        <v>140.64610588427362</v>
      </c>
      <c r="D12" s="33">
        <f>IF(121336.76493="","-",121336.76493/5415988.29784*100)</f>
        <v>2.2403439272273067</v>
      </c>
      <c r="E12" s="33">
        <f>IF(170655.43488="","-",170655.43488/7176590.69493*100)</f>
        <v>2.377945770274482</v>
      </c>
      <c r="F12" s="33">
        <f>IF(OR(5842484.3398="",147014.04363="",121336.76493=""),"-",(121336.76493-147014.04363)/5842484.3398*100)</f>
        <v>-0.43949246941206138</v>
      </c>
      <c r="G12" s="33">
        <f>IF(OR(5415988.29784="",170655.43488="",121336.76493=""),"-",(170655.43488-121336.76493)/5415988.29784*100)</f>
        <v>0.91061256483270492</v>
      </c>
    </row>
    <row r="13" spans="1:7" s="7" customFormat="1" x14ac:dyDescent="0.25">
      <c r="A13" s="32" t="s">
        <v>41</v>
      </c>
      <c r="B13" s="19">
        <v>121597.88881</v>
      </c>
      <c r="C13" s="33">
        <f>IF(OR(100469.76512="",121597.88881=""),"-",121597.88881/100469.76512*100)</f>
        <v>121.0293352082239</v>
      </c>
      <c r="D13" s="33">
        <f>IF(100469.76512="","-",100469.76512/5415988.29784*100)</f>
        <v>1.8550587555750306</v>
      </c>
      <c r="E13" s="33">
        <f>IF(121597.88881="","-",121597.88881/7176590.69493*100)</f>
        <v>1.6943684540335353</v>
      </c>
      <c r="F13" s="33">
        <f>IF(OR(5842484.3398="",108889.82459="",100469.76512=""),"-",(100469.76512-108889.82459)/5842484.3398*100)</f>
        <v>-0.14411779271090427</v>
      </c>
      <c r="G13" s="33">
        <f>IF(OR(5415988.29784="",121597.88881="",100469.76512=""),"-",(121597.88881-100469.76512)/5415988.29784*100)</f>
        <v>0.39010652401937995</v>
      </c>
    </row>
    <row r="14" spans="1:7" s="7" customFormat="1" x14ac:dyDescent="0.25">
      <c r="A14" s="32" t="s">
        <v>368</v>
      </c>
      <c r="B14" s="19">
        <v>114939.16883</v>
      </c>
      <c r="C14" s="33">
        <f>IF(OR(96101.07506="",114939.16883=""),"-",114939.16883/96101.07506*100)</f>
        <v>119.60237568439123</v>
      </c>
      <c r="D14" s="33">
        <f>IF(96101.07506="","-",96101.07506/5415988.29784*100)</f>
        <v>1.7743959140075496</v>
      </c>
      <c r="E14" s="33">
        <f>IF(114939.16883="","-",114939.16883/7176590.69493*100)</f>
        <v>1.6015845645370348</v>
      </c>
      <c r="F14" s="33">
        <f>IF(OR(5842484.3398="",112931.31924="",96101.07506=""),"-",(96101.07506-112931.31924)/5842484.3398*100)</f>
        <v>-0.28806656896535432</v>
      </c>
      <c r="G14" s="33">
        <f>IF(OR(5415988.29784="",114939.16883="",96101.07506=""),"-",(114939.16883-96101.07506)/5415988.29784*100)</f>
        <v>0.34782375319224723</v>
      </c>
    </row>
    <row r="15" spans="1:7" s="7" customFormat="1" x14ac:dyDescent="0.25">
      <c r="A15" s="32" t="s">
        <v>39</v>
      </c>
      <c r="B15" s="19">
        <v>100689.08774</v>
      </c>
      <c r="C15" s="33">
        <f>IF(OR(78278.17528="",100689.08774=""),"-",100689.08774/78278.17528*100)</f>
        <v>128.6298350464053</v>
      </c>
      <c r="D15" s="33">
        <f>IF(78278.17528="","-",78278.17528/5415988.29784*100)</f>
        <v>1.445316551204862</v>
      </c>
      <c r="E15" s="33">
        <f>IF(100689.08774="","-",100689.08774/7176590.69493*100)</f>
        <v>1.4030211840161537</v>
      </c>
      <c r="F15" s="33">
        <f>IF(OR(5842484.3398="",80966.06634="",78278.17528=""),"-",(78278.17528-80966.06634)/5842484.3398*100)</f>
        <v>-4.600596088361994E-2</v>
      </c>
      <c r="G15" s="33">
        <f>IF(OR(5415988.29784="",100689.08774="",78278.17528=""),"-",(100689.08774-78278.17528)/5415988.29784*100)</f>
        <v>0.41379174450834594</v>
      </c>
    </row>
    <row r="16" spans="1:7" s="7" customFormat="1" x14ac:dyDescent="0.25">
      <c r="A16" s="32" t="s">
        <v>7</v>
      </c>
      <c r="B16" s="19">
        <v>97723.280920000005</v>
      </c>
      <c r="C16" s="33" t="s">
        <v>102</v>
      </c>
      <c r="D16" s="33">
        <f>IF(62744.19598="","-",62744.19598/5415988.29784*100)</f>
        <v>1.1584994746946478</v>
      </c>
      <c r="E16" s="33">
        <f>IF(97723.28092="","-",97723.28092/7176590.69493*100)</f>
        <v>1.3616950593133024</v>
      </c>
      <c r="F16" s="33">
        <f>IF(OR(5842484.3398="",92148.84823="",62744.19598=""),"-",(62744.19598-92148.84823)/5842484.3398*100)</f>
        <v>-0.50329021936251495</v>
      </c>
      <c r="G16" s="33">
        <f>IF(OR(5415988.29784="",97723.28092="",62744.19598=""),"-",(97723.28092-62744.19598)/5415988.29784*100)</f>
        <v>0.64584860631900443</v>
      </c>
    </row>
    <row r="17" spans="1:7" s="7" customFormat="1" x14ac:dyDescent="0.25">
      <c r="A17" s="32" t="s">
        <v>6</v>
      </c>
      <c r="B17" s="19">
        <v>77215.404920000001</v>
      </c>
      <c r="C17" s="33">
        <f>IF(OR(62709.90352="",77215.40492=""),"-",77215.40492/62709.90352*100)</f>
        <v>123.13111739260414</v>
      </c>
      <c r="D17" s="33">
        <f>IF(62709.90352="","-",62709.90352/5415988.29784*100)</f>
        <v>1.1578663038287935</v>
      </c>
      <c r="E17" s="33">
        <f>IF(77215.40492="","-",77215.40492/7176590.69493*100)</f>
        <v>1.0759343566096067</v>
      </c>
      <c r="F17" s="33">
        <f>IF(OR(5842484.3398="",56212.51121="",62709.90352=""),"-",(62709.90352-56212.51121)/5842484.3398*100)</f>
        <v>0.11120940908200057</v>
      </c>
      <c r="G17" s="33">
        <f>IF(OR(5415988.29784="",77215.40492="",62709.90352=""),"-",(77215.40492-62709.90352)/5415988.29784*100)</f>
        <v>0.26782741398804483</v>
      </c>
    </row>
    <row r="18" spans="1:7" s="7" customFormat="1" x14ac:dyDescent="0.25">
      <c r="A18" s="32" t="s">
        <v>9</v>
      </c>
      <c r="B18" s="19">
        <v>76815.643030000007</v>
      </c>
      <c r="C18" s="33">
        <f>IF(OR(59683.45274="",76815.64303=""),"-",76815.64303/59683.45274*100)</f>
        <v>128.70509245608369</v>
      </c>
      <c r="D18" s="33">
        <f>IF(59683.45274="","-",59683.45274/5415988.29784*100)</f>
        <v>1.1019863680983746</v>
      </c>
      <c r="E18" s="33">
        <f>IF(76815.64303="","-",76815.64303/7176590.69493*100)</f>
        <v>1.0703639972705628</v>
      </c>
      <c r="F18" s="33">
        <f>IF(OR(5842484.3398="",57120.30365="",59683.45274=""),"-",(59683.45274-57120.30365)/5842484.3398*100)</f>
        <v>4.3870876512914041E-2</v>
      </c>
      <c r="G18" s="33">
        <f>IF(OR(5415988.29784="",76815.64303="",59683.45274=""),"-",(76815.64303-59683.45274)/5415988.29784*100)</f>
        <v>0.31632620581607707</v>
      </c>
    </row>
    <row r="19" spans="1:7" s="7" customFormat="1" ht="15.75" customHeight="1" x14ac:dyDescent="0.25">
      <c r="A19" s="32" t="s">
        <v>40</v>
      </c>
      <c r="B19" s="19">
        <v>52344.371180000002</v>
      </c>
      <c r="C19" s="33">
        <f>IF(OR(41634.63462="",52344.37118=""),"-",52344.37118/41634.63462*100)</f>
        <v>125.72314290193236</v>
      </c>
      <c r="D19" s="33">
        <f>IF(41634.63462="","-",41634.63462/5415988.29784*100)</f>
        <v>0.76873568276734805</v>
      </c>
      <c r="E19" s="33">
        <f>IF(52344.37118="","-",52344.37118/7176590.69493*100)</f>
        <v>0.7293765717610089</v>
      </c>
      <c r="F19" s="33">
        <f>IF(OR(5842484.3398="",41515.41899="",41634.63462=""),"-",(41634.63462-41515.41899)/5842484.3398*100)</f>
        <v>2.0404954992841243E-3</v>
      </c>
      <c r="G19" s="33">
        <f>IF(OR(5415988.29784="",52344.37118="",41634.63462=""),"-",(52344.37118-41634.63462)/5415988.29784*100)</f>
        <v>0.19774297821639042</v>
      </c>
    </row>
    <row r="20" spans="1:7" s="7" customFormat="1" x14ac:dyDescent="0.25">
      <c r="A20" s="32" t="s">
        <v>8</v>
      </c>
      <c r="B20" s="19">
        <v>41914.178030000003</v>
      </c>
      <c r="C20" s="33" t="s">
        <v>101</v>
      </c>
      <c r="D20" s="33">
        <f>IF(25055.84883="","-",25055.84883/5415988.29784*100)</f>
        <v>0.46262745508502573</v>
      </c>
      <c r="E20" s="33">
        <f>IF(41914.17803="","-",41914.17803/7176590.69493*100)</f>
        <v>0.58404024712752312</v>
      </c>
      <c r="F20" s="33">
        <f>IF(OR(5842484.3398="",22223.51785="",25055.84883=""),"-",(25055.84883-22223.51785)/5842484.3398*100)</f>
        <v>4.8478195494777401E-2</v>
      </c>
      <c r="G20" s="33">
        <f>IF(OR(5415988.29784="",41914.17803="",25055.84883=""),"-",(41914.17803-25055.84883)/5415988.29784*100)</f>
        <v>0.31126967550360901</v>
      </c>
    </row>
    <row r="21" spans="1:7" s="7" customFormat="1" x14ac:dyDescent="0.25">
      <c r="A21" s="32" t="s">
        <v>43</v>
      </c>
      <c r="B21" s="19">
        <v>39598.93161</v>
      </c>
      <c r="C21" s="33">
        <f>IF(OR(30834.55221="",39598.93161=""),"-",39598.93161/30834.55221*100)</f>
        <v>128.42389064160824</v>
      </c>
      <c r="D21" s="33">
        <f>IF(30834.55221="","-",30834.55221/5415988.29784*100)</f>
        <v>0.56932457225392108</v>
      </c>
      <c r="E21" s="33">
        <f>IF(39598.93161="","-",39598.93161/7176590.69493*100)</f>
        <v>0.55177915661227839</v>
      </c>
      <c r="F21" s="33">
        <f>IF(OR(5842484.3398="",34164.28784="",30834.55221=""),"-",(30834.55221-34164.28784)/5842484.3398*100)</f>
        <v>-5.6991776722742207E-2</v>
      </c>
      <c r="G21" s="33">
        <f>IF(OR(5415988.29784="",39598.93161="",30834.55221=""),"-",(39598.93161-30834.55221)/5415988.29784*100)</f>
        <v>0.16182419381325844</v>
      </c>
    </row>
    <row r="22" spans="1:7" s="7" customFormat="1" x14ac:dyDescent="0.25">
      <c r="A22" s="32" t="s">
        <v>51</v>
      </c>
      <c r="B22" s="19">
        <v>30607.98157</v>
      </c>
      <c r="C22" s="33">
        <f>IF(OR(26638.8069="",30607.98157=""),"-",30607.98157/26638.8069*100)</f>
        <v>114.89997162748307</v>
      </c>
      <c r="D22" s="33">
        <f>IF(26638.8069="","-",26638.8069/5415988.29784*100)</f>
        <v>0.49185495675136642</v>
      </c>
      <c r="E22" s="33">
        <f>IF(30607.98157="","-",30607.98157/7176590.69493*100)</f>
        <v>0.42649752328251661</v>
      </c>
      <c r="F22" s="33">
        <f>IF(OR(5842484.3398="",23497.51419="",26638.8069=""),"-",(26638.8069-23497.51419)/5842484.3398*100)</f>
        <v>5.3766386477084344E-2</v>
      </c>
      <c r="G22" s="33">
        <f>IF(OR(5415988.29784="",30607.98157="",26638.8069=""),"-",(30607.98157-26638.8069)/5415988.29784*100)</f>
        <v>7.3286249004322679E-2</v>
      </c>
    </row>
    <row r="23" spans="1:7" s="7" customFormat="1" x14ac:dyDescent="0.25">
      <c r="A23" s="32" t="s">
        <v>50</v>
      </c>
      <c r="B23" s="19">
        <v>27060.0913</v>
      </c>
      <c r="C23" s="33">
        <f>IF(OR(20641.97702="",27060.0913=""),"-",27060.0913/20641.97702*100)</f>
        <v>131.09253669734008</v>
      </c>
      <c r="D23" s="33">
        <f>IF(20641.97702="","-",20641.97702/5415988.29784*100)</f>
        <v>0.38113038442554265</v>
      </c>
      <c r="E23" s="33">
        <f>IF(27060.0913="","-",27060.0913/7176590.69493*100)</f>
        <v>0.37706053543107826</v>
      </c>
      <c r="F23" s="33">
        <f>IF(OR(5842484.3398="",20367.14132="",20641.97702=""),"-",(20641.97702-20367.14132)/5842484.3398*100)</f>
        <v>4.7040896306348992E-3</v>
      </c>
      <c r="G23" s="33">
        <f>IF(OR(5415988.29784="",27060.0913="",20641.97702=""),"-",(27060.0913-20641.97702)/5415988.29784*100)</f>
        <v>0.1185031046422251</v>
      </c>
    </row>
    <row r="24" spans="1:7" s="7" customFormat="1" x14ac:dyDescent="0.25">
      <c r="A24" s="32" t="s">
        <v>49</v>
      </c>
      <c r="B24" s="78">
        <v>26117.470799999999</v>
      </c>
      <c r="C24" s="33">
        <f>IF(OR(22222.13031="",26117.4708=""),"-",26117.4708/22222.13031*100)</f>
        <v>117.52910470625351</v>
      </c>
      <c r="D24" s="33">
        <f>IF(22222.13031="","-",22222.13031/5415988.29784*100)</f>
        <v>0.41030609905236703</v>
      </c>
      <c r="E24" s="33">
        <f>IF(26117.4708="","-",26117.4708/7176590.69493*100)</f>
        <v>0.36392587943535698</v>
      </c>
      <c r="F24" s="33">
        <f>IF(OR(5842484.3398="",25179.78758="",22222.13031=""),"-",(22222.13031-25179.78758)/5842484.3398*100)</f>
        <v>-5.0623281090407611E-2</v>
      </c>
      <c r="G24" s="33">
        <f>IF(OR(5415988.29784="",26117.4708="",22222.13031=""),"-",(26117.4708-22222.13031)/5415988.29784*100)</f>
        <v>7.1922985719033675E-2</v>
      </c>
    </row>
    <row r="25" spans="1:7" s="7" customFormat="1" x14ac:dyDescent="0.25">
      <c r="A25" s="32" t="s">
        <v>47</v>
      </c>
      <c r="B25" s="19">
        <v>17189.088749999999</v>
      </c>
      <c r="C25" s="33">
        <f>IF(OR(14205.87133="",17189.08875=""),"-",17189.08875/14205.87133*100)</f>
        <v>120.99989047275143</v>
      </c>
      <c r="D25" s="33">
        <f>IF(14205.87133="","-",14205.87133/5415988.29784*100)</f>
        <v>0.2622950890729504</v>
      </c>
      <c r="E25" s="33">
        <f>IF(17189.08875="","-",17189.08875/7176590.69493*100)</f>
        <v>0.23951608055540166</v>
      </c>
      <c r="F25" s="33">
        <f>IF(OR(5842484.3398="",12803.3682="",14205.87133=""),"-",(14205.87133-12803.3682)/5842484.3398*100)</f>
        <v>2.4005252704674081E-2</v>
      </c>
      <c r="G25" s="33">
        <f>IF(OR(5415988.29784="",17189.08875="",14205.87133=""),"-",(17189.08875-14205.87133)/5415988.29784*100)</f>
        <v>5.5081681420725434E-2</v>
      </c>
    </row>
    <row r="26" spans="1:7" s="7" customFormat="1" x14ac:dyDescent="0.25">
      <c r="A26" s="32" t="s">
        <v>44</v>
      </c>
      <c r="B26" s="78">
        <v>15987.799419999999</v>
      </c>
      <c r="C26" s="33">
        <f>IF(OR(12591.14597="",15987.79942=""),"-",15987.79942/12591.14597*100)</f>
        <v>126.97652348795698</v>
      </c>
      <c r="D26" s="33">
        <f>IF(12591.14597="","-",12591.14597/5415988.29784*100)</f>
        <v>0.23248104090294266</v>
      </c>
      <c r="E26" s="33">
        <f>IF(15987.79942="","-",15987.79942/7176590.69493*100)</f>
        <v>0.22277708315307432</v>
      </c>
      <c r="F26" s="33">
        <f>IF(OR(5842484.3398="",11942.49097="",12591.14597=""),"-",(12591.14597-11942.49097)/5842484.3398*100)</f>
        <v>1.1102383203344685E-2</v>
      </c>
      <c r="G26" s="33">
        <f>IF(OR(5415988.29784="",15987.79942="",12591.14597=""),"-",(15987.79942-12591.14597)/5415988.29784*100)</f>
        <v>6.2715302604229237E-2</v>
      </c>
    </row>
    <row r="27" spans="1:7" s="7" customFormat="1" x14ac:dyDescent="0.25">
      <c r="A27" s="32" t="s">
        <v>42</v>
      </c>
      <c r="B27" s="19">
        <v>15337.54398</v>
      </c>
      <c r="C27" s="33">
        <f>IF(OR(14900.27938="",15337.54398=""),"-",15337.54398/14900.27938*100)</f>
        <v>102.93460672010568</v>
      </c>
      <c r="D27" s="33">
        <f>IF(14900.27938="","-",14900.27938/5415988.29784*100)</f>
        <v>0.2751165357196676</v>
      </c>
      <c r="E27" s="33">
        <f>IF(15337.54398="","-",15337.54398/7176590.69493*100)</f>
        <v>0.21371629833697239</v>
      </c>
      <c r="F27" s="33">
        <f>IF(OR(5842484.3398="",15341.14561="",14900.27938=""),"-",(14900.27938-15341.14561)/5842484.3398*100)</f>
        <v>-7.5458692631273933E-3</v>
      </c>
      <c r="G27" s="33">
        <f>IF(OR(5415988.29784="",15337.54398="",14900.27938=""),"-",(15337.54398-14900.27938)/5415988.29784*100)</f>
        <v>8.0735883453512992E-3</v>
      </c>
    </row>
    <row r="28" spans="1:7" s="7" customFormat="1" x14ac:dyDescent="0.25">
      <c r="A28" s="32" t="s">
        <v>48</v>
      </c>
      <c r="B28" s="19">
        <v>15208.589120000001</v>
      </c>
      <c r="C28" s="33">
        <f>IF(OR(12038.72459="",15208.58912=""),"-",15208.58912/12038.72459*100)</f>
        <v>126.33056771340262</v>
      </c>
      <c r="D28" s="33">
        <f>IF(12038.72459="","-",12038.72459/5415988.29784*100)</f>
        <v>0.22228121495021091</v>
      </c>
      <c r="E28" s="33">
        <f>IF(15208.58912="","-",15208.58912/7176590.69493*100)</f>
        <v>0.21191941642630271</v>
      </c>
      <c r="F28" s="33">
        <f>IF(OR(5842484.3398="",13862.20346="",12038.72459=""),"-",(12038.72459-13862.20346)/5842484.3398*100)</f>
        <v>-3.1210676211456002E-2</v>
      </c>
      <c r="G28" s="33">
        <f>IF(OR(5415988.29784="",15208.58912="",12038.72459=""),"-",(15208.58912-12038.72459)/5415988.29784*100)</f>
        <v>5.8527905816639289E-2</v>
      </c>
    </row>
    <row r="29" spans="1:7" s="7" customFormat="1" x14ac:dyDescent="0.25">
      <c r="A29" s="32" t="s">
        <v>52</v>
      </c>
      <c r="B29" s="78">
        <v>7942.5934600000001</v>
      </c>
      <c r="C29" s="33">
        <f>IF(OR(7536.73216="",7942.59346=""),"-",7942.59346/7536.73216*100)</f>
        <v>105.38510977150078</v>
      </c>
      <c r="D29" s="33">
        <f>IF(7536.73216="","-",7536.73216/5415988.29784*100)</f>
        <v>0.13915709830846187</v>
      </c>
      <c r="E29" s="33">
        <f>IF(7942.59346="","-",7942.59346/7176590.69493*100)</f>
        <v>0.11067363038568094</v>
      </c>
      <c r="F29" s="33">
        <f>IF(OR(5842484.3398="",8295.22667="",7536.73216=""),"-",(7536.73216-8295.22667)/5842484.3398*100)</f>
        <v>-1.2982396971661635E-2</v>
      </c>
      <c r="G29" s="33">
        <f>IF(OR(5415988.29784="",7942.59346="",7536.73216=""),"-",(7942.59346-7536.73216)/5415988.29784*100)</f>
        <v>7.4937624987459032E-3</v>
      </c>
    </row>
    <row r="30" spans="1:7" s="7" customFormat="1" x14ac:dyDescent="0.25">
      <c r="A30" s="32" t="s">
        <v>343</v>
      </c>
      <c r="B30" s="19">
        <v>7814.4111000000003</v>
      </c>
      <c r="C30" s="33">
        <f>IF(OR(6239.18527="",7814.4111=""),"-",7814.4111/6239.18527*100)</f>
        <v>125.24730011743985</v>
      </c>
      <c r="D30" s="33">
        <f>IF(6239.18527="","-",6239.18527/5415988.29784*100)</f>
        <v>0.11519938609336189</v>
      </c>
      <c r="E30" s="33">
        <f>IF(7814.4111="","-",7814.4111/7176590.69493*100)</f>
        <v>0.10888751263912261</v>
      </c>
      <c r="F30" s="33">
        <f>IF(OR(5842484.3398="",5866.71501="",6239.18527=""),"-",(6239.18527-5866.71501)/5842484.3398*100)</f>
        <v>6.3752033952863014E-3</v>
      </c>
      <c r="G30" s="33">
        <f>IF(OR(5415988.29784="",7814.4111="",6239.18527=""),"-",(7814.4111-6239.18527)/5415988.29784*100)</f>
        <v>2.908473474043935E-2</v>
      </c>
    </row>
    <row r="31" spans="1:7" s="7" customFormat="1" x14ac:dyDescent="0.25">
      <c r="A31" s="32" t="s">
        <v>45</v>
      </c>
      <c r="B31" s="19">
        <v>5851.0648000000001</v>
      </c>
      <c r="C31" s="33">
        <f>IF(OR(4304.37026="",5851.0648=""),"-",5851.0648/4304.37026*100)</f>
        <v>135.93312021443063</v>
      </c>
      <c r="D31" s="33">
        <f>IF(4304.37026="","-",4304.37026/5415988.29784*100)</f>
        <v>7.9475250375202339E-2</v>
      </c>
      <c r="E31" s="33">
        <f>IF(5851.0648="","-",5851.0648/7176590.69493*100)</f>
        <v>8.1529866321254238E-2</v>
      </c>
      <c r="F31" s="33">
        <f>IF(OR(5842484.3398="",4815.69723="",4304.37026=""),"-",(4304.37026-4815.69723)/5842484.3398*100)</f>
        <v>-8.7518757477320647E-3</v>
      </c>
      <c r="G31" s="33">
        <f>IF(OR(5415988.29784="",5851.0648="",4304.37026=""),"-",(5851.0648-4304.37026)/5415988.29784*100)</f>
        <v>2.8557937258041195E-2</v>
      </c>
    </row>
    <row r="32" spans="1:7" s="7" customFormat="1" x14ac:dyDescent="0.25">
      <c r="A32" s="32" t="s">
        <v>53</v>
      </c>
      <c r="B32" s="19">
        <v>2480.9302699999998</v>
      </c>
      <c r="C32" s="33" t="s">
        <v>102</v>
      </c>
      <c r="D32" s="33">
        <f>IF(1546.86697="","-",1546.86697/5415988.29784*100)</f>
        <v>2.85611209798389E-2</v>
      </c>
      <c r="E32" s="33">
        <f>IF(2480.93027="","-",2480.93027/7176590.69493*100)</f>
        <v>3.4569761262164315E-2</v>
      </c>
      <c r="F32" s="33">
        <f>IF(OR(5842484.3398="",1950.34458="",1546.86697=""),"-",(1546.86697-1950.34458)/5842484.3398*100)</f>
        <v>-6.90592539977286E-3</v>
      </c>
      <c r="G32" s="33">
        <f>IF(OR(5415988.29784="",2480.93027="",1546.86697=""),"-",(2480.93027-1546.86697)/5415988.29784*100)</f>
        <v>1.7246405432089322E-2</v>
      </c>
    </row>
    <row r="33" spans="1:7" s="7" customFormat="1" x14ac:dyDescent="0.25">
      <c r="A33" s="32" t="s">
        <v>46</v>
      </c>
      <c r="B33" s="19">
        <v>1129.7008699999999</v>
      </c>
      <c r="C33" s="33" t="s">
        <v>207</v>
      </c>
      <c r="D33" s="33">
        <f>IF(627.0678="","-",627.0678/5415988.29784*100)</f>
        <v>1.1578086316214655E-2</v>
      </c>
      <c r="E33" s="33">
        <f>IF(1129.70087="","-",1129.70087/7176590.69493*100)</f>
        <v>1.5741469982370495E-2</v>
      </c>
      <c r="F33" s="33">
        <f>IF(OR(5842484.3398="",674.39721="",627.0678=""),"-",(627.0678-674.39721)/5842484.3398*100)</f>
        <v>-8.1009048971828509E-4</v>
      </c>
      <c r="G33" s="33">
        <f>IF(OR(5415988.29784="",1129.70087="",627.0678=""),"-",(1129.70087-627.0678)/5415988.29784*100)</f>
        <v>9.2805420240745264E-3</v>
      </c>
    </row>
    <row r="34" spans="1:7" s="7" customFormat="1" x14ac:dyDescent="0.25">
      <c r="A34" s="32" t="s">
        <v>54</v>
      </c>
      <c r="B34" s="19">
        <v>86.161799999999999</v>
      </c>
      <c r="C34" s="33">
        <f>IF(OR(114.33051="",86.1618=""),"-",86.1618/114.33051*100)</f>
        <v>75.362035908000408</v>
      </c>
      <c r="D34" s="33">
        <f>IF(114.33051="","-",114.33051/5415988.29784*100)</f>
        <v>2.1109814813595001E-3</v>
      </c>
      <c r="E34" s="33">
        <f>IF(86.1618="","-",86.1618/7176590.69493*100)</f>
        <v>1.2005951525265357E-3</v>
      </c>
      <c r="F34" s="33">
        <f>IF(OR(5842484.3398="",106.1287="",114.33051=""),"-",(114.33051-106.1287)/5842484.3398*100)</f>
        <v>1.4038223336137814E-4</v>
      </c>
      <c r="G34" s="33">
        <f>IF(OR(5415988.29784="",86.1618="",114.33051=""),"-",(86.1618-114.33051)/5415988.29784*100)</f>
        <v>-5.2010285936611466E-4</v>
      </c>
    </row>
    <row r="35" spans="1:7" s="7" customFormat="1" ht="25.5" x14ac:dyDescent="0.25">
      <c r="A35" s="32" t="s">
        <v>363</v>
      </c>
      <c r="B35" s="19">
        <v>42.840890000000002</v>
      </c>
      <c r="C35" s="33">
        <f>IF(OR(159.03288="",42.84089=""),"-",42.84089/159.03288*100)</f>
        <v>26.938385320067148</v>
      </c>
      <c r="D35" s="33">
        <f>IF(159.03288="","-",159.03288/5415988.29784*100)</f>
        <v>2.936359372553027E-3</v>
      </c>
      <c r="E35" s="33">
        <f>IF(42.84089="","-",42.84089/7176590.69493*100)</f>
        <v>5.9695323059549051E-4</v>
      </c>
      <c r="F35" s="33" t="str">
        <f>IF(OR(5842484.3398="",""="",159.03288=""),"-",(159.03288-"")/5842484.3398*100)</f>
        <v>-</v>
      </c>
      <c r="G35" s="33">
        <f>IF(OR(5415988.29784="",42.84089="",159.03288=""),"-",(42.84089-159.03288)/5415988.29784*100)</f>
        <v>-2.1453515703927866E-3</v>
      </c>
    </row>
    <row r="36" spans="1:7" s="7" customFormat="1" x14ac:dyDescent="0.25">
      <c r="A36" s="30" t="s">
        <v>208</v>
      </c>
      <c r="B36" s="18">
        <v>1905266.5300400001</v>
      </c>
      <c r="C36" s="31">
        <f>IF(1317722.25307="","-",1905266.53004/1317722.25307*100)</f>
        <v>144.58786937847884</v>
      </c>
      <c r="D36" s="31">
        <f>IF(1317722.25307="","-",1317722.25307/5415988.29784*100)</f>
        <v>24.330227109159985</v>
      </c>
      <c r="E36" s="31">
        <f>IF(1905266.53004="","-",1905266.53004/7176590.69493*100)</f>
        <v>26.548351592435132</v>
      </c>
      <c r="F36" s="31">
        <f>IF(5842484.3398="","-",(1317722.25307-1417224.57479)/5842484.3398*100)</f>
        <v>-1.7030823864117719</v>
      </c>
      <c r="G36" s="31">
        <f>IF(5415988.29784="","-",(1905266.53004-1317722.25307)/5415988.29784*100)</f>
        <v>10.848329882919503</v>
      </c>
    </row>
    <row r="37" spans="1:7" s="7" customFormat="1" x14ac:dyDescent="0.25">
      <c r="A37" s="32" t="s">
        <v>344</v>
      </c>
      <c r="B37" s="19">
        <v>1053569.50431</v>
      </c>
      <c r="C37" s="33" t="s">
        <v>101</v>
      </c>
      <c r="D37" s="33">
        <f>IF(603524.20473="","-",603524.20473/5415988.29784*100)</f>
        <v>11.143380885270689</v>
      </c>
      <c r="E37" s="33">
        <f>IF(1053569.50431="","-",1053569.50431/7176590.69493*100)</f>
        <v>14.680640837637688</v>
      </c>
      <c r="F37" s="33">
        <f>IF(OR(5842484.3398="",692513.93306="",603524.20473=""),"-",(603524.20473-692513.93306)/5842484.3398*100)</f>
        <v>-1.5231487695018153</v>
      </c>
      <c r="G37" s="33">
        <f>IF(OR(5415988.29784="",1053569.50431="",603524.20473=""),"-",(1053569.50431-603524.20473)/5415988.29784*100)</f>
        <v>8.309569275832569</v>
      </c>
    </row>
    <row r="38" spans="1:7" s="7" customFormat="1" x14ac:dyDescent="0.25">
      <c r="A38" s="32" t="s">
        <v>11</v>
      </c>
      <c r="B38" s="19">
        <v>667219.90862999996</v>
      </c>
      <c r="C38" s="33">
        <f>IF(OR(527417.77474="",667219.90863=""),"-",667219.90863/527417.77474*100)</f>
        <v>126.5069060213069</v>
      </c>
      <c r="D38" s="33">
        <f>IF(527417.77474="","-",527417.77474/5415988.29784*100)</f>
        <v>9.7381631151297796</v>
      </c>
      <c r="E38" s="33">
        <f>IF(667219.90863="","-",667219.90863/7176590.69493*100)</f>
        <v>9.2971709965480755</v>
      </c>
      <c r="F38" s="33">
        <f>IF(OR(5842484.3398="",568940.97962="",527417.77474=""),"-",(527417.77474-568940.97962)/5842484.3398*100)</f>
        <v>-0.71071144508059392</v>
      </c>
      <c r="G38" s="33">
        <f>IF(OR(5415988.29784="",667219.90863="",527417.77474=""),"-",(667219.90863-527417.77474)/5415988.29784*100)</f>
        <v>2.5812857451290228</v>
      </c>
    </row>
    <row r="39" spans="1:7" s="7" customFormat="1" x14ac:dyDescent="0.25">
      <c r="A39" s="32" t="s">
        <v>10</v>
      </c>
      <c r="B39" s="19">
        <v>145288.52739</v>
      </c>
      <c r="C39" s="33">
        <f>IF(OR(113783.26144="",145288.52739=""),"-",145288.52739/113783.26144*100)</f>
        <v>127.68884065308086</v>
      </c>
      <c r="D39" s="33">
        <f>IF(113783.26144="","-",113783.26144/5415988.29784*100)</f>
        <v>2.1008771655835914</v>
      </c>
      <c r="E39" s="33">
        <f>IF(145288.52739="","-",145288.52739/7176590.69493*100)</f>
        <v>2.0244783848776695</v>
      </c>
      <c r="F39" s="33">
        <f>IF(OR(5842484.3398="",130979.98713="",113783.26144=""),"-",(113783.26144-130979.98713)/5842484.3398*100)</f>
        <v>-0.2943392688766483</v>
      </c>
      <c r="G39" s="33">
        <f>IF(OR(5415988.29784="",145288.52739="",113783.26144=""),"-",(145288.52739-113783.26144)/5415988.29784*100)</f>
        <v>0.5817085306954024</v>
      </c>
    </row>
    <row r="40" spans="1:7" s="7" customFormat="1" x14ac:dyDescent="0.25">
      <c r="A40" s="32" t="s">
        <v>12</v>
      </c>
      <c r="B40" s="19">
        <v>15830.111629999999</v>
      </c>
      <c r="C40" s="33">
        <f>IF(OR(58287.40684="",15830.11163=""),"-",15830.11163/58287.40684*100)</f>
        <v>27.15871658770812</v>
      </c>
      <c r="D40" s="33">
        <f>IF(58287.40684="","-",58287.40684/5415988.29784*100)</f>
        <v>1.0762099848562474</v>
      </c>
      <c r="E40" s="33">
        <f>IF(15830.11163="","-",15830.11163/7176590.69493*100)</f>
        <v>0.22057983104962911</v>
      </c>
      <c r="F40" s="33">
        <f>IF(OR(5842484.3398="",11652.20355="",58287.40684=""),"-",(58287.40684-11652.20355)/5842484.3398*100)</f>
        <v>0.79820844314999773</v>
      </c>
      <c r="G40" s="33">
        <f>IF(OR(5415988.29784="",15830.11163="",58287.40684=""),"-",(15830.11163-58287.40684)/5415988.29784*100)</f>
        <v>-0.7839251651805228</v>
      </c>
    </row>
    <row r="41" spans="1:7" s="7" customFormat="1" x14ac:dyDescent="0.25">
      <c r="A41" s="32" t="s">
        <v>14</v>
      </c>
      <c r="B41" s="19">
        <v>12602.31221</v>
      </c>
      <c r="C41" s="33" t="s">
        <v>101</v>
      </c>
      <c r="D41" s="33">
        <f>IF(7484.43598="","-",7484.43598/5415988.29784*100)</f>
        <v>0.13819150944223674</v>
      </c>
      <c r="E41" s="33">
        <f>IF(12602.31221="","-",12602.31221/7176590.69493*100)</f>
        <v>0.17560305088742312</v>
      </c>
      <c r="F41" s="33">
        <f>IF(OR(5842484.3398="",7973.77505="",7484.43598=""),"-",(7484.43598-7973.77505)/5842484.3398*100)</f>
        <v>-8.3755307081704745E-3</v>
      </c>
      <c r="G41" s="33">
        <f>IF(OR(5415988.29784="",12602.31221="",7484.43598=""),"-",(12602.31221-7484.43598)/5415988.29784*100)</f>
        <v>9.4495703250339499E-2</v>
      </c>
    </row>
    <row r="42" spans="1:7" s="7" customFormat="1" x14ac:dyDescent="0.25">
      <c r="A42" s="32" t="s">
        <v>13</v>
      </c>
      <c r="B42" s="19">
        <v>1450.0648000000001</v>
      </c>
      <c r="C42" s="33">
        <f>IF(OR(4161.32777="",1450.0648=""),"-",1450.0648/4161.32777*100)</f>
        <v>34.846204868884918</v>
      </c>
      <c r="D42" s="33">
        <f>IF(4161.32777="","-",4161.32777/5415988.29784*100)</f>
        <v>7.6834135178239157E-2</v>
      </c>
      <c r="E42" s="33">
        <f>IF(1450.0648="","-",1450.0648/7176590.69493*100)</f>
        <v>2.0205482821033922E-2</v>
      </c>
      <c r="F42" s="33">
        <f>IF(OR(5842484.3398="",807.16822="",4161.32777=""),"-",(4161.32777-807.16822)/5842484.3398*100)</f>
        <v>5.7409816696484622E-2</v>
      </c>
      <c r="G42" s="33">
        <f>IF(OR(5415988.29784="",1450.0648="",4161.32777=""),"-",(1450.0648-4161.32777)/5415988.29784*100)</f>
        <v>-5.0060355024793959E-2</v>
      </c>
    </row>
    <row r="43" spans="1:7" s="7" customFormat="1" x14ac:dyDescent="0.25">
      <c r="A43" s="32" t="s">
        <v>15</v>
      </c>
      <c r="B43" s="19">
        <v>7265.9486399999996</v>
      </c>
      <c r="C43" s="33" t="s">
        <v>312</v>
      </c>
      <c r="D43" s="33">
        <f>IF(1721.14007="","-",1721.14007/5415988.29784*100)</f>
        <v>3.1778873501008553E-2</v>
      </c>
      <c r="E43" s="33">
        <f>IF(7265.94864="","-",7265.94864/7176590.69493*100)</f>
        <v>0.10124513085486576</v>
      </c>
      <c r="F43" s="33">
        <f>IF(OR(5842484.3398="",3075.88093="",1721.14007=""),"-",(1721.14007-3075.88093)/5842484.3398*100)</f>
        <v>-2.3187753380377488E-2</v>
      </c>
      <c r="G43" s="33">
        <f>IF(OR(5415988.29784="",7265.94864="",1721.14007=""),"-",(7265.94864-1721.14007)/5415988.29784*100)</f>
        <v>0.10237851828836808</v>
      </c>
    </row>
    <row r="44" spans="1:7" s="7" customFormat="1" x14ac:dyDescent="0.25">
      <c r="A44" s="32" t="s">
        <v>16</v>
      </c>
      <c r="B44" s="19">
        <v>1058.47326</v>
      </c>
      <c r="C44" s="33">
        <f>IF(OR(960.03455="",1058.47326=""),"-",1058.47326/960.03455*100)</f>
        <v>110.25366326659807</v>
      </c>
      <c r="D44" s="33">
        <f>IF(960.03455="","-",960.03455/5415988.29784*100)</f>
        <v>1.7725934717822047E-2</v>
      </c>
      <c r="E44" s="33">
        <f>IF(1058.47326="","-",1058.47326/7176590.69493*100)</f>
        <v>1.4748970715966465E-2</v>
      </c>
      <c r="F44" s="33">
        <f>IF(OR(5842484.3398="",1119.59468="",960.03455=""),"-",(960.03455-1119.59468)/5842484.3398*100)</f>
        <v>-2.7310322239641983E-3</v>
      </c>
      <c r="G44" s="33">
        <f>IF(OR(5415988.29784="",1058.47326="",960.03455=""),"-",(1058.47326-960.03455)/5415988.29784*100)</f>
        <v>1.8175576568224725E-3</v>
      </c>
    </row>
    <row r="45" spans="1:7" s="7" customFormat="1" x14ac:dyDescent="0.25">
      <c r="A45" s="32" t="s">
        <v>369</v>
      </c>
      <c r="B45" s="19">
        <v>966.63842999999997</v>
      </c>
      <c r="C45" s="33" t="s">
        <v>214</v>
      </c>
      <c r="D45" s="33">
        <f>IF(381.89612="","-",381.89612/5415988.29784*100)</f>
        <v>7.0512729902372107E-3</v>
      </c>
      <c r="E45" s="33">
        <f>IF(966.63843="","-",966.63843/7176590.69493*100)</f>
        <v>1.346932646838693E-2</v>
      </c>
      <c r="F45" s="33">
        <f>IF(OR(5842484.3398="",160.91697="",381.89612=""),"-",(381.89612-160.91697)/5842484.3398*100)</f>
        <v>3.7822805701788935E-3</v>
      </c>
      <c r="G45" s="33">
        <f>IF(OR(5415988.29784="",966.63843="",381.89612=""),"-",(966.63843-381.89612)/5415988.29784*100)</f>
        <v>1.0796594782769498E-2</v>
      </c>
    </row>
    <row r="46" spans="1:7" s="7" customFormat="1" x14ac:dyDescent="0.25">
      <c r="A46" s="32" t="s">
        <v>17</v>
      </c>
      <c r="B46" s="19">
        <v>15.04074</v>
      </c>
      <c r="C46" s="33" t="s">
        <v>362</v>
      </c>
      <c r="D46" s="33">
        <f>IF(0.77083="","-",0.77083/5415988.29784*100)</f>
        <v>1.4232490131254932E-5</v>
      </c>
      <c r="E46" s="33">
        <f>IF(15.04074="","-",15.04074/7176590.69493*100)</f>
        <v>2.0958057438925332E-4</v>
      </c>
      <c r="F46" s="33">
        <f>IF(OR(5842484.3398="",0.13558="",0.77083=""),"-",(0.77083-0.13558)/5842484.3398*100)</f>
        <v>1.0872943136065741E-5</v>
      </c>
      <c r="G46" s="33">
        <f>IF(OR(5415988.29784="",15.04074="",0.77083=""),"-",(15.04074-0.77083)/5415988.29784*100)</f>
        <v>2.6347748952284687E-4</v>
      </c>
    </row>
    <row r="47" spans="1:7" s="7" customFormat="1" x14ac:dyDescent="0.25">
      <c r="A47" s="30" t="s">
        <v>141</v>
      </c>
      <c r="B47" s="18">
        <v>2122207.4980799998</v>
      </c>
      <c r="C47" s="31">
        <f>IF(1627520.94005="","-",2122207.49808/1627520.94005*100)</f>
        <v>130.3950963613901</v>
      </c>
      <c r="D47" s="31">
        <f>IF(1627520.94005="","-",1627520.94005/5415988.29784*100)</f>
        <v>30.050303851267309</v>
      </c>
      <c r="E47" s="31">
        <f>IF(2122207.49808="","-",2122207.49808/7176590.69493*100)</f>
        <v>29.571248915996591</v>
      </c>
      <c r="F47" s="31">
        <f>IF(5842484.3398="","-",(1627520.94005-1594012.93762)/5842484.3398*100)</f>
        <v>0.5735231877600061</v>
      </c>
      <c r="G47" s="31">
        <f>IF(5415988.29784="","-",(2122207.49808-1627520.94005)/5415988.29784*100)</f>
        <v>9.1338188124832218</v>
      </c>
    </row>
    <row r="48" spans="1:7" s="7" customFormat="1" x14ac:dyDescent="0.25">
      <c r="A48" s="32" t="s">
        <v>58</v>
      </c>
      <c r="B48" s="19">
        <v>836516.18680000002</v>
      </c>
      <c r="C48" s="33">
        <f>IF(OR(645830.3329="",836516.1868=""),"-",836516.1868/645830.3329*100)</f>
        <v>129.52568874301011</v>
      </c>
      <c r="D48" s="33">
        <f>IF(645830.3329="","-",645830.3329/5415988.29784*100)</f>
        <v>11.924514924775032</v>
      </c>
      <c r="E48" s="33">
        <f>IF(836516.1868="","-",836516.1868/7176590.69493*100)</f>
        <v>11.656178014875062</v>
      </c>
      <c r="F48" s="33">
        <f>IF(OR(5842484.3398="",602292.88421="",645830.3329=""),"-",(645830.3329-602292.88421)/5842484.3398*100)</f>
        <v>0.74518725524714657</v>
      </c>
      <c r="G48" s="33">
        <f>IF(OR(5415988.29784="",836516.1868="",645830.3329=""),"-",(836516.1868-645830.3329)/5415988.29784*100)</f>
        <v>3.5207951608028614</v>
      </c>
    </row>
    <row r="49" spans="1:7" s="7" customFormat="1" x14ac:dyDescent="0.25">
      <c r="A49" s="32" t="s">
        <v>55</v>
      </c>
      <c r="B49" s="78">
        <v>543664.43429999996</v>
      </c>
      <c r="C49" s="33">
        <f>IF(OR(388184.70812="",543664.4343=""),"-",543664.4343/388184.70812*100)</f>
        <v>140.05302705843229</v>
      </c>
      <c r="D49" s="33">
        <f>IF(388184.70812="","-",388184.70812/5415988.29784*100)</f>
        <v>7.1673845431832914</v>
      </c>
      <c r="E49" s="33">
        <f>IF(543664.4343="","-",543664.4343/7176590.69493*100)</f>
        <v>7.5755251680171627</v>
      </c>
      <c r="F49" s="33">
        <f>IF(OR(5842484.3398="",400548.63019="",388184.70812=""),"-",(388184.70812-400548.63019)/5842484.3398*100)</f>
        <v>-0.21162097065070118</v>
      </c>
      <c r="G49" s="33">
        <f>IF(OR(5415988.29784="",543664.4343="",388184.70812=""),"-",(543664.4343-388184.70812)/5415988.29784*100)</f>
        <v>2.8707544704630958</v>
      </c>
    </row>
    <row r="50" spans="1:7" s="7" customFormat="1" x14ac:dyDescent="0.25">
      <c r="A50" s="32" t="s">
        <v>18</v>
      </c>
      <c r="B50" s="78">
        <v>107398.77927</v>
      </c>
      <c r="C50" s="33" t="s">
        <v>102</v>
      </c>
      <c r="D50" s="33">
        <f>IF(68442.07101="","-",68442.07101/5415988.29784*100)</f>
        <v>1.2637041892667309</v>
      </c>
      <c r="E50" s="33">
        <f>IF(107398.77927="","-",107398.77927/7176590.69493*100)</f>
        <v>1.4965153209291053</v>
      </c>
      <c r="F50" s="33">
        <f>IF(OR(5842484.3398="",74329.64217="",68442.07101=""),"-",(68442.07101-74329.64217)/5842484.3398*100)</f>
        <v>-0.10077170630810027</v>
      </c>
      <c r="G50" s="33">
        <f>IF(OR(5415988.29784="",107398.77927="",68442.07101=""),"-",(107398.77927-68442.07101)/5415988.29784*100)</f>
        <v>0.71929084993659753</v>
      </c>
    </row>
    <row r="51" spans="1:7" s="7" customFormat="1" x14ac:dyDescent="0.25">
      <c r="A51" s="32" t="s">
        <v>74</v>
      </c>
      <c r="B51" s="78">
        <v>67439.127689999994</v>
      </c>
      <c r="C51" s="33">
        <f>IF(OR(56427.57662="",67439.12769=""),"-",67439.12769/56427.57662*100)</f>
        <v>119.51448516769565</v>
      </c>
      <c r="D51" s="33">
        <f>IF(56427.57662="","-",56427.57662/5415988.29784*100)</f>
        <v>1.0418703571147743</v>
      </c>
      <c r="E51" s="33">
        <f>IF(67439.12769="","-",67439.12769/7176590.69493*100)</f>
        <v>0.93970982262710445</v>
      </c>
      <c r="F51" s="33">
        <f>IF(OR(5842484.3398="",51675.21965="",56427.57662=""),"-",(56427.57662-51675.21965)/5842484.3398*100)</f>
        <v>8.1341372840764578E-2</v>
      </c>
      <c r="G51" s="33">
        <f>IF(OR(5415988.29784="",67439.12769="",56427.57662=""),"-",(67439.12769-56427.57662)/5415988.29784*100)</f>
        <v>0.20331563630578026</v>
      </c>
    </row>
    <row r="52" spans="1:7" s="7" customFormat="1" ht="25.5" x14ac:dyDescent="0.25">
      <c r="A52" s="32" t="s">
        <v>346</v>
      </c>
      <c r="B52" s="78">
        <v>64797.909209999998</v>
      </c>
      <c r="C52" s="33">
        <f>IF(OR(50146.49962="",64797.90921=""),"-",64797.90921/50146.49962*100)</f>
        <v>129.21721296805441</v>
      </c>
      <c r="D52" s="33">
        <f>IF(50146.49962="","-",50146.49962/5415988.29784*100)</f>
        <v>0.9258974883679012</v>
      </c>
      <c r="E52" s="33">
        <f>IF(64797.90921="","-",64797.90921/7176590.69493*100)</f>
        <v>0.90290657450727074</v>
      </c>
      <c r="F52" s="33">
        <f>IF(OR(5842484.3398="",58733.88129="",50146.49962=""),"-",(50146.49962-58733.88129)/5842484.3398*100)</f>
        <v>-0.14698168057552652</v>
      </c>
      <c r="G52" s="33">
        <f>IF(OR(5415988.29784="",64797.90921="",50146.49962=""),"-",(64797.90921-50146.49962)/5415988.29784*100)</f>
        <v>0.27052144104231646</v>
      </c>
    </row>
    <row r="53" spans="1:7" s="7" customFormat="1" x14ac:dyDescent="0.25">
      <c r="A53" s="32" t="s">
        <v>35</v>
      </c>
      <c r="B53" s="19">
        <v>58443.877269999997</v>
      </c>
      <c r="C53" s="33">
        <f>IF(OR(43380.43403="",58443.87727=""),"-",58443.87727/43380.43403*100)</f>
        <v>134.7240491636916</v>
      </c>
      <c r="D53" s="33">
        <f>IF(43380.43403="","-",43380.43403/5415988.29784*100)</f>
        <v>0.80096986264355374</v>
      </c>
      <c r="E53" s="33">
        <f>IF(58443.87727="","-",58443.87727/7176590.69493*100)</f>
        <v>0.81436826697234477</v>
      </c>
      <c r="F53" s="33">
        <f>IF(OR(5842484.3398="",41054.0109="",43380.43403=""),"-",(43380.43403-41054.0109)/5842484.3398*100)</f>
        <v>3.9819073440248771E-2</v>
      </c>
      <c r="G53" s="33">
        <f>IF(OR(5415988.29784="",58443.87727="",43380.43403=""),"-",(58443.87727-43380.43403)/5415988.29784*100)</f>
        <v>0.27812916889070072</v>
      </c>
    </row>
    <row r="54" spans="1:7" s="7" customFormat="1" x14ac:dyDescent="0.25">
      <c r="A54" s="32" t="s">
        <v>70</v>
      </c>
      <c r="B54" s="78">
        <v>52819.865279999998</v>
      </c>
      <c r="C54" s="33">
        <f>IF(OR(45229.68397="",52819.86528=""),"-",52819.86528/45229.68397*100)</f>
        <v>116.7814157512894</v>
      </c>
      <c r="D54" s="33">
        <f>IF(45229.68397="","-",45229.68397/5415988.29784*100)</f>
        <v>0.83511413767342269</v>
      </c>
      <c r="E54" s="33">
        <f>IF(52819.86528="","-",52819.86528/7176590.69493*100)</f>
        <v>0.73600219833235447</v>
      </c>
      <c r="F54" s="33">
        <f>IF(OR(5842484.3398="",47233.27082="",45229.68397=""),"-",(45229.68397-47233.27082)/5842484.3398*100)</f>
        <v>-3.4293405569805709E-2</v>
      </c>
      <c r="G54" s="33">
        <f>IF(OR(5415988.29784="",52819.86528="",45229.68397=""),"-",(52819.86528-45229.68397)/5415988.29784*100)</f>
        <v>0.14014397544077245</v>
      </c>
    </row>
    <row r="55" spans="1:7" s="7" customFormat="1" x14ac:dyDescent="0.25">
      <c r="A55" s="32" t="s">
        <v>68</v>
      </c>
      <c r="B55" s="19">
        <v>46504.703419999998</v>
      </c>
      <c r="C55" s="33">
        <f>IF(OR(39552.166="",46504.70342=""),"-",46504.70342/39552.166*100)</f>
        <v>117.57814583403598</v>
      </c>
      <c r="D55" s="33">
        <f>IF(39552.166="","-",39552.166/5415988.29784*100)</f>
        <v>0.73028529282041021</v>
      </c>
      <c r="E55" s="33">
        <f>IF(46504.70342="","-",46504.70342/7176590.69493*100)</f>
        <v>0.64800551399502104</v>
      </c>
      <c r="F55" s="33">
        <f>IF(OR(5842484.3398="",35621.91756="",39552.166=""),"-",(39552.166-35621.91756)/5842484.3398*100)</f>
        <v>6.7270157888596693E-2</v>
      </c>
      <c r="G55" s="33">
        <f>IF(OR(5415988.29784="",46504.70342="",39552.166=""),"-",(46504.70342-39552.166)/5415988.29784*100)</f>
        <v>0.12837061377648851</v>
      </c>
    </row>
    <row r="56" spans="1:7" s="7" customFormat="1" x14ac:dyDescent="0.25">
      <c r="A56" s="32" t="s">
        <v>345</v>
      </c>
      <c r="B56" s="19">
        <v>37468.091950000002</v>
      </c>
      <c r="C56" s="33">
        <f>IF(OR(34519.93205="",37468.09195=""),"-",37468.09195/34519.93205*100)</f>
        <v>108.54045684600355</v>
      </c>
      <c r="D56" s="33">
        <f>IF(34519.93205="","-",34519.93205/5415988.29784*100)</f>
        <v>0.6373708758522838</v>
      </c>
      <c r="E56" s="33">
        <f>IF(37468.09195="","-",37468.09195/7176590.69493*100)</f>
        <v>0.52208762548587084</v>
      </c>
      <c r="F56" s="33">
        <f>IF(OR(5842484.3398="",34872.27571="",34519.93205=""),"-",(34519.93205-34872.27571)/5842484.3398*100)</f>
        <v>-6.0307163786434735E-3</v>
      </c>
      <c r="G56" s="33">
        <f>IF(OR(5415988.29784="",37468.09195="",34519.93205=""),"-",(37468.09195-34519.93205)/5415988.29784*100)</f>
        <v>5.4434384601159146E-2</v>
      </c>
    </row>
    <row r="57" spans="1:7" s="7" customFormat="1" x14ac:dyDescent="0.25">
      <c r="A57" s="32" t="s">
        <v>65</v>
      </c>
      <c r="B57" s="78">
        <v>29643.624680000001</v>
      </c>
      <c r="C57" s="33">
        <f>IF(OR(34196.69404="",29643.62468=""),"-",29643.62468/34196.69404*100)</f>
        <v>86.685644657128975</v>
      </c>
      <c r="D57" s="33">
        <f>IF(34196.69404="","-",34196.69404/5415988.29784*100)</f>
        <v>0.63140265745474922</v>
      </c>
      <c r="E57" s="33">
        <f>IF(29643.62468="","-",29643.62468/7176590.69493*100)</f>
        <v>0.41305998823288248</v>
      </c>
      <c r="F57" s="33">
        <f>IF(OR(5842484.3398="",24319.33999="",34196.69404=""),"-",(34196.69404-24319.33999)/5842484.3398*100)</f>
        <v>0.16906085623052133</v>
      </c>
      <c r="G57" s="33">
        <f>IF(OR(5415988.29784="",29643.62468="",34196.69404=""),"-",(29643.62468-34196.69404)/5415988.29784*100)</f>
        <v>-8.4067193457856113E-2</v>
      </c>
    </row>
    <row r="58" spans="1:7" s="7" customFormat="1" x14ac:dyDescent="0.25">
      <c r="A58" s="32" t="s">
        <v>370</v>
      </c>
      <c r="B58" s="78">
        <v>23444.128649999999</v>
      </c>
      <c r="C58" s="33">
        <f>IF(OR(17671.68016="",23444.12865=""),"-",23444.12865/17671.68016*100)</f>
        <v>132.66496698523315</v>
      </c>
      <c r="D58" s="33">
        <f>IF(17671.68016="","-",17671.68016/5415988.29784*100)</f>
        <v>0.32628726629722971</v>
      </c>
      <c r="E58" s="33">
        <f>IF(23444.12865="","-",23444.12865/7176590.69493*100)</f>
        <v>0.32667501389709214</v>
      </c>
      <c r="F58" s="33">
        <f>IF(OR(5842484.3398="",21814.38709="",17671.68016=""),"-",(17671.68016-21814.38709)/5842484.3398*100)</f>
        <v>-7.0906598786738273E-2</v>
      </c>
      <c r="G58" s="33">
        <f>IF(OR(5415988.29784="",23444.12865="",17671.68016=""),"-",(23444.12865-17671.68016)/5415988.29784*100)</f>
        <v>0.10658162781300991</v>
      </c>
    </row>
    <row r="59" spans="1:7" s="7" customFormat="1" x14ac:dyDescent="0.25">
      <c r="A59" s="32" t="s">
        <v>77</v>
      </c>
      <c r="B59" s="19">
        <v>22145.93273</v>
      </c>
      <c r="C59" s="33">
        <f>IF(OR(19582.72344="",22145.93273=""),"-",22145.93273/19582.72344*100)</f>
        <v>113.08913593072731</v>
      </c>
      <c r="D59" s="33">
        <f>IF(19582.72344="","-",19582.72344/5415988.29784*100)</f>
        <v>0.36157248433882261</v>
      </c>
      <c r="E59" s="33">
        <f>IF(22145.93273="","-",22145.93273/7176590.69493*100)</f>
        <v>0.30858570136437202</v>
      </c>
      <c r="F59" s="33">
        <f>IF(OR(5842484.3398="",17090.72143="",19582.72344=""),"-",(19582.72344-17090.72143)/5842484.3398*100)</f>
        <v>4.2653122628400687E-2</v>
      </c>
      <c r="G59" s="33">
        <f>IF(OR(5415988.29784="",22145.93273="",19582.72344=""),"-",(22145.93273-19582.72344)/5415988.29784*100)</f>
        <v>4.7326713963216208E-2</v>
      </c>
    </row>
    <row r="60" spans="1:7" s="7" customFormat="1" x14ac:dyDescent="0.25">
      <c r="A60" s="32" t="s">
        <v>79</v>
      </c>
      <c r="B60" s="19">
        <v>16695.28283</v>
      </c>
      <c r="C60" s="33" t="s">
        <v>354</v>
      </c>
      <c r="D60" s="33">
        <f>IF(4107.46384="","-",4107.46384/5415988.29784*100)</f>
        <v>7.5839599609883498E-2</v>
      </c>
      <c r="E60" s="33">
        <f>IF(16695.28283="","-",16695.28283/7176590.69493*100)</f>
        <v>0.23263529354954865</v>
      </c>
      <c r="F60" s="33">
        <f>IF(OR(5842484.3398="",3549.397="",4107.46384=""),"-",(4107.46384-3549.397)/5842484.3398*100)</f>
        <v>9.5518756669719061E-3</v>
      </c>
      <c r="G60" s="33">
        <f>IF(OR(5415988.29784="",16695.28283="",4107.46384=""),"-",(16695.28283-4107.46384)/5415988.29784*100)</f>
        <v>0.23241961204052572</v>
      </c>
    </row>
    <row r="61" spans="1:7" s="7" customFormat="1" x14ac:dyDescent="0.25">
      <c r="A61" s="32" t="s">
        <v>60</v>
      </c>
      <c r="B61" s="78">
        <v>14600.79931</v>
      </c>
      <c r="C61" s="33">
        <f>IF(OR(13465.45923="",14600.79931=""),"-",14600.79931/13465.45923*100)</f>
        <v>108.43149914613051</v>
      </c>
      <c r="D61" s="33">
        <f>IF(13465.45923="","-",13465.45923/5415988.29784*100)</f>
        <v>0.24862423050969815</v>
      </c>
      <c r="E61" s="33">
        <f>IF(14600.79931="","-",14600.79931/7176590.69493*100)</f>
        <v>0.20345035589552199</v>
      </c>
      <c r="F61" s="33">
        <f>IF(OR(5842484.3398="",12878.07077="",13465.45923=""),"-",(13465.45923-12878.07077)/5842484.3398*100)</f>
        <v>1.0053744705802798E-2</v>
      </c>
      <c r="G61" s="33">
        <f>IF(OR(5415988.29784="",14600.79931="",13465.45923=""),"-",(14600.79931-13465.45923)/5415988.29784*100)</f>
        <v>2.0962749872498715E-2</v>
      </c>
    </row>
    <row r="62" spans="1:7" s="7" customFormat="1" x14ac:dyDescent="0.25">
      <c r="A62" s="32" t="s">
        <v>80</v>
      </c>
      <c r="B62" s="78">
        <v>13993.537340000001</v>
      </c>
      <c r="C62" s="33">
        <f>IF(OR(10215.51424="",13993.53734=""),"-",13993.53734/10215.51424*100)</f>
        <v>136.98319057896003</v>
      </c>
      <c r="D62" s="33">
        <f>IF(10215.51424="","-",10215.51424/5415988.29784*100)</f>
        <v>0.1886177310256402</v>
      </c>
      <c r="E62" s="33">
        <f>IF(13993.53734="","-",13993.53734/7176590.69493*100)</f>
        <v>0.19498865038918722</v>
      </c>
      <c r="F62" s="33">
        <f>IF(OR(5842484.3398="",9968.81607="",10215.51424=""),"-",(10215.51424-9968.81607)/5842484.3398*100)</f>
        <v>4.2224874839535236E-3</v>
      </c>
      <c r="G62" s="33">
        <f>IF(OR(5415988.29784="",13993.53734="",10215.51424=""),"-",(13993.53734-10215.51424)/5415988.29784*100)</f>
        <v>6.9756854930922735E-2</v>
      </c>
    </row>
    <row r="63" spans="1:7" s="7" customFormat="1" x14ac:dyDescent="0.25">
      <c r="A63" s="32" t="s">
        <v>76</v>
      </c>
      <c r="B63" s="78">
        <v>13150.300719999999</v>
      </c>
      <c r="C63" s="33">
        <f>IF(OR(9041.49856="",13150.30072=""),"-",13150.30072/9041.49856*100)</f>
        <v>145.44381810972715</v>
      </c>
      <c r="D63" s="33">
        <f>IF(9041.49856="","-",9041.49856/5415988.29784*100)</f>
        <v>0.16694088064418314</v>
      </c>
      <c r="E63" s="33">
        <f>IF(13150.30072="","-",13150.30072/7176590.69493*100)</f>
        <v>0.18323882856089602</v>
      </c>
      <c r="F63" s="33">
        <f>IF(OR(5842484.3398="",9848.19465="",9041.49856=""),"-",(9041.49856-9848.19465)/5842484.3398*100)</f>
        <v>-1.3807415528778538E-2</v>
      </c>
      <c r="G63" s="33">
        <f>IF(OR(5415988.29784="",13150.30072="",9041.49856=""),"-",(13150.30072-9041.49856)/5415988.29784*100)</f>
        <v>7.5864310150719275E-2</v>
      </c>
    </row>
    <row r="64" spans="1:7" s="7" customFormat="1" x14ac:dyDescent="0.25">
      <c r="A64" s="32" t="s">
        <v>69</v>
      </c>
      <c r="B64" s="19">
        <v>12478.19031</v>
      </c>
      <c r="C64" s="33">
        <f>IF(OR(10901.24278="",12478.19031=""),"-",12478.19031/10901.24278*100)</f>
        <v>114.46575919667757</v>
      </c>
      <c r="D64" s="33">
        <f>IF(10901.24278="","-",10901.24278/5415988.29784*100)</f>
        <v>0.20127892049448529</v>
      </c>
      <c r="E64" s="33">
        <f>IF(12478.19031="","-",12478.19031/7176590.69493*100)</f>
        <v>0.17387351237427245</v>
      </c>
      <c r="F64" s="33">
        <f>IF(OR(5842484.3398="",10240.53888="",10901.24278=""),"-",(10901.24278-10240.53888)/5842484.3398*100)</f>
        <v>1.1308612254194208E-2</v>
      </c>
      <c r="G64" s="33">
        <f>IF(OR(5415988.29784="",12478.19031="",10901.24278=""),"-",(12478.19031-10901.24278)/5415988.29784*100)</f>
        <v>2.9116523952404338E-2</v>
      </c>
    </row>
    <row r="65" spans="1:7" s="7" customFormat="1" x14ac:dyDescent="0.25">
      <c r="A65" s="32" t="s">
        <v>61</v>
      </c>
      <c r="B65" s="78">
        <v>12070.94958</v>
      </c>
      <c r="C65" s="33">
        <f>IF(OR(9893.89979="",12070.94958=""),"-",12070.94958/9893.89979*100)</f>
        <v>122.00396038173338</v>
      </c>
      <c r="D65" s="33">
        <f>IF(9893.89979="","-",9893.89979/5415988.29784*100)</f>
        <v>0.18267948979775078</v>
      </c>
      <c r="E65" s="33">
        <f>IF(12070.94958="","-",12070.94958/7176590.69493*100)</f>
        <v>0.16819894143507008</v>
      </c>
      <c r="F65" s="33">
        <f>IF(OR(5842484.3398="",10610.50057="",9893.89979=""),"-",(9893.89979-10610.50057)/5842484.3398*100)</f>
        <v>-1.2265343616214662E-2</v>
      </c>
      <c r="G65" s="33">
        <f>IF(OR(5415988.29784="",12070.94958="",9893.89979=""),"-",(12070.94958-9893.89979)/5415988.29784*100)</f>
        <v>4.0196722560649732E-2</v>
      </c>
    </row>
    <row r="66" spans="1:7" s="7" customFormat="1" x14ac:dyDescent="0.25">
      <c r="A66" s="32" t="s">
        <v>72</v>
      </c>
      <c r="B66" s="78">
        <v>11302.440909999999</v>
      </c>
      <c r="C66" s="33">
        <f>IF(OR(9813.84944="",11302.44091=""),"-",11302.44091/9813.84944*100)</f>
        <v>115.16827295039489</v>
      </c>
      <c r="D66" s="33">
        <f>IF(9813.84944="","-",9813.84944/5415988.29784*100)</f>
        <v>0.18120145207688043</v>
      </c>
      <c r="E66" s="33">
        <f>IF(11302.44091="","-",11302.44091/7176590.69493*100)</f>
        <v>0.1574903932863938</v>
      </c>
      <c r="F66" s="33">
        <f>IF(OR(5842484.3398="",6823.11165="",9813.84944=""),"-",(9813.84944-6823.11165)/5842484.3398*100)</f>
        <v>5.1189487486112448E-2</v>
      </c>
      <c r="G66" s="33">
        <f>IF(OR(5415988.29784="",11302.44091="",9813.84944=""),"-",(11302.44091-9813.84944)/5415988.29784*100)</f>
        <v>2.7485130841100196E-2</v>
      </c>
    </row>
    <row r="67" spans="1:7" s="7" customFormat="1" x14ac:dyDescent="0.25">
      <c r="A67" s="32" t="s">
        <v>81</v>
      </c>
      <c r="B67" s="19">
        <v>10210.23007</v>
      </c>
      <c r="C67" s="33">
        <f>IF(OR(9527.14418="",10210.23007=""),"-",10210.23007/9527.14418*100)</f>
        <v>107.16989138711659</v>
      </c>
      <c r="D67" s="33">
        <f>IF(9527.14418="","-",9527.14418/5415988.29784*100)</f>
        <v>0.17590776892556448</v>
      </c>
      <c r="E67" s="33">
        <f>IF(10210.23007="","-",10210.23007/7176590.69493*100)</f>
        <v>0.14227131661853246</v>
      </c>
      <c r="F67" s="33">
        <f>IF(OR(5842484.3398="",11347.78164="",9527.14418=""),"-",(9527.14418-11347.78164)/5842484.3398*100)</f>
        <v>-3.1162042619395775E-2</v>
      </c>
      <c r="G67" s="33">
        <f>IF(OR(5415988.29784="",10210.23007="",9527.14418=""),"-",(10210.23007-9527.14418)/5415988.29784*100)</f>
        <v>1.2612395973463015E-2</v>
      </c>
    </row>
    <row r="68" spans="1:7" s="7" customFormat="1" x14ac:dyDescent="0.25">
      <c r="A68" s="32" t="s">
        <v>62</v>
      </c>
      <c r="B68" s="19">
        <v>9502.3889500000005</v>
      </c>
      <c r="C68" s="33">
        <f>IF(OR(6770.18527="",9502.38895=""),"-",9502.38895/6770.18527*100)</f>
        <v>140.35640933058249</v>
      </c>
      <c r="D68" s="33">
        <f>IF(6770.18527="","-",6770.18527/5415988.29784*100)</f>
        <v>0.12500369088131302</v>
      </c>
      <c r="E68" s="33">
        <f>IF(9502.38895="","-",9502.38895/7176590.69493*100)</f>
        <v>0.13240812182187139</v>
      </c>
      <c r="F68" s="33">
        <f>IF(OR(5842484.3398="",8277.56374="",6770.18527=""),"-",(6770.18527-8277.56374)/5842484.3398*100)</f>
        <v>-2.5800299706949671E-2</v>
      </c>
      <c r="G68" s="33">
        <f>IF(OR(5415988.29784="",9502.38895="",6770.18527=""),"-",(9502.38895-6770.18527)/5415988.29784*100)</f>
        <v>5.0447001170398686E-2</v>
      </c>
    </row>
    <row r="69" spans="1:7" s="7" customFormat="1" x14ac:dyDescent="0.25">
      <c r="A69" s="32" t="s">
        <v>64</v>
      </c>
      <c r="B69" s="19">
        <v>8423.7136900000005</v>
      </c>
      <c r="C69" s="33">
        <f>IF(OR(6691.68223="",8423.71369=""),"-",8423.71369/6691.68223*100)</f>
        <v>125.88334891688365</v>
      </c>
      <c r="D69" s="33">
        <f>IF(6691.68223="","-",6691.68223/5415988.29784*100)</f>
        <v>0.12355422246146232</v>
      </c>
      <c r="E69" s="33">
        <f>IF(8423.71369="","-",8423.71369/7176590.69493*100)</f>
        <v>0.11737765253842675</v>
      </c>
      <c r="F69" s="33">
        <f>IF(OR(5842484.3398="",6189.57419="",6691.68223=""),"-",(6691.68223-6189.57419)/5842484.3398*100)</f>
        <v>8.5940844818282944E-3</v>
      </c>
      <c r="G69" s="33">
        <f>IF(OR(5415988.29784="",8423.71369="",6691.68223=""),"-",(8423.71369-6691.68223)/5415988.29784*100)</f>
        <v>3.1979970501242912E-2</v>
      </c>
    </row>
    <row r="70" spans="1:7" s="7" customFormat="1" x14ac:dyDescent="0.25">
      <c r="A70" s="32" t="s">
        <v>82</v>
      </c>
      <c r="B70" s="78">
        <v>8268.0774600000004</v>
      </c>
      <c r="C70" s="33">
        <f>IF(OR(6273.3556="",8268.07746=""),"-",8268.07746/6273.3556*100)</f>
        <v>131.79672869173876</v>
      </c>
      <c r="D70" s="33">
        <f>IF(6273.3556="","-",6273.3556/5415988.29784*100)</f>
        <v>0.11583030196911494</v>
      </c>
      <c r="E70" s="33">
        <f>IF(8268.07746="","-",8268.07746/7176590.69493*100)</f>
        <v>0.11520898726802263</v>
      </c>
      <c r="F70" s="33">
        <f>IF(OR(5842484.3398="",7446.20721="",6273.3556=""),"-",(6273.3556-7446.20721)/5842484.3398*100)</f>
        <v>-2.0074535793110037E-2</v>
      </c>
      <c r="G70" s="33">
        <f>IF(OR(5415988.29784="",8268.07746="",6273.3556=""),"-",(8268.07746-6273.3556)/5415988.29784*100)</f>
        <v>3.6830246859941219E-2</v>
      </c>
    </row>
    <row r="71" spans="1:7" s="7" customFormat="1" x14ac:dyDescent="0.25">
      <c r="A71" s="32" t="s">
        <v>67</v>
      </c>
      <c r="B71" s="19">
        <v>7591.9165700000003</v>
      </c>
      <c r="C71" s="33">
        <f>IF(OR(6260.40124="",7591.91657=""),"-",7591.91657/6260.40124*100)</f>
        <v>121.2688496943688</v>
      </c>
      <c r="D71" s="33">
        <f>IF(6260.40124="","-",6260.40124/5415988.29784*100)</f>
        <v>0.11559111459854461</v>
      </c>
      <c r="E71" s="33">
        <f>IF(7591.91657="","-",7591.91657/7176590.69493*100)</f>
        <v>0.10578723091123775</v>
      </c>
      <c r="F71" s="33">
        <f>IF(OR(5842484.3398="",6301.47467="",6260.40124=""),"-",(6260.40124-6301.47467)/5842484.3398*100)</f>
        <v>-7.0301309530605412E-4</v>
      </c>
      <c r="G71" s="33">
        <f>IF(OR(5415988.29784="",7591.91657="",6260.40124=""),"-",(7591.91657-6260.40124)/5415988.29784*100)</f>
        <v>2.4584900424010039E-2</v>
      </c>
    </row>
    <row r="72" spans="1:7" s="7" customFormat="1" x14ac:dyDescent="0.25">
      <c r="A72" s="32" t="s">
        <v>83</v>
      </c>
      <c r="B72" s="78">
        <v>6316.2926500000003</v>
      </c>
      <c r="C72" s="33">
        <f>IF(OR(5569.76377="",6316.29265=""),"-",6316.29265/5569.76377*100)</f>
        <v>113.40324133710973</v>
      </c>
      <c r="D72" s="33">
        <f>IF(5569.76377="","-",5569.76377/5415988.29784*100)</f>
        <v>0.1028392873784703</v>
      </c>
      <c r="E72" s="33">
        <f>IF(6316.29265="","-",6316.29265/7176590.69493*100)</f>
        <v>8.8012440983463516E-2</v>
      </c>
      <c r="F72" s="33">
        <f>IF(OR(5842484.3398="",8033.07987="",5569.76377=""),"-",(5569.76377-8033.07987)/5842484.3398*100)</f>
        <v>-4.2162134406068842E-2</v>
      </c>
      <c r="G72" s="33">
        <f>IF(OR(5415988.29784="",6316.29265="",5569.76377=""),"-",(6316.29265-5569.76377)/5415988.29784*100)</f>
        <v>1.378379787670019E-2</v>
      </c>
    </row>
    <row r="73" spans="1:7" s="7" customFormat="1" x14ac:dyDescent="0.25">
      <c r="A73" s="32" t="s">
        <v>128</v>
      </c>
      <c r="B73" s="78">
        <v>6141.2379499999997</v>
      </c>
      <c r="C73" s="33">
        <f>IF(OR(6221.96696="",6141.23795=""),"-",6141.23795/6221.96696*100)</f>
        <v>98.702516253798947</v>
      </c>
      <c r="D73" s="33">
        <f>IF(6221.96696="","-",6221.96696/5415988.29784*100)</f>
        <v>0.11488146978606728</v>
      </c>
      <c r="E73" s="33">
        <f>IF(6141.23795="","-",6141.23795/7176590.69493*100)</f>
        <v>8.5573195003841598E-2</v>
      </c>
      <c r="F73" s="33">
        <f>IF(OR(5842484.3398="",4310.92719="",6221.96696=""),"-",(6221.96696-4310.92719)/5842484.3398*100)</f>
        <v>3.2709369145958518E-2</v>
      </c>
      <c r="G73" s="33">
        <f>IF(OR(5415988.29784="",6141.23795="",6221.96696=""),"-",(6141.23795-6221.96696)/5415988.29784*100)</f>
        <v>-1.4905683978711014E-3</v>
      </c>
    </row>
    <row r="74" spans="1:7" s="7" customFormat="1" x14ac:dyDescent="0.25">
      <c r="A74" s="32" t="s">
        <v>73</v>
      </c>
      <c r="B74" s="19">
        <v>4935.7455499999996</v>
      </c>
      <c r="C74" s="33">
        <f>IF(OR(5004.23247="",4935.74555=""),"-",4935.74555/5004.23247*100)</f>
        <v>98.631420094678361</v>
      </c>
      <c r="D74" s="33">
        <f>IF(5004.23247="","-",5004.23247/5415988.29784*100)</f>
        <v>9.2397401818533911E-2</v>
      </c>
      <c r="E74" s="33">
        <f>IF(4935.74555="","-",4935.74555/7176590.69493*100)</f>
        <v>6.8775631212839319E-2</v>
      </c>
      <c r="F74" s="33">
        <f>IF(OR(5842484.3398="",4882.32649="",5004.23247=""),"-",(5004.23247-4882.32649)/5842484.3398*100)</f>
        <v>2.0865435474008071E-3</v>
      </c>
      <c r="G74" s="33">
        <f>IF(OR(5415988.29784="",4935.74555="",5004.23247=""),"-",(4935.74555-5004.23247)/5415988.29784*100)</f>
        <v>-1.2645322743277377E-3</v>
      </c>
    </row>
    <row r="75" spans="1:7" s="7" customFormat="1" x14ac:dyDescent="0.25">
      <c r="A75" s="32" t="s">
        <v>71</v>
      </c>
      <c r="B75" s="78">
        <v>4740.1760899999999</v>
      </c>
      <c r="C75" s="33" t="s">
        <v>206</v>
      </c>
      <c r="D75" s="33">
        <f>IF(2155.80048="","-",2155.80048/5415988.29784*100)</f>
        <v>3.9804378470680489E-2</v>
      </c>
      <c r="E75" s="33">
        <f>IF(4740.17609="","-",4740.17609/7176590.69493*100)</f>
        <v>6.6050528607528941E-2</v>
      </c>
      <c r="F75" s="33">
        <f>IF(OR(5842484.3398="",1766.83601="",2155.80048=""),"-",(2155.80048-1766.83601)/5842484.3398*100)</f>
        <v>6.6575184010388786E-3</v>
      </c>
      <c r="G75" s="33">
        <f>IF(OR(5415988.29784="",4740.17609="",2155.80048=""),"-",(4740.17609-2155.80048)/5415988.29784*100)</f>
        <v>4.77175257382055E-2</v>
      </c>
    </row>
    <row r="76" spans="1:7" s="7" customFormat="1" x14ac:dyDescent="0.25">
      <c r="A76" s="32" t="s">
        <v>38</v>
      </c>
      <c r="B76" s="19">
        <v>4648.2981799999998</v>
      </c>
      <c r="C76" s="33">
        <f>IF(OR(3543.63533="",4648.29818=""),"-",4648.29818/3543.63533*100)</f>
        <v>131.17315262798218</v>
      </c>
      <c r="D76" s="33">
        <f>IF(3543.63533="","-",3543.63533/5415988.29784*100)</f>
        <v>6.5429154110492993E-2</v>
      </c>
      <c r="E76" s="33">
        <f>IF(4648.29818="","-",4648.29818/7176590.69493*100)</f>
        <v>6.477028407491392E-2</v>
      </c>
      <c r="F76" s="33">
        <f>IF(OR(5842484.3398="",3378.04162="",3543.63533=""),"-",(3543.63533-3378.04162)/5842484.3398*100)</f>
        <v>2.8343030185283935E-3</v>
      </c>
      <c r="G76" s="33">
        <f>IF(OR(5415988.29784="",4648.29818="",3543.63533=""),"-",(4648.29818-3543.63533)/5415988.29784*100)</f>
        <v>2.0396330074061653E-2</v>
      </c>
    </row>
    <row r="77" spans="1:7" s="7" customFormat="1" x14ac:dyDescent="0.25">
      <c r="A77" s="32" t="s">
        <v>78</v>
      </c>
      <c r="B77" s="78">
        <v>4518.2707399999999</v>
      </c>
      <c r="C77" s="33">
        <f>IF(OR(4513.28372="",4518.27074=""),"-",4518.27074/4513.28372*100)</f>
        <v>100.11049648790969</v>
      </c>
      <c r="D77" s="33">
        <f>IF(4513.28372="","-",4513.28372/5415988.29784*100)</f>
        <v>8.3332597335928224E-2</v>
      </c>
      <c r="E77" s="33">
        <f>IF(4518.27074="","-",4518.27074/7176590.69493*100)</f>
        <v>6.2958456627490167E-2</v>
      </c>
      <c r="F77" s="33">
        <f>IF(OR(5842484.3398="",6087.79617="",4513.28372=""),"-",(4513.28372-6087.79617)/5842484.3398*100)</f>
        <v>-2.6949365345734038E-2</v>
      </c>
      <c r="G77" s="33">
        <f>IF(OR(5415988.29784="",4518.27074="",4513.28372=""),"-",(4518.27074-4513.28372)/5415988.29784*100)</f>
        <v>9.2079593340120292E-5</v>
      </c>
    </row>
    <row r="78" spans="1:7" s="7" customFormat="1" x14ac:dyDescent="0.25">
      <c r="A78" s="32" t="s">
        <v>86</v>
      </c>
      <c r="B78" s="19">
        <v>4065.7949400000002</v>
      </c>
      <c r="C78" s="33" t="s">
        <v>103</v>
      </c>
      <c r="D78" s="33">
        <f>IF(2174.96698="","-",2174.96698/5415988.29784*100)</f>
        <v>4.0158265867513393E-2</v>
      </c>
      <c r="E78" s="33">
        <f>IF(4065.79494="","-",4065.79494/7176590.69493*100)</f>
        <v>5.6653571491437231E-2</v>
      </c>
      <c r="F78" s="33">
        <f>IF(OR(5842484.3398="",2316.17779="",2174.96698=""),"-",(2174.96698-2316.17779)/5842484.3398*100)</f>
        <v>-2.4169651433731351E-3</v>
      </c>
      <c r="G78" s="33">
        <f>IF(OR(5415988.29784="",4065.79494="",2174.96698=""),"-",(4065.79494-2174.96698)/5415988.29784*100)</f>
        <v>3.4911965388737982E-2</v>
      </c>
    </row>
    <row r="79" spans="1:7" s="7" customFormat="1" x14ac:dyDescent="0.25">
      <c r="A79" s="32" t="s">
        <v>57</v>
      </c>
      <c r="B79" s="19">
        <v>4057.4781800000001</v>
      </c>
      <c r="C79" s="33">
        <f>IF(OR(4834.27173="",4057.47818=""),"-",4057.47818/4834.27173*100)</f>
        <v>83.931529020608025</v>
      </c>
      <c r="D79" s="33">
        <f>IF(4834.27173="","-",4834.27173/5415988.29784*100)</f>
        <v>8.9259272069106957E-2</v>
      </c>
      <c r="E79" s="33">
        <f>IF(4057.47818="","-",4057.47818/7176590.69493*100)</f>
        <v>5.6537684152259939E-2</v>
      </c>
      <c r="F79" s="33">
        <f>IF(OR(5842484.3398="",3094.92115="",4834.27173=""),"-",(4834.27173-3094.92115)/5842484.3398*100)</f>
        <v>2.9770735852062923E-2</v>
      </c>
      <c r="G79" s="33">
        <f>IF(OR(5415988.29784="",4057.47818="",4834.27173=""),"-",(4057.47818-4834.27173)/5415988.29784*100)</f>
        <v>-1.4342600228840976E-2</v>
      </c>
    </row>
    <row r="80" spans="1:7" s="7" customFormat="1" x14ac:dyDescent="0.25">
      <c r="A80" s="32" t="s">
        <v>36</v>
      </c>
      <c r="B80" s="19">
        <v>3852.74098</v>
      </c>
      <c r="C80" s="33">
        <f>IF(OR(3499.37898="",3852.74098=""),"-",3852.74098/3499.37898*100)</f>
        <v>110.09784884745464</v>
      </c>
      <c r="D80" s="33">
        <f>IF(3499.37898="","-",3499.37898/5415988.29784*100)</f>
        <v>6.4612011466044325E-2</v>
      </c>
      <c r="E80" s="33">
        <f>IF(3852.74098="","-",3852.74098/7176590.69493*100)</f>
        <v>5.3684836488192389E-2</v>
      </c>
      <c r="F80" s="33">
        <f>IF(OR(5842484.3398="",2891.91941="",3499.37898=""),"-",(3499.37898-2891.91941)/5842484.3398*100)</f>
        <v>1.0397281955244309E-2</v>
      </c>
      <c r="G80" s="33">
        <f>IF(OR(5415988.29784="",3852.74098="",3499.37898=""),"-",(3852.74098-3499.37898)/5415988.29784*100)</f>
        <v>6.5244232551412195E-3</v>
      </c>
    </row>
    <row r="81" spans="1:7" s="7" customFormat="1" x14ac:dyDescent="0.25">
      <c r="A81" s="32" t="s">
        <v>85</v>
      </c>
      <c r="B81" s="19">
        <v>3740.0526</v>
      </c>
      <c r="C81" s="33">
        <f>IF(OR(3496.29799="",3740.0526=""),"-",3740.0526/3496.29799*100)</f>
        <v>106.97179161207595</v>
      </c>
      <c r="D81" s="33">
        <f>IF(3496.29799="","-",3496.29799/5415988.29784*100)</f>
        <v>6.4555124526291738E-2</v>
      </c>
      <c r="E81" s="33">
        <f>IF(3740.0526="","-",3740.0526/7176590.69493*100)</f>
        <v>5.2114614849669651E-2</v>
      </c>
      <c r="F81" s="33">
        <f>IF(OR(5842484.3398="",3238.90925="",3496.29799=""),"-",(3496.29799-3238.90925)/5842484.3398*100)</f>
        <v>4.405467349679038E-3</v>
      </c>
      <c r="G81" s="33">
        <f>IF(OR(5415988.29784="",3740.0526="",3496.29799=""),"-",(3740.0526-3496.29799)/5415988.29784*100)</f>
        <v>4.5006487568891897E-3</v>
      </c>
    </row>
    <row r="82" spans="1:7" s="7" customFormat="1" x14ac:dyDescent="0.25">
      <c r="A82" s="32" t="s">
        <v>89</v>
      </c>
      <c r="B82" s="78">
        <v>3672.69724</v>
      </c>
      <c r="C82" s="33">
        <f>IF(OR(2536.58222="",3672.69724=""),"-",3672.69724/2536.58222*100)</f>
        <v>144.78920537415107</v>
      </c>
      <c r="D82" s="33">
        <f>IF(2536.58222="","-",2536.58222/5415988.29784*100)</f>
        <v>4.6835075714835597E-2</v>
      </c>
      <c r="E82" s="33">
        <f>IF(3672.69724="","-",3672.69724/7176590.69493*100)</f>
        <v>5.1176072262204206E-2</v>
      </c>
      <c r="F82" s="33">
        <f>IF(OR(5842484.3398="",2408.37821="",2536.58222=""),"-",(2536.58222-2408.37821)/5842484.3398*100)</f>
        <v>2.1943406698868208E-3</v>
      </c>
      <c r="G82" s="33">
        <f>IF(OR(5415988.29784="",3672.69724="",2536.58222=""),"-",(3672.69724-2536.58222)/5415988.29784*100)</f>
        <v>2.0977058249056862E-2</v>
      </c>
    </row>
    <row r="83" spans="1:7" s="7" customFormat="1" x14ac:dyDescent="0.25">
      <c r="A83" s="32" t="s">
        <v>87</v>
      </c>
      <c r="B83" s="19">
        <v>3077.2527799999998</v>
      </c>
      <c r="C83" s="33" t="s">
        <v>103</v>
      </c>
      <c r="D83" s="33">
        <f>IF(1595.40592="","-",1595.40592/5415988.29784*100)</f>
        <v>2.945733691182971E-2</v>
      </c>
      <c r="E83" s="33">
        <f>IF(3077.25278="","-",3077.25278/7176590.69493*100)</f>
        <v>4.2879034221276778E-2</v>
      </c>
      <c r="F83" s="33">
        <f>IF(OR(5842484.3398="",1391.48408="",1595.40592=""),"-",(1595.40592-1391.48408)/5842484.3398*100)</f>
        <v>3.4903275411600097E-3</v>
      </c>
      <c r="G83" s="33">
        <f>IF(OR(5415988.29784="",3077.25278="",1595.40592=""),"-",(3077.25278-1595.40592)/5415988.29784*100)</f>
        <v>2.7360599368188975E-2</v>
      </c>
    </row>
    <row r="84" spans="1:7" s="7" customFormat="1" x14ac:dyDescent="0.25">
      <c r="A84" s="32" t="s">
        <v>347</v>
      </c>
      <c r="B84" s="19">
        <v>3075.7216800000001</v>
      </c>
      <c r="C84" s="33">
        <f>IF(OR(2517.79333="",3075.72168=""),"-",3075.72168/2517.79333*100)</f>
        <v>122.1594180647067</v>
      </c>
      <c r="D84" s="33">
        <f>IF(2517.79333="","-",2517.79333/5415988.29784*100)</f>
        <v>4.6488160452712646E-2</v>
      </c>
      <c r="E84" s="33">
        <f>IF(3075.72168="","-",3075.72168/7176590.69493*100)</f>
        <v>4.2857699578337183E-2</v>
      </c>
      <c r="F84" s="33">
        <f>IF(OR(5842484.3398="",2713.71696="",2517.79333=""),"-",(2517.79333-2713.71696)/5842484.3398*100)</f>
        <v>-3.3534301267242606E-3</v>
      </c>
      <c r="G84" s="33">
        <f>IF(OR(5415988.29784="",3075.72168="",2517.79333=""),"-",(3075.72168-2517.79333)/5415988.29784*100)</f>
        <v>1.0301505825308239E-2</v>
      </c>
    </row>
    <row r="85" spans="1:7" s="7" customFormat="1" x14ac:dyDescent="0.25">
      <c r="A85" s="32" t="s">
        <v>386</v>
      </c>
      <c r="B85" s="19">
        <v>2339.1969800000002</v>
      </c>
      <c r="C85" s="33">
        <f>IF(OR(2588.77588="",2339.19698=""),"-",2339.19698/2588.77588*100)</f>
        <v>90.3591924689904</v>
      </c>
      <c r="D85" s="33">
        <f>IF(2588.77588="","-",2588.77588/5415988.29784*100)</f>
        <v>4.7798771667074198E-2</v>
      </c>
      <c r="E85" s="33">
        <f>IF(2339.19698="","-",2339.19698/7176590.69493*100)</f>
        <v>3.2594822241326336E-2</v>
      </c>
      <c r="F85" s="33">
        <f>IF(OR(5842484.3398="",2516.73174="",2588.77588=""),"-",(2588.77588-2516.73174)/5842484.3398*100)</f>
        <v>1.2331079693140637E-3</v>
      </c>
      <c r="G85" s="33">
        <f>IF(OR(5415988.29784="",2339.19698="",2588.77588=""),"-",(2339.19698-2588.77588)/5415988.29784*100)</f>
        <v>-4.6081875786093702E-3</v>
      </c>
    </row>
    <row r="86" spans="1:7" s="7" customFormat="1" x14ac:dyDescent="0.25">
      <c r="A86" s="32" t="s">
        <v>84</v>
      </c>
      <c r="B86" s="78">
        <v>2244.91777</v>
      </c>
      <c r="C86" s="33">
        <f>IF(OR(3738.83927="",2244.91777=""),"-",2244.91777/3738.83927*100)</f>
        <v>60.043174041017281</v>
      </c>
      <c r="D86" s="33">
        <f>IF(3738.83927="","-",3738.83927/5415988.29784*100)</f>
        <v>6.903337053905971E-2</v>
      </c>
      <c r="E86" s="33">
        <f>IF(2244.91777="","-",2244.91777/7176590.69493*100)</f>
        <v>3.1281117531001906E-2</v>
      </c>
      <c r="F86" s="33">
        <f>IF(OR(5842484.3398="",4139.81072="",3738.83927=""),"-",(3738.83927-4139.81072)/5842484.3398*100)</f>
        <v>-6.8630299488954471E-3</v>
      </c>
      <c r="G86" s="33">
        <f>IF(OR(5415988.29784="",2244.91777="",3738.83927=""),"-",(2244.91777-3738.83927)/5415988.29784*100)</f>
        <v>-2.7583543719911733E-2</v>
      </c>
    </row>
    <row r="87" spans="1:7" s="7" customFormat="1" x14ac:dyDescent="0.25">
      <c r="A87" s="32" t="s">
        <v>91</v>
      </c>
      <c r="B87" s="19">
        <v>2163.06736</v>
      </c>
      <c r="C87" s="33" t="s">
        <v>207</v>
      </c>
      <c r="D87" s="33">
        <f>IF(1201.42348="","-",1201.42348/5415988.29784*100)</f>
        <v>2.2182903912092104E-2</v>
      </c>
      <c r="E87" s="33">
        <f>IF(2163.06736="","-",2163.06736/7176590.69493*100)</f>
        <v>3.0140598118938683E-2</v>
      </c>
      <c r="F87" s="33">
        <f>IF(OR(5842484.3398="",889.52827="",1201.42348=""),"-",(1201.42348-889.52827)/5842484.3398*100)</f>
        <v>5.3384004450866308E-3</v>
      </c>
      <c r="G87" s="33">
        <f>IF(OR(5415988.29784="",2163.06736="",1201.42348=""),"-",(2163.06736-1201.42348)/5415988.29784*100)</f>
        <v>1.7755649146869872E-2</v>
      </c>
    </row>
    <row r="88" spans="1:7" x14ac:dyDescent="0.25">
      <c r="A88" s="32" t="s">
        <v>37</v>
      </c>
      <c r="B88" s="19">
        <v>2078.1131300000002</v>
      </c>
      <c r="C88" s="33">
        <f>IF(OR(2507.14499="",2078.11313=""),"-",2078.11313/2507.14499*100)</f>
        <v>82.887632677358653</v>
      </c>
      <c r="D88" s="33">
        <f>IF(2507.14499="","-",2507.14499/5415988.29784*100)</f>
        <v>4.6291551091421253E-2</v>
      </c>
      <c r="E88" s="33">
        <f>IF(2078.11313="","-",2078.11313/7176590.69493*100)</f>
        <v>2.8956829479882578E-2</v>
      </c>
      <c r="F88" s="33">
        <f>IF(OR(5842484.3398="",3471.39009="",2507.14499=""),"-",(2507.14499-3471.39009)/5842484.3398*100)</f>
        <v>-1.6504025409728493E-2</v>
      </c>
      <c r="G88" s="33">
        <f>IF(OR(5415988.29784="",2078.11313="",2507.14499=""),"-",(2078.11313-2507.14499)/5415988.29784*100)</f>
        <v>-7.9215802621121923E-3</v>
      </c>
    </row>
    <row r="89" spans="1:7" x14ac:dyDescent="0.25">
      <c r="A89" s="32" t="s">
        <v>95</v>
      </c>
      <c r="B89" s="78">
        <v>1888.9751799999999</v>
      </c>
      <c r="C89" s="33">
        <f>IF(OR(1268.79563="",1888.97518=""),"-",1888.97518/1268.79563*100)</f>
        <v>148.8793888736833</v>
      </c>
      <c r="D89" s="33">
        <f>IF(1268.79563="","-",1268.79563/5415988.29784*100)</f>
        <v>2.3426853239435913E-2</v>
      </c>
      <c r="E89" s="33">
        <f>IF(1888.97518="","-",1888.97518/7176590.69493*100)</f>
        <v>2.6321344776350307E-2</v>
      </c>
      <c r="F89" s="33">
        <f>IF(OR(5842484.3398="",1027.64774="",1268.79563=""),"-",(1268.79563-1027.64774)/5842484.3398*100)</f>
        <v>4.1274888553360662E-3</v>
      </c>
      <c r="G89" s="33">
        <f>IF(OR(5415988.29784="",1888.97518="",1268.79563=""),"-",(1888.97518-1268.79563)/5415988.29784*100)</f>
        <v>1.1450902695770952E-2</v>
      </c>
    </row>
    <row r="90" spans="1:7" x14ac:dyDescent="0.25">
      <c r="A90" s="32" t="s">
        <v>350</v>
      </c>
      <c r="B90" s="78">
        <v>1584.89786</v>
      </c>
      <c r="C90" s="33" t="s">
        <v>93</v>
      </c>
      <c r="D90" s="33">
        <f>IF(763.49096="","-",763.49096/5415988.29784*100)</f>
        <v>1.4096983191497936E-2</v>
      </c>
      <c r="E90" s="33">
        <f>IF(1584.89786="","-",1584.89786/7176590.69493*100)</f>
        <v>2.20842727051394E-2</v>
      </c>
      <c r="F90" s="33">
        <f>IF(OR(5842484.3398="",908.02095="",763.49096=""),"-",(763.49096-908.02095)/5842484.3398*100)</f>
        <v>-2.47377624986407E-3</v>
      </c>
      <c r="G90" s="33">
        <f>IF(OR(5415988.29784="",1584.89786="",763.49096=""),"-",(1584.89786-763.49096)/5415988.29784*100)</f>
        <v>1.5166334468034077E-2</v>
      </c>
    </row>
    <row r="91" spans="1:7" x14ac:dyDescent="0.25">
      <c r="A91" s="32" t="s">
        <v>145</v>
      </c>
      <c r="B91" s="19">
        <v>1496.51133</v>
      </c>
      <c r="C91" s="33">
        <f>IF(OR(1141.70355="",1496.51133=""),"-",1496.51133/1141.70355*100)</f>
        <v>131.07704972976569</v>
      </c>
      <c r="D91" s="33">
        <f>IF(1141.70355="","-",1141.70355/5415988.29784*100)</f>
        <v>2.1080244033306595E-2</v>
      </c>
      <c r="E91" s="33">
        <f>IF(1496.51133="","-",1496.51133/7176590.69493*100)</f>
        <v>2.0852677735365775E-2</v>
      </c>
      <c r="F91" s="33">
        <f>IF(OR(5842484.3398="",1008.96485="",1141.70355=""),"-",(1141.70355-1008.96485)/5842484.3398*100)</f>
        <v>2.2719564534518532E-3</v>
      </c>
      <c r="G91" s="33">
        <f>IF(OR(5415988.29784="",1496.51133="",1141.70355=""),"-",(1496.51133-1141.70355)/5415988.29784*100)</f>
        <v>6.5511179213866514E-3</v>
      </c>
    </row>
    <row r="92" spans="1:7" x14ac:dyDescent="0.25">
      <c r="A92" s="32" t="s">
        <v>66</v>
      </c>
      <c r="B92" s="78">
        <v>1240.1462799999999</v>
      </c>
      <c r="C92" s="33">
        <f>IF(OR(1510.51002="",1240.14628=""),"-",1240.14628/1510.51002*100)</f>
        <v>82.101162096230254</v>
      </c>
      <c r="D92" s="33">
        <f>IF(1510.51002="","-",1510.51002/5415988.29784*100)</f>
        <v>2.7889831678595395E-2</v>
      </c>
      <c r="E92" s="33">
        <f>IF(1240.14628="","-",1240.14628/7176590.69493*100)</f>
        <v>1.7280437643965373E-2</v>
      </c>
      <c r="F92" s="33">
        <f>IF(OR(5842484.3398="",1736.56726="",1510.51002=""),"-",(1510.51002-1736.56726)/5842484.3398*100)</f>
        <v>-3.8691971916819628E-3</v>
      </c>
      <c r="G92" s="33">
        <f>IF(OR(5415988.29784="",1240.14628="",1510.51002=""),"-",(1240.14628-1510.51002)/5415988.29784*100)</f>
        <v>-4.9919557637860155E-3</v>
      </c>
    </row>
    <row r="93" spans="1:7" x14ac:dyDescent="0.25">
      <c r="A93" s="32" t="s">
        <v>63</v>
      </c>
      <c r="B93" s="78">
        <v>1080.34283</v>
      </c>
      <c r="C93" s="33">
        <f>IF(OR(1257.2463="",1080.34283=""),"-",1080.34283/1257.2463*100)</f>
        <v>85.929290863691548</v>
      </c>
      <c r="D93" s="33">
        <f>IF(1257.2463="","-",1257.2463/5415988.29784*100)</f>
        <v>2.3213608133189907E-2</v>
      </c>
      <c r="E93" s="33">
        <f>IF(1080.34283="","-",1080.34283/7176590.69493*100)</f>
        <v>1.5053705525706278E-2</v>
      </c>
      <c r="F93" s="33">
        <f>IF(OR(5842484.3398="",762.49841="",1257.2463=""),"-",(1257.2463-762.49841)/5842484.3398*100)</f>
        <v>8.4681081065069008E-3</v>
      </c>
      <c r="G93" s="33">
        <f>IF(OR(5415988.29784="",1080.34283="",1257.2463=""),"-",(1080.34283-1257.2463)/5415988.29784*100)</f>
        <v>-3.2663192804635948E-3</v>
      </c>
    </row>
    <row r="94" spans="1:7" x14ac:dyDescent="0.25">
      <c r="A94" s="32" t="s">
        <v>120</v>
      </c>
      <c r="B94" s="78">
        <v>982.54512</v>
      </c>
      <c r="C94" s="33" t="s">
        <v>390</v>
      </c>
      <c r="D94" s="33">
        <f>IF(42.43383="","-",42.43383/5415988.29784*100)</f>
        <v>7.8349190704351081E-4</v>
      </c>
      <c r="E94" s="33">
        <f>IF(982.54512="","-",982.54512/7176590.69493*100)</f>
        <v>1.369097335722563E-2</v>
      </c>
      <c r="F94" s="33">
        <f>IF(OR(5842484.3398="",11.93064="",42.43383=""),"-",(42.43383-11.93064)/5842484.3398*100)</f>
        <v>5.2209279864401284E-4</v>
      </c>
      <c r="G94" s="33">
        <f>IF(OR(5415988.29784="",982.54512="",42.43383=""),"-",(982.54512-42.43383)/5415988.29784*100)</f>
        <v>1.7358074617239008E-2</v>
      </c>
    </row>
    <row r="95" spans="1:7" x14ac:dyDescent="0.25">
      <c r="A95" s="32" t="s">
        <v>129</v>
      </c>
      <c r="B95" s="19">
        <v>955.28890000000001</v>
      </c>
      <c r="C95" s="33">
        <f>IF(OR(1660.57034="",955.2889=""),"-",955.2889/1660.57034*100)</f>
        <v>57.527758806049732</v>
      </c>
      <c r="D95" s="33">
        <f>IF(1660.57034="","-",1660.57034/5415988.29784*100)</f>
        <v>3.0660523041792155E-2</v>
      </c>
      <c r="E95" s="33">
        <f>IF(955.2889="","-",955.2889/7176590.69493*100)</f>
        <v>1.3311179926631132E-2</v>
      </c>
      <c r="F95" s="33">
        <f>IF(OR(5842484.3398="",351.39711="",1660.57034=""),"-",(1660.57034-351.39711)/5842484.3398*100)</f>
        <v>2.240781752861002E-2</v>
      </c>
      <c r="G95" s="33">
        <f>IF(OR(5415988.29784="",955.2889="",1660.57034=""),"-",(955.2889-1660.57034)/5415988.29784*100)</f>
        <v>-1.3022211297636661E-2</v>
      </c>
    </row>
    <row r="96" spans="1:7" x14ac:dyDescent="0.25">
      <c r="A96" s="32" t="s">
        <v>100</v>
      </c>
      <c r="B96" s="19">
        <v>839.12882999999999</v>
      </c>
      <c r="C96" s="33">
        <f>IF(OR(585.96995="",839.12883=""),"-",839.12883/585.96995*100)</f>
        <v>143.20338952535025</v>
      </c>
      <c r="D96" s="33">
        <f>IF(585.96995="","-",585.96995/5415988.29784*100)</f>
        <v>1.0819261744596017E-2</v>
      </c>
      <c r="E96" s="33">
        <f>IF(839.12883="","-",839.12883/7176590.69493*100)</f>
        <v>1.1692583089527649E-2</v>
      </c>
      <c r="F96" s="33">
        <f>IF(OR(5842484.3398="",440.30985="",585.96995=""),"-",(585.96995-440.30985)/5842484.3398*100)</f>
        <v>2.4931192199821334E-3</v>
      </c>
      <c r="G96" s="33">
        <f>IF(OR(5415988.29784="",839.12883="",585.96995=""),"-",(839.12883-585.96995)/5415988.29784*100)</f>
        <v>4.6742877952850185E-3</v>
      </c>
    </row>
    <row r="97" spans="1:7" x14ac:dyDescent="0.25">
      <c r="A97" s="32" t="s">
        <v>96</v>
      </c>
      <c r="B97" s="78">
        <v>797.13986</v>
      </c>
      <c r="C97" s="33" t="s">
        <v>207</v>
      </c>
      <c r="D97" s="33">
        <f>IF(437.69983="","-",437.69983/5415988.29784*100)</f>
        <v>8.0816243671457538E-3</v>
      </c>
      <c r="E97" s="33">
        <f>IF(797.13986="","-",797.13986/7176590.69493*100)</f>
        <v>1.1107500676653474E-2</v>
      </c>
      <c r="F97" s="33">
        <f>IF(OR(5842484.3398="",807.44856="",437.69983=""),"-",(437.69983-807.44856)/5842484.3398*100)</f>
        <v>-6.3286216700866194E-3</v>
      </c>
      <c r="G97" s="33">
        <f>IF(OR(5415988.29784="",797.13986="",437.69983=""),"-",(797.13986-437.69983)/5415988.29784*100)</f>
        <v>6.6366470943696751E-3</v>
      </c>
    </row>
    <row r="98" spans="1:7" x14ac:dyDescent="0.25">
      <c r="A98" s="32" t="s">
        <v>99</v>
      </c>
      <c r="B98" s="78">
        <v>778.39427000000001</v>
      </c>
      <c r="C98" s="33">
        <f>IF(OR(608.12065="",778.39427=""),"-",778.39427/608.12065*100)</f>
        <v>127.99997336054942</v>
      </c>
      <c r="D98" s="33">
        <f>IF(608.12065="","-",608.12065/5415988.29784*100)</f>
        <v>1.1228248965060174E-2</v>
      </c>
      <c r="E98" s="33">
        <f>IF(778.39427="","-",778.39427/7176590.69493*100)</f>
        <v>1.084629600723791E-2</v>
      </c>
      <c r="F98" s="33">
        <f>IF(OR(5842484.3398="",1285.59517="",608.12065=""),"-",(608.12065-1285.59517)/5842484.3398*100)</f>
        <v>-1.1595658295306469E-2</v>
      </c>
      <c r="G98" s="33">
        <f>IF(OR(5415988.29784="",778.39427="",608.12065=""),"-",(778.39427-608.12065)/5415988.29784*100)</f>
        <v>3.1439067190730161E-3</v>
      </c>
    </row>
    <row r="99" spans="1:7" x14ac:dyDescent="0.25">
      <c r="A99" s="32" t="s">
        <v>90</v>
      </c>
      <c r="B99" s="19">
        <v>689.32078999999999</v>
      </c>
      <c r="C99" s="33">
        <f>IF(OR(651.75056="",689.32079=""),"-",689.32079/651.75056*100)</f>
        <v>105.76451058208526</v>
      </c>
      <c r="D99" s="33">
        <f>IF(651.75056="","-",651.75056/5415988.29784*100)</f>
        <v>1.2033825114798172E-2</v>
      </c>
      <c r="E99" s="33">
        <f>IF(689.32079="","-",689.32079/7176590.69493*100)</f>
        <v>9.6051289435661984E-3</v>
      </c>
      <c r="F99" s="33">
        <f>IF(OR(5842484.3398="",882.15277="",651.75056=""),"-",(651.75056-882.15277)/5842484.3398*100)</f>
        <v>-3.9435657264917413E-3</v>
      </c>
      <c r="G99" s="33">
        <f>IF(OR(5415988.29784="",689.32079="",651.75056=""),"-",(689.32079-651.75056)/5415988.29784*100)</f>
        <v>6.936911221721761E-4</v>
      </c>
    </row>
    <row r="100" spans="1:7" x14ac:dyDescent="0.25">
      <c r="A100" s="32" t="s">
        <v>122</v>
      </c>
      <c r="B100" s="19">
        <v>651.74365999999998</v>
      </c>
      <c r="C100" s="33" t="s">
        <v>217</v>
      </c>
      <c r="D100" s="33">
        <f>IF(281.36217="","-",281.36217/5415988.29784*100)</f>
        <v>5.1950291346126538E-3</v>
      </c>
      <c r="E100" s="33">
        <f>IF(651.74366="","-",651.74366/7176590.69493*100)</f>
        <v>9.0815219608446265E-3</v>
      </c>
      <c r="F100" s="33">
        <f>IF(OR(5842484.3398="",240.60935="",281.36217=""),"-",(281.36217-240.60935)/5842484.3398*100)</f>
        <v>6.9752553245859517E-4</v>
      </c>
      <c r="G100" s="33">
        <f>IF(OR(5415988.29784="",651.74366="",281.36217=""),"-",(651.74366-281.36217)/5415988.29784*100)</f>
        <v>6.8386685796148266E-3</v>
      </c>
    </row>
    <row r="101" spans="1:7" x14ac:dyDescent="0.25">
      <c r="A101" s="32" t="s">
        <v>215</v>
      </c>
      <c r="B101" s="78">
        <v>580.39819</v>
      </c>
      <c r="C101" s="33" t="s">
        <v>315</v>
      </c>
      <c r="D101" s="33">
        <f>IF(194.4284="","-",194.4284/5415988.29784*100)</f>
        <v>3.589896973698074E-3</v>
      </c>
      <c r="E101" s="33">
        <f>IF(580.39819="","-",580.39819/7176590.69493*100)</f>
        <v>8.087380410450748E-3</v>
      </c>
      <c r="F101" s="33" t="str">
        <f>IF(OR(5842484.3398="",""="",194.4284=""),"-",(194.4284-"")/5842484.3398*100)</f>
        <v>-</v>
      </c>
      <c r="G101" s="33">
        <f>IF(OR(5415988.29784="",580.39819="",194.4284=""),"-",(580.39819-194.4284)/5415988.29784*100)</f>
        <v>7.1264886254265381E-3</v>
      </c>
    </row>
    <row r="102" spans="1:7" x14ac:dyDescent="0.25">
      <c r="A102" s="32" t="s">
        <v>221</v>
      </c>
      <c r="B102" s="78">
        <v>557.14332000000002</v>
      </c>
      <c r="C102" s="33" t="s">
        <v>391</v>
      </c>
      <c r="D102" s="33">
        <f>IF(141.91721="","-",141.91721/5415988.29784*100)</f>
        <v>2.620338194907092E-3</v>
      </c>
      <c r="E102" s="33">
        <f>IF(557.14332="","-",557.14332/7176590.69493*100)</f>
        <v>7.7633425631142856E-3</v>
      </c>
      <c r="F102" s="33">
        <f>IF(OR(5842484.3398="",154.66594="",141.91721=""),"-",(141.91721-154.66594)/5842484.3398*100)</f>
        <v>-2.1820734568603754E-4</v>
      </c>
      <c r="G102" s="33">
        <f>IF(OR(5415988.29784="",557.14332="",141.91721=""),"-",(557.14332-141.91721)/5415988.29784*100)</f>
        <v>7.6666729535881783E-3</v>
      </c>
    </row>
    <row r="103" spans="1:7" x14ac:dyDescent="0.25">
      <c r="A103" s="32" t="s">
        <v>105</v>
      </c>
      <c r="B103" s="78">
        <v>530.40639999999996</v>
      </c>
      <c r="C103" s="33" t="s">
        <v>103</v>
      </c>
      <c r="D103" s="33">
        <f>IF(281.27566="","-",281.27566/5415988.29784*100)</f>
        <v>5.193431826877805E-3</v>
      </c>
      <c r="E103" s="33">
        <f>IF(530.4064="","-",530.4064/7176590.69493*100)</f>
        <v>7.3907851589573408E-3</v>
      </c>
      <c r="F103" s="33">
        <f>IF(OR(5842484.3398="",273.72948="",281.27566=""),"-",(281.27566-273.72948)/5842484.3398*100)</f>
        <v>1.2916046601261943E-4</v>
      </c>
      <c r="G103" s="33">
        <f>IF(OR(5415988.29784="",530.4064="",281.27566=""),"-",(530.4064-281.27566)/5415988.29784*100)</f>
        <v>4.5999128192237429E-3</v>
      </c>
    </row>
    <row r="104" spans="1:7" x14ac:dyDescent="0.25">
      <c r="A104" s="32" t="s">
        <v>92</v>
      </c>
      <c r="B104" s="78">
        <v>454.98110000000003</v>
      </c>
      <c r="C104" s="33">
        <f>IF(OR(539.55737="",454.9811=""),"-",454.9811/539.55737*100)</f>
        <v>84.324879113411058</v>
      </c>
      <c r="D104" s="33">
        <f>IF(539.55737="","-",539.55737/5415988.29784*100)</f>
        <v>9.9623067910834633E-3</v>
      </c>
      <c r="E104" s="33">
        <f>IF(454.9811="","-",454.9811/7176590.69493*100)</f>
        <v>6.339794469836877E-3</v>
      </c>
      <c r="F104" s="33">
        <f>IF(OR(5842484.3398="",455.70396="",539.55737=""),"-",(539.55737-455.70396)/5842484.3398*100)</f>
        <v>1.4352355115233475E-3</v>
      </c>
      <c r="G104" s="33">
        <f>IF(OR(5415988.29784="",454.9811="",539.55737=""),"-",(454.9811-539.55737)/5415988.29784*100)</f>
        <v>-1.5616036325951921E-3</v>
      </c>
    </row>
    <row r="105" spans="1:7" x14ac:dyDescent="0.25">
      <c r="A105" s="32" t="s">
        <v>327</v>
      </c>
      <c r="B105" s="19">
        <v>352.51699000000002</v>
      </c>
      <c r="C105" s="33" t="s">
        <v>392</v>
      </c>
      <c r="D105" s="33">
        <f>IF(20.65373="","-",20.65373/5415988.29784*100)</f>
        <v>3.8134738969500915E-4</v>
      </c>
      <c r="E105" s="33">
        <f>IF(352.51699="","-",352.51699/7176590.69493*100)</f>
        <v>4.9120397830273417E-3</v>
      </c>
      <c r="F105" s="33">
        <f>IF(OR(5842484.3398="",39.74595="",20.65373=""),"-",(20.65373-39.74595)/5842484.3398*100)</f>
        <v>-3.267825618280316E-4</v>
      </c>
      <c r="G105" s="33">
        <f>IF(OR(5415988.29784="",352.51699="",20.65373=""),"-",(352.51699-20.65373)/5415988.29784*100)</f>
        <v>6.1274737268607734E-3</v>
      </c>
    </row>
    <row r="106" spans="1:7" x14ac:dyDescent="0.25">
      <c r="A106" s="32" t="s">
        <v>330</v>
      </c>
      <c r="B106" s="19">
        <v>316.37398999999999</v>
      </c>
      <c r="C106" s="33" t="s">
        <v>393</v>
      </c>
      <c r="D106" s="33">
        <f>IF(0.1771="","-",0.1771/5415988.29784*100)</f>
        <v>3.2699479810661864E-6</v>
      </c>
      <c r="E106" s="33">
        <f>IF(316.37399="","-",316.37399/7176590.69493*100)</f>
        <v>4.4084162445478005E-3</v>
      </c>
      <c r="F106" s="33" t="str">
        <f>IF(OR(5842484.3398="",""="",0.1771=""),"-",(0.1771-"")/5842484.3398*100)</f>
        <v>-</v>
      </c>
      <c r="G106" s="33">
        <f>IF(OR(5415988.29784="",316.37399="",0.1771=""),"-",(316.37399-0.1771)/5415988.29784*100)</f>
        <v>5.8382122082151723E-3</v>
      </c>
    </row>
    <row r="107" spans="1:7" x14ac:dyDescent="0.25">
      <c r="A107" s="32" t="s">
        <v>133</v>
      </c>
      <c r="B107" s="19">
        <v>306.52122000000003</v>
      </c>
      <c r="C107" s="33" t="s">
        <v>206</v>
      </c>
      <c r="D107" s="33">
        <f>IF(140.77517="","-",140.77517/5415988.29784*100)</f>
        <v>2.5992517387111755E-3</v>
      </c>
      <c r="E107" s="33">
        <f>IF(306.52122="","-",306.52122/7176590.69493*100)</f>
        <v>4.2711258455431509E-3</v>
      </c>
      <c r="F107" s="33">
        <f>IF(OR(5842484.3398="",74.62118="",140.77517=""),"-",(140.77517-74.62118)/5842484.3398*100)</f>
        <v>1.1322921235637337E-3</v>
      </c>
      <c r="G107" s="33">
        <f>IF(OR(5415988.29784="",306.52122="",140.77517=""),"-",(306.52122-140.77517)/5415988.29784*100)</f>
        <v>3.0603103419943271E-3</v>
      </c>
    </row>
    <row r="108" spans="1:7" x14ac:dyDescent="0.25">
      <c r="A108" s="32" t="s">
        <v>88</v>
      </c>
      <c r="B108" s="78">
        <v>263.31805000000003</v>
      </c>
      <c r="C108" s="33">
        <f>IF(OR(535.15262="",263.31805=""),"-",263.31805/535.15262*100)</f>
        <v>49.204290544256338</v>
      </c>
      <c r="D108" s="33">
        <f>IF(535.15262="","-",535.15262/5415988.29784*100)</f>
        <v>9.8809781441630724E-3</v>
      </c>
      <c r="E108" s="33">
        <f>IF(263.31805="","-",263.31805/7176590.69493*100)</f>
        <v>3.6691245354987939E-3</v>
      </c>
      <c r="F108" s="33">
        <f>IF(OR(5842484.3398="",483.33448="",535.15262=""),"-",(535.15262-483.33448)/5842484.3398*100)</f>
        <v>8.869196216240746E-4</v>
      </c>
      <c r="G108" s="33">
        <f>IF(OR(5415988.29784="",263.31805="",535.15262=""),"-",(263.31805-535.15262)/5415988.29784*100)</f>
        <v>-5.0191129494946054E-3</v>
      </c>
    </row>
    <row r="109" spans="1:7" x14ac:dyDescent="0.25">
      <c r="A109" s="32" t="s">
        <v>109</v>
      </c>
      <c r="B109" s="19">
        <v>224.34120999999999</v>
      </c>
      <c r="C109" s="33">
        <f>IF(OR(510.06298="",224.34121=""),"-",224.34121/510.06298*100)</f>
        <v>43.983041074653173</v>
      </c>
      <c r="D109" s="33">
        <f>IF(510.06298="","-",510.06298/5415988.29784*100)</f>
        <v>9.4177267739559718E-3</v>
      </c>
      <c r="E109" s="33">
        <f>IF(224.34121="","-",224.34121/7176590.69493*100)</f>
        <v>3.1260137234590916E-3</v>
      </c>
      <c r="F109" s="33">
        <f>IF(OR(5842484.3398="",488.78097="",510.06298=""),"-",(510.06298-488.78097)/5842484.3398*100)</f>
        <v>3.6426302172559152E-4</v>
      </c>
      <c r="G109" s="33">
        <f>IF(OR(5415988.29784="",224.34121="",510.06298=""),"-",(224.34121-510.06298)/5415988.29784*100)</f>
        <v>-5.2755241386683071E-3</v>
      </c>
    </row>
    <row r="110" spans="1:7" x14ac:dyDescent="0.25">
      <c r="A110" s="32" t="s">
        <v>59</v>
      </c>
      <c r="B110" s="78">
        <v>211.28432000000001</v>
      </c>
      <c r="C110" s="33">
        <f>IF(OR(246.5155="",211.28432=""),"-",211.28432/246.5155*100)</f>
        <v>85.708330713484543</v>
      </c>
      <c r="D110" s="33">
        <f>IF(246.5155="","-",246.5155/5415988.29784*100)</f>
        <v>4.5516254179927803E-3</v>
      </c>
      <c r="E110" s="33">
        <f>IF(211.28432="","-",211.28432/7176590.69493*100)</f>
        <v>2.9440764979012202E-3</v>
      </c>
      <c r="F110" s="33">
        <f>IF(OR(5842484.3398="",386.6045="",246.5155=""),"-",(246.5155-386.6045)/5842484.3398*100)</f>
        <v>-2.397764236109112E-3</v>
      </c>
      <c r="G110" s="33">
        <f>IF(OR(5415988.29784="",211.28432="",246.5155=""),"-",(211.28432-246.5155)/5415988.29784*100)</f>
        <v>-6.5050325190050477E-4</v>
      </c>
    </row>
    <row r="111" spans="1:7" x14ac:dyDescent="0.25">
      <c r="A111" s="32" t="s">
        <v>132</v>
      </c>
      <c r="B111" s="78">
        <v>193.52342999999999</v>
      </c>
      <c r="C111" s="33">
        <f>IF(OR(214.02949="",193.52343=""),"-",193.52343/214.02949*100)</f>
        <v>90.419049262790836</v>
      </c>
      <c r="D111" s="33">
        <f>IF(214.02949="","-",214.02949/5415988.29784*100)</f>
        <v>3.9518085754609014E-3</v>
      </c>
      <c r="E111" s="33">
        <f>IF(193.52343="","-",193.52343/7176590.69493*100)</f>
        <v>2.6965928283567467E-3</v>
      </c>
      <c r="F111" s="33">
        <f>IF(OR(5842484.3398="",443.11682="",214.02949=""),"-",(214.02949-443.11682)/5842484.3398*100)</f>
        <v>-3.9210602318506529E-3</v>
      </c>
      <c r="G111" s="33">
        <f>IF(OR(5415988.29784="",193.52343="",214.02949=""),"-",(193.52343-214.02949)/5415988.29784*100)</f>
        <v>-3.7862083284371628E-4</v>
      </c>
    </row>
    <row r="112" spans="1:7" x14ac:dyDescent="0.25">
      <c r="A112" s="32" t="s">
        <v>138</v>
      </c>
      <c r="B112" s="78">
        <v>182.97601</v>
      </c>
      <c r="C112" s="33">
        <f>IF(OR(129.56076="",182.97601=""),"-",182.97601/129.56076*100)</f>
        <v>141.22795358718182</v>
      </c>
      <c r="D112" s="33">
        <f>IF(129.56076="","-",129.56076/5415988.29784*100)</f>
        <v>2.3921905453834031E-3</v>
      </c>
      <c r="E112" s="33">
        <f>IF(182.97601="","-",182.97601/7176590.69493*100)</f>
        <v>2.5496230421677229E-3</v>
      </c>
      <c r="F112" s="33">
        <f>IF(OR(5842484.3398="",144.92703="",129.56076=""),"-",(129.56076-144.92703)/5842484.3398*100)</f>
        <v>-2.6300917736864714E-4</v>
      </c>
      <c r="G112" s="33">
        <f>IF(OR(5415988.29784="",182.97601="",129.56076=""),"-",(182.97601-129.56076)/5415988.29784*100)</f>
        <v>9.8625120776762087E-4</v>
      </c>
    </row>
    <row r="113" spans="1:7" x14ac:dyDescent="0.25">
      <c r="A113" s="32" t="s">
        <v>323</v>
      </c>
      <c r="B113" s="78">
        <v>171.05193</v>
      </c>
      <c r="C113" s="33">
        <f>IF(OR(424.9628="",171.05193=""),"-",171.05193/424.9628*100)</f>
        <v>40.251036090688409</v>
      </c>
      <c r="D113" s="33">
        <f>IF(424.9628="","-",424.9628/5415988.29784*100)</f>
        <v>7.8464497452751768E-3</v>
      </c>
      <c r="E113" s="33">
        <f>IF(171.05193="","-",171.05193/7176590.69493*100)</f>
        <v>2.3834706098097799E-3</v>
      </c>
      <c r="F113" s="33">
        <f>IF(OR(5842484.3398="",941.81715="",424.9628=""),"-",(424.9628-941.81715)/5842484.3398*100)</f>
        <v>-8.8464824198004246E-3</v>
      </c>
      <c r="G113" s="33">
        <f>IF(OR(5415988.29784="",171.05193="",424.9628=""),"-",(171.05193-424.9628)/5415988.29784*100)</f>
        <v>-4.6881724264667361E-3</v>
      </c>
    </row>
    <row r="114" spans="1:7" x14ac:dyDescent="0.25">
      <c r="A114" s="32" t="s">
        <v>336</v>
      </c>
      <c r="B114" s="78">
        <v>169.41570999999999</v>
      </c>
      <c r="C114" s="33" t="s">
        <v>19</v>
      </c>
      <c r="D114" s="33">
        <f>IF(85.12834="","-",85.12834/5415988.29784*100)</f>
        <v>1.5717969707200218E-3</v>
      </c>
      <c r="E114" s="33">
        <f>IF(169.41571="","-",169.41571/7176590.69493*100)</f>
        <v>2.3606712044994572E-3</v>
      </c>
      <c r="F114" s="33">
        <f>IF(OR(5842484.3398="",80.93385="",85.12834=""),"-",(85.12834-80.93385)/5842484.3398*100)</f>
        <v>7.1792918150013788E-5</v>
      </c>
      <c r="G114" s="33">
        <f>IF(OR(5415988.29784="",169.41571="",85.12834=""),"-",(169.41571-85.12834)/5415988.29784*100)</f>
        <v>1.5562694260919177E-3</v>
      </c>
    </row>
    <row r="115" spans="1:7" x14ac:dyDescent="0.25">
      <c r="A115" s="32" t="s">
        <v>212</v>
      </c>
      <c r="B115" s="19">
        <v>163.99921000000001</v>
      </c>
      <c r="C115" s="33" t="s">
        <v>394</v>
      </c>
      <c r="D115" s="33">
        <f>IF(24.27074="","-",24.27074/5415988.29784*100)</f>
        <v>4.4813132276669862E-4</v>
      </c>
      <c r="E115" s="33">
        <f>IF(163.99921="","-",163.99921/7176590.69493*100)</f>
        <v>2.2851966479829964E-3</v>
      </c>
      <c r="F115" s="33">
        <f>IF(OR(5842484.3398="",102.08399="",24.27074=""),"-",(24.27074-102.08399)/5842484.3398*100)</f>
        <v>-1.3318520936363126E-3</v>
      </c>
      <c r="G115" s="33">
        <f>IF(OR(5415988.29784="",163.99921="",24.27074=""),"-",(163.99921-24.27074)/5415988.29784*100)</f>
        <v>2.5799256260528925E-3</v>
      </c>
    </row>
    <row r="116" spans="1:7" x14ac:dyDescent="0.25">
      <c r="A116" s="32" t="s">
        <v>222</v>
      </c>
      <c r="B116" s="78">
        <v>114.34389</v>
      </c>
      <c r="C116" s="33" t="s">
        <v>355</v>
      </c>
      <c r="D116" s="33">
        <f>IF(33.15317="","-",33.15317/5415988.29784*100)</f>
        <v>6.1213518524813138E-4</v>
      </c>
      <c r="E116" s="33">
        <f>IF(114.34389="","-",114.34389/7176590.69493*100)</f>
        <v>1.593289834416498E-3</v>
      </c>
      <c r="F116" s="33">
        <f>IF(OR(5842484.3398="",17.59279="",33.15317=""),"-",(33.15317-17.59279)/5842484.3398*100)</f>
        <v>2.663315653924828E-4</v>
      </c>
      <c r="G116" s="33">
        <f>IF(OR(5415988.29784="",114.34389="",33.15317=""),"-",(114.34389-33.15317)/5415988.29784*100)</f>
        <v>1.499093342435404E-3</v>
      </c>
    </row>
    <row r="117" spans="1:7" x14ac:dyDescent="0.25">
      <c r="A117" s="32" t="s">
        <v>130</v>
      </c>
      <c r="B117" s="78">
        <v>110.08833</v>
      </c>
      <c r="C117" s="33">
        <f>IF(OR(120.67559="",110.08833=""),"-",110.08833/120.67559*100)</f>
        <v>91.226676414012147</v>
      </c>
      <c r="D117" s="33">
        <f>IF(120.67559="","-",120.67559/5415988.29784*100)</f>
        <v>2.2281360919507104E-3</v>
      </c>
      <c r="E117" s="33">
        <f>IF(110.08833="","-",110.08833/7176590.69493*100)</f>
        <v>1.5339920399497409E-3</v>
      </c>
      <c r="F117" s="33">
        <f>IF(OR(5842484.3398="",124.0622="",120.67559=""),"-",(120.67559-124.0622)/5842484.3398*100)</f>
        <v>-5.7965238809967188E-5</v>
      </c>
      <c r="G117" s="33">
        <f>IF(OR(5415988.29784="",110.08833="",120.67559=""),"-",(110.08833-120.67559)/5415988.29784*100)</f>
        <v>-1.9548158928301974E-4</v>
      </c>
    </row>
    <row r="118" spans="1:7" x14ac:dyDescent="0.25">
      <c r="A118" s="32" t="s">
        <v>351</v>
      </c>
      <c r="B118" s="19">
        <v>105.19013</v>
      </c>
      <c r="C118" s="33">
        <f>IF(OR(98.7033="",105.19013=""),"-",105.19013/98.7033*100)</f>
        <v>106.57204976935928</v>
      </c>
      <c r="D118" s="33">
        <f>IF(98.7033="","-",98.7033/5415988.29784*100)</f>
        <v>1.8224430071121971E-3</v>
      </c>
      <c r="E118" s="33">
        <f>IF(105.19013="","-",105.19013/7176590.69493*100)</f>
        <v>1.4657395756778075E-3</v>
      </c>
      <c r="F118" s="33">
        <f>IF(OR(5842484.3398="",38.97204="",98.7033=""),"-",(98.7033-38.97204)/5842484.3398*100)</f>
        <v>1.0223606350658139E-3</v>
      </c>
      <c r="G118" s="33">
        <f>IF(OR(5415988.29784="",105.19013="",98.7033=""),"-",(105.19013-98.7033)/5415988.29784*100)</f>
        <v>1.1977186144562146E-4</v>
      </c>
    </row>
    <row r="119" spans="1:7" x14ac:dyDescent="0.25">
      <c r="A119" s="32" t="s">
        <v>313</v>
      </c>
      <c r="B119" s="19">
        <v>100.32586999999999</v>
      </c>
      <c r="C119" s="33">
        <f>IF(OR(75.03436="",100.32587=""),"-",100.32587/75.03436*100)</f>
        <v>133.70657122950072</v>
      </c>
      <c r="D119" s="33">
        <f>IF(75.03436="","-",75.03436/5415988.29784*100)</f>
        <v>1.3854232297718433E-3</v>
      </c>
      <c r="E119" s="33">
        <f>IF(100.32587="","-",100.32587/7176590.69493*100)</f>
        <v>1.3979600379171208E-3</v>
      </c>
      <c r="F119" s="33">
        <f>IF(OR(5842484.3398="",76.14691="",75.03436=""),"-",(75.03436-76.14691)/5842484.3398*100)</f>
        <v>-1.9042413043730703E-5</v>
      </c>
      <c r="G119" s="33">
        <f>IF(OR(5415988.29784="",100.32587="",75.03436=""),"-",(100.32587-75.03436)/5415988.29784*100)</f>
        <v>4.6697866777309561E-4</v>
      </c>
    </row>
    <row r="120" spans="1:7" x14ac:dyDescent="0.25">
      <c r="A120" s="32" t="s">
        <v>314</v>
      </c>
      <c r="B120" s="78">
        <v>95.878839999999997</v>
      </c>
      <c r="C120" s="33">
        <f>IF(OR(132.25442="",95.87884=""),"-",95.87884/132.25442*100)</f>
        <v>72.495754773262007</v>
      </c>
      <c r="D120" s="33">
        <f>IF(132.25442="","-",132.25442/5415988.29784*100)</f>
        <v>2.4419258817960448E-3</v>
      </c>
      <c r="E120" s="33">
        <f>IF(95.87884="","-",95.87884/7176590.69493*100)</f>
        <v>1.335994263511989E-3</v>
      </c>
      <c r="F120" s="33">
        <f>IF(OR(5842484.3398="",120.81373="",132.25442=""),"-",(132.25442-120.81373)/5842484.3398*100)</f>
        <v>1.9581892452948606E-4</v>
      </c>
      <c r="G120" s="33">
        <f>IF(OR(5415988.29784="",95.87884="",132.25442=""),"-",(95.87884-132.25442)/5415988.29784*100)</f>
        <v>-6.7163328278436812E-4</v>
      </c>
    </row>
    <row r="121" spans="1:7" x14ac:dyDescent="0.25">
      <c r="A121" s="67" t="s">
        <v>387</v>
      </c>
      <c r="B121" s="41">
        <v>92.999080000000006</v>
      </c>
      <c r="C121" s="42">
        <f>IF(OR(205.14183="",92.99908=""),"-",92.99908/205.14183*100)</f>
        <v>45.334040356371986</v>
      </c>
      <c r="D121" s="42">
        <f>IF(205.14183="","-",205.14183/5415988.29784*100)</f>
        <v>3.7877081470396546E-3</v>
      </c>
      <c r="E121" s="42">
        <f>IF(92.99908="","-",92.99908/7176590.69493*100)</f>
        <v>1.2958671318081504E-3</v>
      </c>
      <c r="F121" s="42">
        <f>IF(OR(5842484.3398="",122.78442="",205.14183=""),"-",(205.14183-122.78442)/5842484.3398*100)</f>
        <v>1.4096299657830021E-3</v>
      </c>
      <c r="G121" s="42">
        <f>IF(OR(5415988.29784="",92.99908="",205.14183=""),"-",(92.99908-205.14183)/5415988.29784*100)</f>
        <v>-2.0705870070791082E-3</v>
      </c>
    </row>
    <row r="122" spans="1:7" x14ac:dyDescent="0.25">
      <c r="A122" s="34" t="s">
        <v>205</v>
      </c>
      <c r="B122" s="79">
        <v>88.513949999999994</v>
      </c>
      <c r="C122" s="35">
        <f>IF(OR(141.60895="",88.51395=""),"-",88.51395/141.60895*100)</f>
        <v>62.505900933521509</v>
      </c>
      <c r="D122" s="35">
        <f>IF(141.60895="","-",141.60895/5415988.29784*100)</f>
        <v>2.6146465282518494E-3</v>
      </c>
      <c r="E122" s="35">
        <f>IF(88.51395="","-",88.51395/7176590.69493*100)</f>
        <v>1.2333704646487903E-3</v>
      </c>
      <c r="F122" s="35">
        <f>IF(OR(5842484.3398="",77.42192="",141.60895=""),"-",(141.60895-77.42192)/5842484.3398*100)</f>
        <v>1.0986256233970024E-3</v>
      </c>
      <c r="G122" s="35">
        <f>IF(OR(5415988.29784="",88.51395="",141.60895=""),"-",(88.51395-141.60895)/5415988.29784*100)</f>
        <v>-9.8033815954098901E-4</v>
      </c>
    </row>
    <row r="123" spans="1:7" x14ac:dyDescent="0.25">
      <c r="A123" s="58" t="s">
        <v>299</v>
      </c>
      <c r="B123" s="61"/>
      <c r="C123" s="61"/>
      <c r="D123" s="61"/>
      <c r="E123" s="61"/>
      <c r="F123" s="7"/>
      <c r="G123" s="7"/>
    </row>
    <row r="124" spans="1:7" x14ac:dyDescent="0.25">
      <c r="A124" s="100" t="s">
        <v>340</v>
      </c>
      <c r="B124" s="100"/>
      <c r="C124" s="100"/>
      <c r="D124" s="100"/>
      <c r="E124" s="100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</sheetData>
  <mergeCells count="6">
    <mergeCell ref="A124:E124"/>
    <mergeCell ref="A1:G1"/>
    <mergeCell ref="A3:A4"/>
    <mergeCell ref="B3:C3"/>
    <mergeCell ref="D3:E3"/>
    <mergeCell ref="F3:G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7"/>
  <sheetViews>
    <sheetView workbookViewId="0">
      <selection activeCell="C47" sqref="C47:C156"/>
    </sheetView>
  </sheetViews>
  <sheetFormatPr defaultRowHeight="15.75" x14ac:dyDescent="0.25"/>
  <cols>
    <col min="1" max="1" width="45.125" customWidth="1"/>
    <col min="2" max="2" width="15.125" customWidth="1"/>
    <col min="3" max="3" width="14.75" customWidth="1"/>
    <col min="4" max="4" width="14.5" customWidth="1"/>
  </cols>
  <sheetData>
    <row r="1" spans="1:5" x14ac:dyDescent="0.25">
      <c r="A1" s="110" t="s">
        <v>341</v>
      </c>
      <c r="B1" s="110"/>
      <c r="C1" s="110"/>
      <c r="D1" s="110"/>
    </row>
    <row r="2" spans="1:5" x14ac:dyDescent="0.25">
      <c r="A2" s="4"/>
    </row>
    <row r="3" spans="1:5" ht="38.25" customHeight="1" x14ac:dyDescent="0.25">
      <c r="A3" s="83"/>
      <c r="B3" s="83" t="s">
        <v>412</v>
      </c>
      <c r="C3" s="82" t="s">
        <v>409</v>
      </c>
      <c r="D3" s="82" t="s">
        <v>413</v>
      </c>
      <c r="E3" s="1"/>
    </row>
    <row r="4" spans="1:5" ht="16.5" customHeight="1" x14ac:dyDescent="0.25">
      <c r="A4" s="48" t="s">
        <v>213</v>
      </c>
      <c r="B4" s="29">
        <v>-2948882.2181600002</v>
      </c>
      <c r="C4" s="29">
        <v>-4032144.5367800002</v>
      </c>
      <c r="D4" s="89">
        <f>IF(-2948882.21816="","-",-4032144.53678/-2948882.21816*100)</f>
        <v>136.73467566622304</v>
      </c>
    </row>
    <row r="5" spans="1:5" x14ac:dyDescent="0.25">
      <c r="A5" s="49" t="s">
        <v>131</v>
      </c>
      <c r="B5" s="86"/>
      <c r="C5" s="86"/>
      <c r="D5" s="90"/>
    </row>
    <row r="6" spans="1:5" x14ac:dyDescent="0.25">
      <c r="A6" s="30" t="s">
        <v>414</v>
      </c>
      <c r="B6" s="31">
        <v>-830377.57906999998</v>
      </c>
      <c r="C6" s="31">
        <v>-1229668.9058600001</v>
      </c>
      <c r="D6" s="87">
        <f>IF(-830377.57907="","-",-1229668.90586/-830377.57907*100)</f>
        <v>148.08551397030678</v>
      </c>
    </row>
    <row r="7" spans="1:5" x14ac:dyDescent="0.25">
      <c r="A7" s="32" t="s">
        <v>4</v>
      </c>
      <c r="B7" s="33">
        <v>-226602.34729999999</v>
      </c>
      <c r="C7" s="33">
        <v>-301259.54362000001</v>
      </c>
      <c r="D7" s="88">
        <f>IF(OR(-226602.3473="",-301259.54362="",-226602.3473=0),"-",-301259.54362/-226602.3473*100)</f>
        <v>132.94634729496468</v>
      </c>
    </row>
    <row r="8" spans="1:5" x14ac:dyDescent="0.25">
      <c r="A8" s="32" t="s">
        <v>3</v>
      </c>
      <c r="B8" s="33">
        <v>-133100.11720000001</v>
      </c>
      <c r="C8" s="33">
        <v>-204404.60412999999</v>
      </c>
      <c r="D8" s="88" t="s">
        <v>218</v>
      </c>
    </row>
    <row r="9" spans="1:5" x14ac:dyDescent="0.25">
      <c r="A9" s="32" t="s">
        <v>5</v>
      </c>
      <c r="B9" s="33">
        <v>-107405.11198</v>
      </c>
      <c r="C9" s="33">
        <v>-153106.76276000001</v>
      </c>
      <c r="D9" s="88">
        <f>IF(OR(-107405.11198="",-153106.76276="",-107405.11198=0),"-",-153106.76276/-107405.11198*100)</f>
        <v>142.55072215604611</v>
      </c>
    </row>
    <row r="10" spans="1:5" x14ac:dyDescent="0.25">
      <c r="A10" s="32" t="s">
        <v>415</v>
      </c>
      <c r="B10" s="33">
        <v>-91707.596099999995</v>
      </c>
      <c r="C10" s="33">
        <v>-138251.85595</v>
      </c>
      <c r="D10" s="88" t="s">
        <v>218</v>
      </c>
    </row>
    <row r="11" spans="1:5" x14ac:dyDescent="0.25">
      <c r="A11" s="32" t="s">
        <v>41</v>
      </c>
      <c r="B11" s="33">
        <v>-73200.015950000001</v>
      </c>
      <c r="C11" s="33">
        <v>-79796.683210000003</v>
      </c>
      <c r="D11" s="88">
        <f>IF(OR(-73200.01595="",-79796.68321="",-73200.01595=0),"-",-79796.68321/-73200.01595*100)</f>
        <v>109.01183855548054</v>
      </c>
    </row>
    <row r="12" spans="1:5" x14ac:dyDescent="0.25">
      <c r="A12" s="32" t="s">
        <v>7</v>
      </c>
      <c r="B12" s="33">
        <v>-40020.406660000001</v>
      </c>
      <c r="C12" s="33">
        <v>-75717.467430000004</v>
      </c>
      <c r="D12" s="88" t="s">
        <v>103</v>
      </c>
    </row>
    <row r="13" spans="1:5" x14ac:dyDescent="0.25">
      <c r="A13" s="32" t="s">
        <v>9</v>
      </c>
      <c r="B13" s="33">
        <v>-23725.144660000002</v>
      </c>
      <c r="C13" s="33">
        <v>-40986.11234</v>
      </c>
      <c r="D13" s="88" t="s">
        <v>101</v>
      </c>
    </row>
    <row r="14" spans="1:5" x14ac:dyDescent="0.25">
      <c r="A14" s="32" t="s">
        <v>39</v>
      </c>
      <c r="B14" s="33">
        <v>-43615.635929999997</v>
      </c>
      <c r="C14" s="33">
        <v>-37891.187449999998</v>
      </c>
      <c r="D14" s="88">
        <f>IF(OR(-43615.63593="",-37891.18745="",-43615.63593=0),"-",-37891.18745/-43615.63593*100)</f>
        <v>86.87523784088043</v>
      </c>
    </row>
    <row r="15" spans="1:5" x14ac:dyDescent="0.25">
      <c r="A15" s="32" t="s">
        <v>368</v>
      </c>
      <c r="B15" s="33">
        <v>-15639.642750000001</v>
      </c>
      <c r="C15" s="33">
        <v>-35938.428999999996</v>
      </c>
      <c r="D15" s="88" t="s">
        <v>217</v>
      </c>
    </row>
    <row r="16" spans="1:5" x14ac:dyDescent="0.25">
      <c r="A16" s="32" t="s">
        <v>40</v>
      </c>
      <c r="B16" s="33">
        <v>-29112.47928</v>
      </c>
      <c r="C16" s="33">
        <v>-31476.111690000002</v>
      </c>
      <c r="D16" s="88">
        <f>IF(OR(-29112.47928="",-31476.11169="",-29112.47928=0),"-",-31476.11169/-29112.47928*100)</f>
        <v>108.11896639673624</v>
      </c>
    </row>
    <row r="17" spans="1:4" x14ac:dyDescent="0.25">
      <c r="A17" s="32" t="s">
        <v>51</v>
      </c>
      <c r="B17" s="33">
        <v>-26410.26569</v>
      </c>
      <c r="C17" s="33">
        <v>-29944.042280000001</v>
      </c>
      <c r="D17" s="88">
        <f>IF(OR(-26410.26569="",-29944.04228="",-26410.26569=0),"-",-29944.04228/-26410.26569*100)</f>
        <v>113.38031442575769</v>
      </c>
    </row>
    <row r="18" spans="1:4" x14ac:dyDescent="0.25">
      <c r="A18" s="32" t="s">
        <v>49</v>
      </c>
      <c r="B18" s="33">
        <v>-21776.12962</v>
      </c>
      <c r="C18" s="33">
        <v>-25021.42022</v>
      </c>
      <c r="D18" s="88">
        <f>IF(OR(-21776.12962="",-25021.42022="",-21776.12962=0),"-",-25021.42022/-21776.12962*100)</f>
        <v>114.90297245943744</v>
      </c>
    </row>
    <row r="19" spans="1:4" x14ac:dyDescent="0.25">
      <c r="A19" s="32" t="s">
        <v>43</v>
      </c>
      <c r="B19" s="33">
        <v>-20784.809560000002</v>
      </c>
      <c r="C19" s="33">
        <v>-23207.277819999999</v>
      </c>
      <c r="D19" s="88">
        <f>IF(OR(-20784.80956="",-23207.27782="",-20784.80956=0),"-",-23207.27782/-20784.80956*100)</f>
        <v>111.65499377325061</v>
      </c>
    </row>
    <row r="20" spans="1:4" x14ac:dyDescent="0.25">
      <c r="A20" s="32" t="s">
        <v>47</v>
      </c>
      <c r="B20" s="33">
        <v>-13243.24382</v>
      </c>
      <c r="C20" s="33">
        <v>-15767.968720000001</v>
      </c>
      <c r="D20" s="88">
        <f>IF(OR(-13243.24382="",-15767.96872="",-13243.24382=0),"-",-15767.96872/-13243.24382*100)</f>
        <v>119.0642484146305</v>
      </c>
    </row>
    <row r="21" spans="1:4" x14ac:dyDescent="0.25">
      <c r="A21" s="32" t="s">
        <v>48</v>
      </c>
      <c r="B21" s="33">
        <v>-10762.251990000001</v>
      </c>
      <c r="C21" s="33">
        <v>-13476.752839999999</v>
      </c>
      <c r="D21" s="88">
        <f>IF(OR(-10762.25199="",-13476.75284="",-10762.25199=0),"-",-13476.75284/-10762.25199*100)</f>
        <v>125.2224241963693</v>
      </c>
    </row>
    <row r="22" spans="1:4" x14ac:dyDescent="0.25">
      <c r="A22" s="32" t="s">
        <v>50</v>
      </c>
      <c r="B22" s="33">
        <v>-11390.26117</v>
      </c>
      <c r="C22" s="33">
        <v>-10755.914769999999</v>
      </c>
      <c r="D22" s="88">
        <f>IF(OR(-11390.26117="",-10755.91477="",-11390.26117=0),"-",-10755.91477/-11390.26117*100)</f>
        <v>94.430800220184935</v>
      </c>
    </row>
    <row r="23" spans="1:4" x14ac:dyDescent="0.25">
      <c r="A23" s="32" t="s">
        <v>44</v>
      </c>
      <c r="B23" s="33">
        <v>-5191.9368700000005</v>
      </c>
      <c r="C23" s="33">
        <v>-8773.8070000000007</v>
      </c>
      <c r="D23" s="88" t="s">
        <v>101</v>
      </c>
    </row>
    <row r="24" spans="1:4" x14ac:dyDescent="0.25">
      <c r="A24" s="32" t="s">
        <v>52</v>
      </c>
      <c r="B24" s="33">
        <v>-7020.5472099999997</v>
      </c>
      <c r="C24" s="33">
        <v>-7066.3446400000003</v>
      </c>
      <c r="D24" s="88">
        <f>IF(OR(-7020.54721="",-7066.34464="",-7020.54721=0),"-",-7066.34464/-7020.54721*100)</f>
        <v>100.65233419319178</v>
      </c>
    </row>
    <row r="25" spans="1:4" x14ac:dyDescent="0.25">
      <c r="A25" s="32" t="s">
        <v>42</v>
      </c>
      <c r="B25" s="33">
        <v>-7201.4776000000002</v>
      </c>
      <c r="C25" s="33">
        <v>-6901.8121700000002</v>
      </c>
      <c r="D25" s="88">
        <f>IF(OR(-7201.4776="",-6901.81217="",-7201.4776=0),"-",-6901.81217/-7201.4776*100)</f>
        <v>95.838834102601396</v>
      </c>
    </row>
    <row r="26" spans="1:4" x14ac:dyDescent="0.25">
      <c r="A26" s="32" t="s">
        <v>416</v>
      </c>
      <c r="B26" s="33">
        <v>-3878.8721300000002</v>
      </c>
      <c r="C26" s="33">
        <v>-5676.6184599999997</v>
      </c>
      <c r="D26" s="88">
        <f>IF(OR(-3878.87213="",-5676.61846="",-3878.87213=0),"-",-5676.61846/-3878.87213*100)</f>
        <v>146.34714086334162</v>
      </c>
    </row>
    <row r="27" spans="1:4" x14ac:dyDescent="0.25">
      <c r="A27" s="32" t="s">
        <v>53</v>
      </c>
      <c r="B27" s="33">
        <v>-1515.0994499999999</v>
      </c>
      <c r="C27" s="33">
        <v>-2471.1452399999998</v>
      </c>
      <c r="D27" s="88" t="s">
        <v>102</v>
      </c>
    </row>
    <row r="28" spans="1:4" x14ac:dyDescent="0.25">
      <c r="A28" s="32" t="s">
        <v>45</v>
      </c>
      <c r="B28" s="33">
        <v>1505.0843</v>
      </c>
      <c r="C28" s="33">
        <v>-837.29269999999997</v>
      </c>
      <c r="D28" s="88" t="s">
        <v>21</v>
      </c>
    </row>
    <row r="29" spans="1:4" x14ac:dyDescent="0.25">
      <c r="A29" s="32" t="s">
        <v>417</v>
      </c>
      <c r="B29" s="33">
        <v>-159.03288000000001</v>
      </c>
      <c r="C29" s="33">
        <v>-42.840890000000002</v>
      </c>
      <c r="D29" s="88">
        <f>IF(OR(-159.03288="",-42.84089="",-159.03288=0),"-",-42.84089/-159.03288*100)</f>
        <v>26.938385320067148</v>
      </c>
    </row>
    <row r="30" spans="1:4" x14ac:dyDescent="0.25">
      <c r="A30" s="32" t="s">
        <v>54</v>
      </c>
      <c r="B30" s="33">
        <v>-107.34613</v>
      </c>
      <c r="C30" s="33">
        <v>6.3196099999999999</v>
      </c>
      <c r="D30" s="88" t="s">
        <v>21</v>
      </c>
    </row>
    <row r="31" spans="1:4" x14ac:dyDescent="0.25">
      <c r="A31" s="32" t="s">
        <v>6</v>
      </c>
      <c r="B31" s="33">
        <v>-4551.6273600000004</v>
      </c>
      <c r="C31" s="33">
        <v>550.63939000000005</v>
      </c>
      <c r="D31" s="88" t="s">
        <v>21</v>
      </c>
    </row>
    <row r="32" spans="1:4" x14ac:dyDescent="0.25">
      <c r="A32" s="32" t="s">
        <v>8</v>
      </c>
      <c r="B32" s="33">
        <v>1983.76944</v>
      </c>
      <c r="C32" s="33">
        <v>2587.4683399999999</v>
      </c>
      <c r="D32" s="88">
        <f>IF(OR(1983.76944="",2587.46834="",1983.76944=0),"-",2587.46834/1983.76944*100)</f>
        <v>130.43190845807163</v>
      </c>
    </row>
    <row r="33" spans="1:4" x14ac:dyDescent="0.25">
      <c r="A33" s="32" t="s">
        <v>2</v>
      </c>
      <c r="B33" s="33">
        <v>74742.324859999993</v>
      </c>
      <c r="C33" s="33">
        <v>3480.0660600000001</v>
      </c>
      <c r="D33" s="88">
        <f>IF(OR(74742.32486="",3480.06606="",74742.32486=0),"-",3480.06606/74742.32486*100)</f>
        <v>4.6560848441877063</v>
      </c>
    </row>
    <row r="34" spans="1:4" x14ac:dyDescent="0.25">
      <c r="A34" s="32" t="s">
        <v>46</v>
      </c>
      <c r="B34" s="33">
        <v>9512.6416200000003</v>
      </c>
      <c r="C34" s="33">
        <v>12478.59607</v>
      </c>
      <c r="D34" s="88">
        <f>IF(OR(9512.64162="",12478.59607="",9512.64162=0),"-",12478.59607/9512.64162*100)</f>
        <v>131.17908325027386</v>
      </c>
    </row>
    <row r="35" spans="1:4" x14ac:dyDescent="0.25">
      <c r="A35" s="30" t="s">
        <v>142</v>
      </c>
      <c r="B35" s="31">
        <v>-940759.65547999996</v>
      </c>
      <c r="C35" s="31">
        <v>-1439059.05687</v>
      </c>
      <c r="D35" s="87">
        <f>IF(-940759.65548="","-",-1439059.05687/-940759.65548*100)</f>
        <v>152.9677690244651</v>
      </c>
    </row>
    <row r="36" spans="1:4" x14ac:dyDescent="0.25">
      <c r="A36" s="32" t="s">
        <v>418</v>
      </c>
      <c r="B36" s="33">
        <v>-386690.56342000002</v>
      </c>
      <c r="C36" s="33">
        <v>-777502.42296</v>
      </c>
      <c r="D36" s="88" t="s">
        <v>19</v>
      </c>
    </row>
    <row r="37" spans="1:4" x14ac:dyDescent="0.25">
      <c r="A37" s="32" t="s">
        <v>11</v>
      </c>
      <c r="B37" s="33">
        <v>-457936.88900000002</v>
      </c>
      <c r="C37" s="33">
        <v>-574453.32718000002</v>
      </c>
      <c r="D37" s="88">
        <f>IF(OR(-457936.889="",-574453.32718="",-457936.889=0),"-",-574453.32718/-457936.889*100)</f>
        <v>125.44377641959305</v>
      </c>
    </row>
    <row r="38" spans="1:4" x14ac:dyDescent="0.25">
      <c r="A38" s="32" t="s">
        <v>10</v>
      </c>
      <c r="B38" s="33">
        <v>-47901.346689999998</v>
      </c>
      <c r="C38" s="33">
        <v>-77477.205189999993</v>
      </c>
      <c r="D38" s="88" t="s">
        <v>102</v>
      </c>
    </row>
    <row r="39" spans="1:4" x14ac:dyDescent="0.25">
      <c r="A39" s="32" t="s">
        <v>15</v>
      </c>
      <c r="B39" s="33">
        <v>-1022.5654500000001</v>
      </c>
      <c r="C39" s="33">
        <v>-6642.2025700000004</v>
      </c>
      <c r="D39" s="88" t="s">
        <v>397</v>
      </c>
    </row>
    <row r="40" spans="1:4" x14ac:dyDescent="0.25">
      <c r="A40" s="32" t="s">
        <v>14</v>
      </c>
      <c r="B40" s="33">
        <v>-2629.13222</v>
      </c>
      <c r="C40" s="33">
        <v>-5091.6612999999998</v>
      </c>
      <c r="D40" s="88" t="s">
        <v>103</v>
      </c>
    </row>
    <row r="41" spans="1:4" x14ac:dyDescent="0.25">
      <c r="A41" s="32" t="s">
        <v>12</v>
      </c>
      <c r="B41" s="33">
        <v>-44445.84431</v>
      </c>
      <c r="C41" s="33">
        <v>-1851.94823</v>
      </c>
      <c r="D41" s="88">
        <f>IF(OR(-44445.84431="",-1851.94823="",-44445.84431=0),"-",-1851.94823/-44445.84431*100)</f>
        <v>4.1667522774076868</v>
      </c>
    </row>
    <row r="42" spans="1:4" x14ac:dyDescent="0.25">
      <c r="A42" s="32" t="s">
        <v>16</v>
      </c>
      <c r="B42" s="33">
        <v>328.44123999999999</v>
      </c>
      <c r="C42" s="33">
        <v>47.283659999999998</v>
      </c>
      <c r="D42" s="88">
        <f>IF(OR(328.44124="",47.28366="",328.44124=0),"-",47.28366/328.44124*100)</f>
        <v>14.396383353077097</v>
      </c>
    </row>
    <row r="43" spans="1:4" x14ac:dyDescent="0.25">
      <c r="A43" s="32" t="s">
        <v>17</v>
      </c>
      <c r="B43" s="33">
        <v>293.67174</v>
      </c>
      <c r="C43" s="33">
        <v>255.13069999999999</v>
      </c>
      <c r="D43" s="88">
        <f>IF(OR(293.67174="",255.1307="",293.67174=0),"-",255.1307/293.67174*100)</f>
        <v>86.87614954029965</v>
      </c>
    </row>
    <row r="44" spans="1:4" x14ac:dyDescent="0.25">
      <c r="A44" s="32" t="s">
        <v>369</v>
      </c>
      <c r="B44" s="33">
        <v>334.11851999999999</v>
      </c>
      <c r="C44" s="33">
        <v>773.76507000000004</v>
      </c>
      <c r="D44" s="88" t="s">
        <v>217</v>
      </c>
    </row>
    <row r="45" spans="1:4" x14ac:dyDescent="0.25">
      <c r="A45" s="32" t="s">
        <v>13</v>
      </c>
      <c r="B45" s="33">
        <v>-1089.5458900000001</v>
      </c>
      <c r="C45" s="33">
        <v>2883.5311299999998</v>
      </c>
      <c r="D45" s="88" t="s">
        <v>21</v>
      </c>
    </row>
    <row r="46" spans="1:4" x14ac:dyDescent="0.25">
      <c r="A46" s="30" t="s">
        <v>141</v>
      </c>
      <c r="B46" s="31">
        <v>-1177744.98361</v>
      </c>
      <c r="C46" s="31">
        <v>-1363416.5740499999</v>
      </c>
      <c r="D46" s="87">
        <f>IF(-1177744.98361="","-",-1363416.57405/-1177744.98361*100)</f>
        <v>115.76500796215521</v>
      </c>
    </row>
    <row r="47" spans="1:4" x14ac:dyDescent="0.25">
      <c r="A47" s="32" t="s">
        <v>58</v>
      </c>
      <c r="B47" s="33">
        <v>-633341.97132000001</v>
      </c>
      <c r="C47" s="33">
        <v>-824116.20452999999</v>
      </c>
      <c r="D47" s="88">
        <f>IF(OR(-633341.97132="",-824116.20453="",-633341.97132=0),"-",-824116.20453/-633341.97132*100)</f>
        <v>130.12183651943857</v>
      </c>
    </row>
    <row r="48" spans="1:4" x14ac:dyDescent="0.25">
      <c r="A48" s="32" t="s">
        <v>55</v>
      </c>
      <c r="B48" s="33">
        <v>-216497.58048</v>
      </c>
      <c r="C48" s="33">
        <v>-229704.84138999999</v>
      </c>
      <c r="D48" s="88">
        <f>IF(OR(-216497.58048="",-229704.84139="",-216497.58048=0),"-",-229704.84139/-216497.58048*100)</f>
        <v>106.10041963550722</v>
      </c>
    </row>
    <row r="49" spans="1:5" x14ac:dyDescent="0.25">
      <c r="A49" s="32" t="s">
        <v>18</v>
      </c>
      <c r="B49" s="33">
        <v>-42760.504540000002</v>
      </c>
      <c r="C49" s="33">
        <v>-75666.451459999997</v>
      </c>
      <c r="D49" s="88" t="s">
        <v>207</v>
      </c>
    </row>
    <row r="50" spans="1:5" x14ac:dyDescent="0.25">
      <c r="A50" s="32" t="s">
        <v>74</v>
      </c>
      <c r="B50" s="33">
        <v>-54193.980600000003</v>
      </c>
      <c r="C50" s="33">
        <v>-64233.751040000003</v>
      </c>
      <c r="D50" s="88">
        <f>IF(OR(-54193.9806="",-64233.75104="",-54193.9806=0),"-",-64233.75104/-54193.9806*100)</f>
        <v>118.52561913490445</v>
      </c>
    </row>
    <row r="51" spans="1:5" x14ac:dyDescent="0.25">
      <c r="A51" s="32" t="s">
        <v>35</v>
      </c>
      <c r="B51" s="33">
        <v>-42619.21875</v>
      </c>
      <c r="C51" s="33">
        <v>-56673.628420000001</v>
      </c>
      <c r="D51" s="88">
        <f>IF(OR(-42619.21875="",-56673.62842="",-42619.21875=0),"-",-56673.62842/-42619.21875*100)</f>
        <v>132.97669474525503</v>
      </c>
    </row>
    <row r="52" spans="1:5" x14ac:dyDescent="0.25">
      <c r="A52" s="32" t="s">
        <v>70</v>
      </c>
      <c r="B52" s="33">
        <v>-44018.545910000001</v>
      </c>
      <c r="C52" s="33">
        <v>-52075.597699999998</v>
      </c>
      <c r="D52" s="88">
        <f>IF(OR(-44018.54591="",-52075.5977="",-44018.54591=0),"-",-52075.5977/-44018.54591*100)</f>
        <v>118.30376634083595</v>
      </c>
    </row>
    <row r="53" spans="1:5" x14ac:dyDescent="0.25">
      <c r="A53" s="32" t="s">
        <v>68</v>
      </c>
      <c r="B53" s="33">
        <v>-39463.964899999999</v>
      </c>
      <c r="C53" s="33">
        <v>-46303.783459999999</v>
      </c>
      <c r="D53" s="88">
        <f>IF(OR(-39463.9649="",-46303.78346="",-39463.9649=0),"-",-46303.78346/-39463.9649*100)</f>
        <v>117.33180783363204</v>
      </c>
    </row>
    <row r="54" spans="1:5" x14ac:dyDescent="0.25">
      <c r="A54" s="32" t="s">
        <v>370</v>
      </c>
      <c r="B54" s="33">
        <v>-16517.01683</v>
      </c>
      <c r="C54" s="33">
        <v>-22397.510839999999</v>
      </c>
      <c r="D54" s="88">
        <f>IF(OR(-16517.01683="",-22397.51084="",-16517.01683=0),"-",-22397.51084/-16517.01683*100)</f>
        <v>135.60263981398387</v>
      </c>
    </row>
    <row r="55" spans="1:5" x14ac:dyDescent="0.25">
      <c r="A55" s="32" t="s">
        <v>77</v>
      </c>
      <c r="B55" s="33">
        <v>-19563.713339999998</v>
      </c>
      <c r="C55" s="33">
        <v>-22089.678500000002</v>
      </c>
      <c r="D55" s="88">
        <f>IF(OR(-19563.71334="",-22089.6785="",-19563.71334=0),"-",-22089.6785/-19563.71334*100)</f>
        <v>112.91148114931437</v>
      </c>
    </row>
    <row r="56" spans="1:5" x14ac:dyDescent="0.25">
      <c r="A56" s="32" t="s">
        <v>79</v>
      </c>
      <c r="B56" s="33">
        <v>-4095.70784</v>
      </c>
      <c r="C56" s="33">
        <v>-16038.588400000001</v>
      </c>
      <c r="D56" s="88" t="s">
        <v>391</v>
      </c>
    </row>
    <row r="57" spans="1:5" x14ac:dyDescent="0.25">
      <c r="A57" s="32" t="s">
        <v>80</v>
      </c>
      <c r="B57" s="33">
        <v>-9833.7157599999991</v>
      </c>
      <c r="C57" s="33">
        <v>-13938.69608</v>
      </c>
      <c r="D57" s="88">
        <f>IF(OR(-9833.71576="",-13938.69608="",-9833.71576=0),"-",-13938.69608/-9833.71576*100)</f>
        <v>141.74393911910263</v>
      </c>
    </row>
    <row r="58" spans="1:5" x14ac:dyDescent="0.25">
      <c r="A58" s="32" t="s">
        <v>76</v>
      </c>
      <c r="B58" s="33">
        <v>-8799.2630399999998</v>
      </c>
      <c r="C58" s="33">
        <v>-12226.293449999999</v>
      </c>
      <c r="D58" s="88">
        <f>IF(OR(-8799.26304="",-12226.29345="",-8799.26304=0),"-",-12226.29345/-8799.26304*100)</f>
        <v>138.94678900291177</v>
      </c>
    </row>
    <row r="59" spans="1:5" x14ac:dyDescent="0.25">
      <c r="A59" s="32" t="s">
        <v>72</v>
      </c>
      <c r="B59" s="33">
        <v>-9532.3740099999995</v>
      </c>
      <c r="C59" s="33">
        <v>-11151.256719999999</v>
      </c>
      <c r="D59" s="88">
        <f>IF(OR(-9532.37401="",-11151.25672="",-9532.37401=0),"-",-11151.25672/-9532.37401*100)</f>
        <v>116.98299613823062</v>
      </c>
    </row>
    <row r="60" spans="1:5" x14ac:dyDescent="0.25">
      <c r="A60" s="32" t="s">
        <v>60</v>
      </c>
      <c r="B60" s="33">
        <v>-10869.796130000001</v>
      </c>
      <c r="C60" s="33">
        <v>-10556.936680000001</v>
      </c>
      <c r="D60" s="88">
        <f>IF(OR(-10869.79613="",-10556.93668="",-10869.79613=0),"-",-10556.93668/-10869.79613*100)</f>
        <v>97.121754205338533</v>
      </c>
      <c r="E60" s="1"/>
    </row>
    <row r="61" spans="1:5" x14ac:dyDescent="0.25">
      <c r="A61" s="32" t="s">
        <v>81</v>
      </c>
      <c r="B61" s="33">
        <v>-9250.2698899999996</v>
      </c>
      <c r="C61" s="33">
        <v>-9686.5418499999996</v>
      </c>
      <c r="D61" s="88">
        <f>IF(OR(-9250.26989="",-9686.54185="",-9250.26989=0),"-",-9686.54185/-9250.26989*100)</f>
        <v>104.71631601226719</v>
      </c>
    </row>
    <row r="62" spans="1:5" x14ac:dyDescent="0.25">
      <c r="A62" s="32" t="s">
        <v>69</v>
      </c>
      <c r="B62" s="33">
        <v>-10588.866609999999</v>
      </c>
      <c r="C62" s="33">
        <v>-9123.6215499999998</v>
      </c>
      <c r="D62" s="88">
        <f>IF(OR(-10588.86661="",-9123.62155="",-10588.86661=0),"-",-9123.62155/-10588.86661*100)</f>
        <v>86.16239949026992</v>
      </c>
    </row>
    <row r="63" spans="1:5" x14ac:dyDescent="0.25">
      <c r="A63" s="32" t="s">
        <v>82</v>
      </c>
      <c r="B63" s="33">
        <v>-6249.4882299999999</v>
      </c>
      <c r="C63" s="33">
        <v>-7792.4092000000001</v>
      </c>
      <c r="D63" s="88">
        <f>IF(OR(-6249.48823="",-7792.4092="",-6249.48823=0),"-",-7792.4092/-6249.48823*100)</f>
        <v>124.68875711443657</v>
      </c>
    </row>
    <row r="64" spans="1:5" x14ac:dyDescent="0.25">
      <c r="A64" s="32" t="s">
        <v>83</v>
      </c>
      <c r="B64" s="33">
        <v>-4391.1367099999998</v>
      </c>
      <c r="C64" s="33">
        <v>-6198.4472900000001</v>
      </c>
      <c r="D64" s="88">
        <f>IF(OR(-4391.13671="",-6198.44729="",-4391.13671=0),"-",-6198.44729/-4391.13671*100)</f>
        <v>141.1581487746484</v>
      </c>
    </row>
    <row r="65" spans="1:5" x14ac:dyDescent="0.25">
      <c r="A65" s="32" t="s">
        <v>65</v>
      </c>
      <c r="B65" s="33">
        <v>-24657.038759999999</v>
      </c>
      <c r="C65" s="33">
        <v>-5575.8064800000002</v>
      </c>
      <c r="D65" s="88">
        <f>IF(OR(-24657.03876="",-5575.80648="",-24657.03876=0),"-",-5575.80648/-24657.03876*100)</f>
        <v>22.613447357861073</v>
      </c>
    </row>
    <row r="66" spans="1:5" x14ac:dyDescent="0.25">
      <c r="A66" s="32" t="s">
        <v>62</v>
      </c>
      <c r="B66" s="33">
        <v>-6419.07035</v>
      </c>
      <c r="C66" s="33">
        <v>-5088.4981200000002</v>
      </c>
      <c r="D66" s="88">
        <f>IF(OR(-6419.07035="",-5088.49812="",-6419.07035=0),"-",-5088.49812/-6419.07035*100)</f>
        <v>79.271574270875533</v>
      </c>
    </row>
    <row r="67" spans="1:5" x14ac:dyDescent="0.25">
      <c r="A67" s="32" t="s">
        <v>71</v>
      </c>
      <c r="B67" s="33">
        <v>-2085.74811</v>
      </c>
      <c r="C67" s="33">
        <v>-4722.3595800000003</v>
      </c>
      <c r="D67" s="88" t="s">
        <v>217</v>
      </c>
      <c r="E67" s="1"/>
    </row>
    <row r="68" spans="1:5" x14ac:dyDescent="0.25">
      <c r="A68" s="32" t="s">
        <v>78</v>
      </c>
      <c r="B68" s="33">
        <v>-4490.1569099999997</v>
      </c>
      <c r="C68" s="33">
        <v>-4412.9279900000001</v>
      </c>
      <c r="D68" s="88">
        <f>IF(OR(-4490.15691="",-4412.92799="",-4490.15691=0),"-",-4412.92799/-4490.15691*100)</f>
        <v>98.280039616700179</v>
      </c>
    </row>
    <row r="69" spans="1:5" x14ac:dyDescent="0.25">
      <c r="A69" s="32" t="s">
        <v>38</v>
      </c>
      <c r="B69" s="33">
        <v>-1636.28809</v>
      </c>
      <c r="C69" s="33">
        <v>-3873.8501000000001</v>
      </c>
      <c r="D69" s="88" t="s">
        <v>303</v>
      </c>
    </row>
    <row r="70" spans="1:5" x14ac:dyDescent="0.25">
      <c r="A70" s="32" t="s">
        <v>87</v>
      </c>
      <c r="B70" s="33">
        <v>-1586.29097</v>
      </c>
      <c r="C70" s="33">
        <v>-3077.2527799999998</v>
      </c>
      <c r="D70" s="88" t="s">
        <v>103</v>
      </c>
    </row>
    <row r="71" spans="1:5" x14ac:dyDescent="0.25">
      <c r="A71" s="32" t="s">
        <v>86</v>
      </c>
      <c r="B71" s="33">
        <v>-2076.1027800000002</v>
      </c>
      <c r="C71" s="33">
        <v>-2921.3006300000002</v>
      </c>
      <c r="D71" s="88">
        <f>IF(OR(-2076.10278="",-2921.30063="",-2076.10278=0),"-",-2921.30063/-2076.10278*100)</f>
        <v>140.71079033958037</v>
      </c>
    </row>
    <row r="72" spans="1:5" x14ac:dyDescent="0.25">
      <c r="A72" s="32" t="s">
        <v>85</v>
      </c>
      <c r="B72" s="33">
        <v>-2288.0186600000002</v>
      </c>
      <c r="C72" s="33">
        <v>-2838.3814699999998</v>
      </c>
      <c r="D72" s="88">
        <f>IF(OR(-2288.01866="",-2838.38147="",-2288.01866=0),"-",-2838.38147/-2288.01866*100)</f>
        <v>124.05412244321468</v>
      </c>
    </row>
    <row r="73" spans="1:5" x14ac:dyDescent="0.25">
      <c r="A73" s="32" t="s">
        <v>128</v>
      </c>
      <c r="B73" s="33">
        <v>-4584.4495500000003</v>
      </c>
      <c r="C73" s="33">
        <v>-2458.3653399999998</v>
      </c>
      <c r="D73" s="88">
        <f>IF(OR(-4584.44955="",-2458.36534="",-4584.44955=0),"-",-2458.36534/-4584.44955*100)</f>
        <v>53.624002471572616</v>
      </c>
    </row>
    <row r="74" spans="1:5" x14ac:dyDescent="0.25">
      <c r="A74" s="32" t="s">
        <v>386</v>
      </c>
      <c r="B74" s="33">
        <v>-2588.7758800000001</v>
      </c>
      <c r="C74" s="33">
        <v>-2339.1969800000002</v>
      </c>
      <c r="D74" s="88">
        <f>IF(OR(-2588.77588="",-2339.19698="",-2588.77588=0),"-",-2339.19698/-2588.77588*100)</f>
        <v>90.3591924689904</v>
      </c>
    </row>
    <row r="75" spans="1:5" x14ac:dyDescent="0.25">
      <c r="A75" s="32" t="s">
        <v>84</v>
      </c>
      <c r="B75" s="33">
        <v>-3410.3379</v>
      </c>
      <c r="C75" s="33">
        <v>-1901.6678999999999</v>
      </c>
      <c r="D75" s="88">
        <f>IF(OR(-3410.3379="",-1901.6679="",-3410.3379=0),"-",-1901.6679/-3410.3379*100)</f>
        <v>55.761861603215323</v>
      </c>
      <c r="E75" s="10"/>
    </row>
    <row r="76" spans="1:5" x14ac:dyDescent="0.25">
      <c r="A76" s="32" t="s">
        <v>95</v>
      </c>
      <c r="B76" s="33">
        <v>-1268.1539499999999</v>
      </c>
      <c r="C76" s="33">
        <v>-1858.8624500000001</v>
      </c>
      <c r="D76" s="88">
        <f>IF(OR(-1268.15395="",-1858.86245="",-1268.15395=0),"-",-1858.86245/-1268.15395*100)</f>
        <v>146.58018847001978</v>
      </c>
    </row>
    <row r="77" spans="1:5" x14ac:dyDescent="0.25">
      <c r="A77" s="32" t="s">
        <v>350</v>
      </c>
      <c r="B77" s="33">
        <v>-579.07420000000002</v>
      </c>
      <c r="C77" s="33">
        <v>-1584.89786</v>
      </c>
      <c r="D77" s="88" t="s">
        <v>302</v>
      </c>
    </row>
    <row r="78" spans="1:5" x14ac:dyDescent="0.25">
      <c r="A78" s="32" t="s">
        <v>347</v>
      </c>
      <c r="B78" s="33">
        <v>-459.87151999999998</v>
      </c>
      <c r="C78" s="33">
        <v>-1551.09926</v>
      </c>
      <c r="D78" s="88" t="s">
        <v>355</v>
      </c>
    </row>
    <row r="79" spans="1:5" x14ac:dyDescent="0.25">
      <c r="A79" s="32" t="s">
        <v>145</v>
      </c>
      <c r="B79" s="33">
        <v>-1134.02755</v>
      </c>
      <c r="C79" s="33">
        <v>-1496.51133</v>
      </c>
      <c r="D79" s="88">
        <f>IF(OR(-1134.02755="",-1496.51133="",-1134.02755=0),"-",-1496.51133/-1134.02755*100)</f>
        <v>131.96428340740047</v>
      </c>
    </row>
    <row r="80" spans="1:5" x14ac:dyDescent="0.25">
      <c r="A80" s="32" t="s">
        <v>91</v>
      </c>
      <c r="B80" s="33">
        <v>-400.10865000000001</v>
      </c>
      <c r="C80" s="33">
        <v>-1246.9903200000001</v>
      </c>
      <c r="D80" s="88" t="s">
        <v>367</v>
      </c>
    </row>
    <row r="81" spans="1:5" x14ac:dyDescent="0.25">
      <c r="A81" s="32" t="s">
        <v>89</v>
      </c>
      <c r="B81" s="33">
        <v>-2183.15146</v>
      </c>
      <c r="C81" s="33">
        <v>-1082.0156500000001</v>
      </c>
      <c r="D81" s="88">
        <f>IF(OR(-2183.15146="",-1082.01565="",-2183.15146=0),"-",-1082.01565/-2183.15146*100)</f>
        <v>49.562097262825731</v>
      </c>
    </row>
    <row r="82" spans="1:5" x14ac:dyDescent="0.25">
      <c r="A82" s="32" t="s">
        <v>37</v>
      </c>
      <c r="B82" s="33">
        <v>-1029.4744800000001</v>
      </c>
      <c r="C82" s="33">
        <v>-852.92026999999996</v>
      </c>
      <c r="D82" s="88">
        <f>IF(OR(-1029.47448="",-852.92027="",-1029.47448=0),"-",-852.92027/-1029.47448*100)</f>
        <v>82.850064432874518</v>
      </c>
    </row>
    <row r="83" spans="1:5" x14ac:dyDescent="0.25">
      <c r="A83" s="32" t="s">
        <v>64</v>
      </c>
      <c r="B83" s="33">
        <v>-1534.6862799999999</v>
      </c>
      <c r="C83" s="33">
        <v>-822.06137999999999</v>
      </c>
      <c r="D83" s="88">
        <f>IF(OR(-1534.68628="",-822.06138="",-1534.68628=0),"-",-822.06138/-1534.68628*100)</f>
        <v>53.565434884841743</v>
      </c>
    </row>
    <row r="84" spans="1:5" x14ac:dyDescent="0.25">
      <c r="A84" s="32" t="s">
        <v>96</v>
      </c>
      <c r="B84" s="33">
        <v>-308.28321999999997</v>
      </c>
      <c r="C84" s="33">
        <v>-666.78141000000005</v>
      </c>
      <c r="D84" s="88" t="s">
        <v>206</v>
      </c>
    </row>
    <row r="85" spans="1:5" x14ac:dyDescent="0.25">
      <c r="A85" s="32" t="s">
        <v>122</v>
      </c>
      <c r="B85" s="33">
        <v>4505.0389699999996</v>
      </c>
      <c r="C85" s="33">
        <v>-651.74365999999998</v>
      </c>
      <c r="D85" s="88" t="s">
        <v>21</v>
      </c>
    </row>
    <row r="86" spans="1:5" x14ac:dyDescent="0.25">
      <c r="A86" s="32" t="s">
        <v>90</v>
      </c>
      <c r="B86" s="33">
        <v>-625.68601999999998</v>
      </c>
      <c r="C86" s="33">
        <v>-627.43295000000001</v>
      </c>
      <c r="D86" s="88">
        <f>IF(OR(-625.68602="",-627.43295="",-625.68602=0),"-",-627.43295/-625.68602*100)</f>
        <v>100.2792023385787</v>
      </c>
    </row>
    <row r="87" spans="1:5" x14ac:dyDescent="0.25">
      <c r="A87" s="32" t="s">
        <v>221</v>
      </c>
      <c r="B87" s="33">
        <v>-119.00731</v>
      </c>
      <c r="C87" s="33">
        <v>-524.04486999999995</v>
      </c>
      <c r="D87" s="88" t="s">
        <v>398</v>
      </c>
    </row>
    <row r="88" spans="1:5" x14ac:dyDescent="0.25">
      <c r="A88" s="32" t="s">
        <v>92</v>
      </c>
      <c r="B88" s="33">
        <v>-417.05801000000002</v>
      </c>
      <c r="C88" s="33">
        <v>-404.58166</v>
      </c>
      <c r="D88" s="88">
        <f>IF(OR(-417.05801="",-404.58166="",-417.05801=0),"-",-404.58166/-417.05801*100)</f>
        <v>97.008485702024998</v>
      </c>
    </row>
    <row r="89" spans="1:5" x14ac:dyDescent="0.25">
      <c r="A89" s="32" t="s">
        <v>327</v>
      </c>
      <c r="B89" s="33">
        <v>-20.653729999999999</v>
      </c>
      <c r="C89" s="33">
        <v>-352.51699000000002</v>
      </c>
      <c r="D89" s="88" t="s">
        <v>392</v>
      </c>
    </row>
    <row r="90" spans="1:5" x14ac:dyDescent="0.25">
      <c r="A90" s="32" t="s">
        <v>129</v>
      </c>
      <c r="B90" s="33">
        <v>-1283.6922300000001</v>
      </c>
      <c r="C90" s="33">
        <v>-349.22469999999998</v>
      </c>
      <c r="D90" s="88">
        <f>IF(OR(-1283.69223="",-349.2247="",-1283.69223=0),"-",-349.2247/-1283.69223*100)</f>
        <v>27.204706224637658</v>
      </c>
    </row>
    <row r="91" spans="1:5" x14ac:dyDescent="0.25">
      <c r="A91" s="32" t="s">
        <v>330</v>
      </c>
      <c r="B91" s="33">
        <v>22.872900000000001</v>
      </c>
      <c r="C91" s="33">
        <v>-316.37398999999999</v>
      </c>
      <c r="D91" s="88" t="s">
        <v>21</v>
      </c>
    </row>
    <row r="92" spans="1:5" x14ac:dyDescent="0.25">
      <c r="A92" s="32" t="s">
        <v>109</v>
      </c>
      <c r="B92" s="33">
        <v>-510.06297999999998</v>
      </c>
      <c r="C92" s="33">
        <v>-224.34120999999999</v>
      </c>
      <c r="D92" s="88">
        <f>IF(OR(-510.06298="",-224.34121="",-510.06298=0),"-",-224.34121/-510.06298*100)</f>
        <v>43.983041074653173</v>
      </c>
    </row>
    <row r="93" spans="1:5" x14ac:dyDescent="0.25">
      <c r="A93" s="32" t="s">
        <v>132</v>
      </c>
      <c r="B93" s="76">
        <v>-210.36138</v>
      </c>
      <c r="C93" s="76">
        <v>-192.24930000000001</v>
      </c>
      <c r="D93" s="88">
        <f>IF(OR(-210.36138="",-192.2493="",-210.36138=0),"-",-192.2493/-210.36138*100)</f>
        <v>91.390016551517206</v>
      </c>
    </row>
    <row r="94" spans="1:5" x14ac:dyDescent="0.25">
      <c r="A94" s="32" t="s">
        <v>138</v>
      </c>
      <c r="B94" s="33">
        <v>-129.56075999999999</v>
      </c>
      <c r="C94" s="33">
        <v>-182.97601</v>
      </c>
      <c r="D94" s="88">
        <f>IF(OR(-129.56076="",-182.97601="",-129.56076=0),"-",-182.97601/-129.56076*100)</f>
        <v>141.22795358718182</v>
      </c>
    </row>
    <row r="95" spans="1:5" x14ac:dyDescent="0.25">
      <c r="A95" s="32" t="s">
        <v>323</v>
      </c>
      <c r="B95" s="33">
        <v>-424.96280000000002</v>
      </c>
      <c r="C95" s="33">
        <v>-171.05193</v>
      </c>
      <c r="D95" s="88">
        <f>IF(OR(-424.9628="",-171.05193="",-424.9628=0),"-",-171.05193/-424.9628*100)</f>
        <v>40.251036090688409</v>
      </c>
      <c r="E95" s="10"/>
    </row>
    <row r="96" spans="1:5" x14ac:dyDescent="0.25">
      <c r="A96" s="32" t="s">
        <v>212</v>
      </c>
      <c r="B96" s="33">
        <v>-24.27074</v>
      </c>
      <c r="C96" s="33">
        <v>-163.99921000000001</v>
      </c>
      <c r="D96" s="88" t="s">
        <v>394</v>
      </c>
    </row>
    <row r="97" spans="1:5" x14ac:dyDescent="0.25">
      <c r="A97" s="32" t="s">
        <v>336</v>
      </c>
      <c r="B97" s="33">
        <v>-82.228340000000003</v>
      </c>
      <c r="C97" s="33">
        <v>-158.08321000000001</v>
      </c>
      <c r="D97" s="88" t="s">
        <v>103</v>
      </c>
      <c r="E97" s="9"/>
    </row>
    <row r="98" spans="1:5" x14ac:dyDescent="0.25">
      <c r="A98" s="32" t="s">
        <v>222</v>
      </c>
      <c r="B98" s="33">
        <v>-33.153170000000003</v>
      </c>
      <c r="C98" s="33">
        <v>-114.34389</v>
      </c>
      <c r="D98" s="88" t="s">
        <v>355</v>
      </c>
    </row>
    <row r="99" spans="1:5" x14ac:dyDescent="0.25">
      <c r="A99" s="32" t="s">
        <v>313</v>
      </c>
      <c r="B99" s="33">
        <v>-18.20711</v>
      </c>
      <c r="C99" s="33">
        <v>-100.32586999999999</v>
      </c>
      <c r="D99" s="88" t="s">
        <v>399</v>
      </c>
      <c r="E99" s="9"/>
    </row>
    <row r="100" spans="1:5" x14ac:dyDescent="0.25">
      <c r="A100" s="32" t="s">
        <v>351</v>
      </c>
      <c r="B100" s="33">
        <v>-98.105419999999995</v>
      </c>
      <c r="C100" s="33">
        <v>-97.997630000000001</v>
      </c>
      <c r="D100" s="88">
        <f>IF(OR(-98.10542="",-97.99763="",-98.10542=0),"-",-97.99763/-98.10542*100)</f>
        <v>99.890128394537228</v>
      </c>
      <c r="E100" s="1"/>
    </row>
    <row r="101" spans="1:5" x14ac:dyDescent="0.25">
      <c r="A101" s="32" t="s">
        <v>130</v>
      </c>
      <c r="B101" s="33">
        <v>-82.375470000000007</v>
      </c>
      <c r="C101" s="33">
        <v>-96.971540000000005</v>
      </c>
      <c r="D101" s="88">
        <f>IF(OR(-82.37547="",-96.97154="",-82.37547=0),"-",-96.97154/-82.37547*100)</f>
        <v>117.71895201326316</v>
      </c>
    </row>
    <row r="102" spans="1:5" x14ac:dyDescent="0.25">
      <c r="A102" s="32" t="s">
        <v>314</v>
      </c>
      <c r="B102" s="33">
        <v>-132.25442000000001</v>
      </c>
      <c r="C102" s="33">
        <v>-95.878839999999997</v>
      </c>
      <c r="D102" s="88">
        <f>IF(OR(-132.25442="",-95.87884="",-132.25442=0),"-",-95.87884/-132.25442*100)</f>
        <v>72.495754773262007</v>
      </c>
    </row>
    <row r="103" spans="1:5" x14ac:dyDescent="0.25">
      <c r="A103" s="32" t="s">
        <v>66</v>
      </c>
      <c r="B103" s="33">
        <v>1642.8100999999999</v>
      </c>
      <c r="C103" s="33">
        <v>-93.175470000000004</v>
      </c>
      <c r="D103" s="88" t="s">
        <v>21</v>
      </c>
    </row>
    <row r="104" spans="1:5" x14ac:dyDescent="0.25">
      <c r="A104" s="32" t="s">
        <v>387</v>
      </c>
      <c r="B104" s="33">
        <v>-205.14183</v>
      </c>
      <c r="C104" s="33">
        <v>-92.999080000000006</v>
      </c>
      <c r="D104" s="88">
        <f>IF(OR(-205.14183="",-92.99908="",-205.14183=0),"-",-92.99908/-205.14183*100)</f>
        <v>45.334040356371986</v>
      </c>
      <c r="E104" s="10"/>
    </row>
    <row r="105" spans="1:5" x14ac:dyDescent="0.25">
      <c r="A105" s="32" t="s">
        <v>205</v>
      </c>
      <c r="B105" s="33">
        <v>-141.60894999999999</v>
      </c>
      <c r="C105" s="33">
        <v>-88.513949999999994</v>
      </c>
      <c r="D105" s="88">
        <f>IF(OR(-141.60895="",-88.51395="",-141.60895=0),"-",-88.51395/-141.60895*100)</f>
        <v>62.505900933521509</v>
      </c>
      <c r="E105" s="8"/>
    </row>
    <row r="106" spans="1:5" x14ac:dyDescent="0.25">
      <c r="A106" s="32" t="s">
        <v>324</v>
      </c>
      <c r="B106" s="33">
        <v>-1.9184399999999999</v>
      </c>
      <c r="C106" s="33">
        <v>-78.3887</v>
      </c>
      <c r="D106" s="88" t="s">
        <v>400</v>
      </c>
    </row>
    <row r="107" spans="1:5" x14ac:dyDescent="0.25">
      <c r="A107" s="32" t="s">
        <v>317</v>
      </c>
      <c r="B107" s="33">
        <v>-34.112189999999998</v>
      </c>
      <c r="C107" s="33">
        <v>-75.008480000000006</v>
      </c>
      <c r="D107" s="88" t="s">
        <v>206</v>
      </c>
    </row>
    <row r="108" spans="1:5" x14ac:dyDescent="0.25">
      <c r="A108" s="32" t="s">
        <v>326</v>
      </c>
      <c r="B108" s="33">
        <v>-68.532439999999994</v>
      </c>
      <c r="C108" s="33">
        <v>-73.457329999999999</v>
      </c>
      <c r="D108" s="88">
        <f>IF(OR(-68.53244="",-73.45733="",-68.53244=0),"-",-73.45733/-68.53244*100)</f>
        <v>107.18621721333723</v>
      </c>
    </row>
    <row r="109" spans="1:5" x14ac:dyDescent="0.25">
      <c r="A109" s="32" t="s">
        <v>325</v>
      </c>
      <c r="B109" s="33">
        <v>-18.305260000000001</v>
      </c>
      <c r="C109" s="33">
        <v>-62.371220000000001</v>
      </c>
      <c r="D109" s="88" t="s">
        <v>355</v>
      </c>
    </row>
    <row r="110" spans="1:5" x14ac:dyDescent="0.25">
      <c r="A110" s="32" t="s">
        <v>328</v>
      </c>
      <c r="B110" s="33">
        <v>-40.428690000000003</v>
      </c>
      <c r="C110" s="33">
        <v>-51.248860000000001</v>
      </c>
      <c r="D110" s="88">
        <f>IF(OR(-40.42869="",-51.24886="",-40.42869=0),"-",-51.24886/-40.42869*100)</f>
        <v>126.76359288416221</v>
      </c>
    </row>
    <row r="111" spans="1:5" x14ac:dyDescent="0.25">
      <c r="A111" s="32" t="s">
        <v>331</v>
      </c>
      <c r="B111" s="33">
        <v>-6.1569599999999998</v>
      </c>
      <c r="C111" s="33">
        <v>-48.161099999999998</v>
      </c>
      <c r="D111" s="88" t="s">
        <v>332</v>
      </c>
    </row>
    <row r="112" spans="1:5" x14ac:dyDescent="0.25">
      <c r="A112" s="32" t="s">
        <v>329</v>
      </c>
      <c r="B112" s="33">
        <v>6.1306700000000003</v>
      </c>
      <c r="C112" s="33">
        <v>-40.399430000000002</v>
      </c>
      <c r="D112" s="88" t="s">
        <v>21</v>
      </c>
    </row>
    <row r="113" spans="1:4" x14ac:dyDescent="0.25">
      <c r="A113" s="32" t="s">
        <v>364</v>
      </c>
      <c r="B113" s="33">
        <v>-12.67183</v>
      </c>
      <c r="C113" s="33">
        <v>-38.776969999999999</v>
      </c>
      <c r="D113" s="88" t="s">
        <v>367</v>
      </c>
    </row>
    <row r="114" spans="1:4" x14ac:dyDescent="0.25">
      <c r="A114" s="32" t="s">
        <v>395</v>
      </c>
      <c r="B114" s="33" t="s">
        <v>419</v>
      </c>
      <c r="C114" s="33">
        <v>32.707329999999999</v>
      </c>
      <c r="D114" s="88" t="str">
        <f>IF(OR(0="",32.70733="",0=0),"-",32.70733/0*100)</f>
        <v>-</v>
      </c>
    </row>
    <row r="115" spans="1:4" x14ac:dyDescent="0.25">
      <c r="A115" s="32" t="s">
        <v>365</v>
      </c>
      <c r="B115" s="33">
        <v>27.193049999999999</v>
      </c>
      <c r="C115" s="33">
        <v>36.26829</v>
      </c>
      <c r="D115" s="88">
        <f>IF(OR(27.19305="",36.26829="",27.19305=0),"-",36.26829/27.19305*100)</f>
        <v>133.37338033063594</v>
      </c>
    </row>
    <row r="116" spans="1:4" x14ac:dyDescent="0.25">
      <c r="A116" s="32" t="s">
        <v>366</v>
      </c>
      <c r="B116" s="33" t="s">
        <v>419</v>
      </c>
      <c r="C116" s="33">
        <v>39.34469</v>
      </c>
      <c r="D116" s="88" t="str">
        <f>IF(OR(0="",39.34469="",0=0),"-",39.34469/0*100)</f>
        <v>-</v>
      </c>
    </row>
    <row r="117" spans="1:4" x14ac:dyDescent="0.25">
      <c r="A117" s="32" t="s">
        <v>396</v>
      </c>
      <c r="B117" s="76">
        <v>19.263000000000002</v>
      </c>
      <c r="C117" s="33">
        <v>42.335999999999999</v>
      </c>
      <c r="D117" s="88" t="s">
        <v>206</v>
      </c>
    </row>
    <row r="118" spans="1:4" x14ac:dyDescent="0.25">
      <c r="A118" s="32" t="s">
        <v>318</v>
      </c>
      <c r="B118" s="33">
        <v>24.012</v>
      </c>
      <c r="C118" s="33">
        <v>46.496389999999998</v>
      </c>
      <c r="D118" s="88" t="s">
        <v>103</v>
      </c>
    </row>
    <row r="119" spans="1:4" x14ac:dyDescent="0.25">
      <c r="A119" s="32" t="s">
        <v>300</v>
      </c>
      <c r="B119" s="33">
        <v>92.674549999999996</v>
      </c>
      <c r="C119" s="33">
        <v>49.106670000000001</v>
      </c>
      <c r="D119" s="88">
        <f>IF(OR(92.67455="",49.10667="",92.67455=0),"-",49.10667/92.67455*100)</f>
        <v>52.988301534779517</v>
      </c>
    </row>
    <row r="120" spans="1:4" x14ac:dyDescent="0.25">
      <c r="A120" s="32" t="s">
        <v>357</v>
      </c>
      <c r="B120" s="33">
        <v>39.386719999999997</v>
      </c>
      <c r="C120" s="33">
        <v>49.647939999999998</v>
      </c>
      <c r="D120" s="88">
        <f>IF(OR(39.38672="",49.64794="",39.38672=0),"-",49.64794/39.38672*100)</f>
        <v>126.05248672649057</v>
      </c>
    </row>
    <row r="121" spans="1:4" x14ac:dyDescent="0.25">
      <c r="A121" s="32" t="s">
        <v>319</v>
      </c>
      <c r="B121" s="76">
        <v>27.49258</v>
      </c>
      <c r="C121" s="33">
        <v>61.161009999999997</v>
      </c>
      <c r="D121" s="88" t="s">
        <v>206</v>
      </c>
    </row>
    <row r="122" spans="1:4" x14ac:dyDescent="0.25">
      <c r="A122" s="32" t="s">
        <v>333</v>
      </c>
      <c r="B122" s="33">
        <v>-4.7386699999999999</v>
      </c>
      <c r="C122" s="33">
        <v>65.383170000000007</v>
      </c>
      <c r="D122" s="88" t="s">
        <v>21</v>
      </c>
    </row>
    <row r="123" spans="1:4" x14ac:dyDescent="0.25">
      <c r="A123" s="32" t="s">
        <v>99</v>
      </c>
      <c r="B123" s="33">
        <v>-336.81117999999998</v>
      </c>
      <c r="C123" s="33">
        <v>92.687139999999999</v>
      </c>
      <c r="D123" s="88" t="s">
        <v>21</v>
      </c>
    </row>
    <row r="124" spans="1:4" x14ac:dyDescent="0.25">
      <c r="A124" s="32" t="s">
        <v>372</v>
      </c>
      <c r="B124" s="33">
        <v>21.72973</v>
      </c>
      <c r="C124" s="33">
        <v>96.795190000000005</v>
      </c>
      <c r="D124" s="88" t="s">
        <v>401</v>
      </c>
    </row>
    <row r="125" spans="1:4" x14ac:dyDescent="0.25">
      <c r="A125" s="32" t="s">
        <v>88</v>
      </c>
      <c r="B125" s="76">
        <v>-416.20021000000003</v>
      </c>
      <c r="C125" s="33">
        <v>109.07228000000001</v>
      </c>
      <c r="D125" s="88" t="s">
        <v>21</v>
      </c>
    </row>
    <row r="126" spans="1:4" x14ac:dyDescent="0.25">
      <c r="A126" s="32" t="s">
        <v>219</v>
      </c>
      <c r="B126" s="33">
        <v>359.51620000000003</v>
      </c>
      <c r="C126" s="33">
        <v>132.14837</v>
      </c>
      <c r="D126" s="88">
        <f>IF(OR(359.5162="",132.14837="",359.5162=0),"-",132.14837/359.5162*100)</f>
        <v>36.757278253386076</v>
      </c>
    </row>
    <row r="127" spans="1:4" x14ac:dyDescent="0.25">
      <c r="A127" s="32" t="s">
        <v>320</v>
      </c>
      <c r="B127" s="33">
        <v>-132.44779</v>
      </c>
      <c r="C127" s="33">
        <v>152.63958</v>
      </c>
      <c r="D127" s="88" t="s">
        <v>21</v>
      </c>
    </row>
    <row r="128" spans="1:4" x14ac:dyDescent="0.25">
      <c r="A128" s="32" t="s">
        <v>216</v>
      </c>
      <c r="B128" s="33">
        <v>-8.7269299999999994</v>
      </c>
      <c r="C128" s="33">
        <v>163.39339000000001</v>
      </c>
      <c r="D128" s="88" t="s">
        <v>21</v>
      </c>
    </row>
    <row r="129" spans="1:4" x14ac:dyDescent="0.25">
      <c r="A129" s="32" t="s">
        <v>371</v>
      </c>
      <c r="B129" s="33">
        <v>-3.5205299999999999</v>
      </c>
      <c r="C129" s="33">
        <v>188.98518000000001</v>
      </c>
      <c r="D129" s="88" t="s">
        <v>21</v>
      </c>
    </row>
    <row r="130" spans="1:4" x14ac:dyDescent="0.25">
      <c r="A130" s="32" t="s">
        <v>322</v>
      </c>
      <c r="B130" s="33">
        <v>16.930250000000001</v>
      </c>
      <c r="C130" s="33">
        <v>192.04275999999999</v>
      </c>
      <c r="D130" s="88" t="s">
        <v>402</v>
      </c>
    </row>
    <row r="131" spans="1:4" x14ac:dyDescent="0.25">
      <c r="A131" s="32" t="s">
        <v>337</v>
      </c>
      <c r="B131" s="33">
        <v>148.09012999999999</v>
      </c>
      <c r="C131" s="33">
        <v>211.45376999999999</v>
      </c>
      <c r="D131" s="88">
        <f>IF(OR(148.09013="",211.45377="",148.09013=0),"-",211.45377/148.09013*100)</f>
        <v>142.78721343549364</v>
      </c>
    </row>
    <row r="132" spans="1:4" x14ac:dyDescent="0.25">
      <c r="A132" s="32" t="s">
        <v>67</v>
      </c>
      <c r="B132" s="33">
        <v>-721.43289000000004</v>
      </c>
      <c r="C132" s="33">
        <v>234.53048000000001</v>
      </c>
      <c r="D132" s="88" t="s">
        <v>21</v>
      </c>
    </row>
    <row r="133" spans="1:4" x14ac:dyDescent="0.25">
      <c r="A133" s="32" t="s">
        <v>63</v>
      </c>
      <c r="B133" s="33">
        <v>-825.02733000000001</v>
      </c>
      <c r="C133" s="33">
        <v>308.69736999999998</v>
      </c>
      <c r="D133" s="88" t="s">
        <v>21</v>
      </c>
    </row>
    <row r="134" spans="1:4" x14ac:dyDescent="0.25">
      <c r="A134" s="32" t="s">
        <v>133</v>
      </c>
      <c r="B134" s="33">
        <v>-47.770220000000002</v>
      </c>
      <c r="C134" s="33">
        <v>317.03552000000002</v>
      </c>
      <c r="D134" s="88" t="s">
        <v>21</v>
      </c>
    </row>
    <row r="135" spans="1:4" x14ac:dyDescent="0.25">
      <c r="A135" s="32" t="s">
        <v>144</v>
      </c>
      <c r="B135" s="33">
        <v>223.99680000000001</v>
      </c>
      <c r="C135" s="33">
        <v>332.14800000000002</v>
      </c>
      <c r="D135" s="88">
        <f>IF(OR(223.9968="",332.148="",223.9968=0),"-",332.148/223.9968*100)</f>
        <v>148.28247546393521</v>
      </c>
    </row>
    <row r="136" spans="1:4" x14ac:dyDescent="0.25">
      <c r="A136" s="32" t="s">
        <v>105</v>
      </c>
      <c r="B136" s="33">
        <v>-133.8964</v>
      </c>
      <c r="C136" s="33">
        <v>336.47865000000002</v>
      </c>
      <c r="D136" s="88" t="s">
        <v>21</v>
      </c>
    </row>
    <row r="137" spans="1:4" x14ac:dyDescent="0.25">
      <c r="A137" s="32" t="s">
        <v>124</v>
      </c>
      <c r="B137" s="33">
        <v>365.33168999999998</v>
      </c>
      <c r="C137" s="33">
        <v>341.61083000000002</v>
      </c>
      <c r="D137" s="88">
        <f>IF(OR(365.33169="",341.61083="",365.33169=0),"-",341.61083/365.33169*100)</f>
        <v>93.507034662117604</v>
      </c>
    </row>
    <row r="138" spans="1:4" x14ac:dyDescent="0.25">
      <c r="A138" s="32" t="s">
        <v>346</v>
      </c>
      <c r="B138" s="33">
        <v>-7381.9170899999999</v>
      </c>
      <c r="C138" s="33">
        <v>579.92345999999998</v>
      </c>
      <c r="D138" s="88" t="s">
        <v>21</v>
      </c>
    </row>
    <row r="139" spans="1:4" x14ac:dyDescent="0.25">
      <c r="A139" s="32" t="s">
        <v>321</v>
      </c>
      <c r="B139" s="33">
        <v>40.752800000000001</v>
      </c>
      <c r="C139" s="33">
        <v>635.28075999999999</v>
      </c>
      <c r="D139" s="88" t="s">
        <v>403</v>
      </c>
    </row>
    <row r="140" spans="1:4" x14ac:dyDescent="0.25">
      <c r="A140" s="32" t="s">
        <v>61</v>
      </c>
      <c r="B140" s="33">
        <v>-4804.9030599999996</v>
      </c>
      <c r="C140" s="33">
        <v>644.82592999999997</v>
      </c>
      <c r="D140" s="88" t="s">
        <v>21</v>
      </c>
    </row>
    <row r="141" spans="1:4" x14ac:dyDescent="0.25">
      <c r="A141" s="32" t="s">
        <v>123</v>
      </c>
      <c r="B141" s="33">
        <v>1210.4412299999999</v>
      </c>
      <c r="C141" s="33">
        <v>648.77143999999998</v>
      </c>
      <c r="D141" s="88">
        <f>IF(OR(1210.44123="",648.77144="",1210.44123=0),"-",648.77144/1210.44123*100)</f>
        <v>53.597929740050255</v>
      </c>
    </row>
    <row r="142" spans="1:4" x14ac:dyDescent="0.25">
      <c r="A142" s="32" t="s">
        <v>220</v>
      </c>
      <c r="B142" s="33">
        <v>128.92515</v>
      </c>
      <c r="C142" s="33">
        <v>691.26265999999998</v>
      </c>
      <c r="D142" s="88" t="s">
        <v>404</v>
      </c>
    </row>
    <row r="143" spans="1:4" x14ac:dyDescent="0.25">
      <c r="A143" s="32" t="s">
        <v>139</v>
      </c>
      <c r="B143" s="33">
        <v>548.22361000000001</v>
      </c>
      <c r="C143" s="33">
        <v>722.07482000000005</v>
      </c>
      <c r="D143" s="88">
        <f>IF(OR(548.22361="",722.07482="",548.22361=0),"-",722.07482/548.22361*100)</f>
        <v>131.71173346583888</v>
      </c>
    </row>
    <row r="144" spans="1:4" x14ac:dyDescent="0.25">
      <c r="A144" s="32" t="s">
        <v>107</v>
      </c>
      <c r="B144" s="33">
        <v>620.51111000000003</v>
      </c>
      <c r="C144" s="33">
        <v>879.45483999999999</v>
      </c>
      <c r="D144" s="88">
        <f>IF(OR(620.51111="",879.45484="",620.51111=0),"-",879.45484/620.51111*100)</f>
        <v>141.73071615107744</v>
      </c>
    </row>
    <row r="145" spans="1:7" x14ac:dyDescent="0.25">
      <c r="A145" s="32" t="s">
        <v>36</v>
      </c>
      <c r="B145" s="33">
        <v>374.60338000000002</v>
      </c>
      <c r="C145" s="33">
        <v>928.78245000000004</v>
      </c>
      <c r="D145" s="88" t="s">
        <v>214</v>
      </c>
    </row>
    <row r="146" spans="1:7" x14ac:dyDescent="0.25">
      <c r="A146" s="32" t="s">
        <v>127</v>
      </c>
      <c r="B146" s="33">
        <v>676.33705999999995</v>
      </c>
      <c r="C146" s="33">
        <v>1051.38384</v>
      </c>
      <c r="D146" s="88" t="s">
        <v>102</v>
      </c>
    </row>
    <row r="147" spans="1:7" x14ac:dyDescent="0.25">
      <c r="A147" s="32" t="s">
        <v>146</v>
      </c>
      <c r="B147" s="33">
        <v>499.15267999999998</v>
      </c>
      <c r="C147" s="33">
        <v>1164.05276</v>
      </c>
      <c r="D147" s="88" t="s">
        <v>217</v>
      </c>
    </row>
    <row r="148" spans="1:7" x14ac:dyDescent="0.25">
      <c r="A148" s="32" t="s">
        <v>94</v>
      </c>
      <c r="B148" s="33">
        <v>462.87738999999999</v>
      </c>
      <c r="C148" s="33">
        <v>1218.5847699999999</v>
      </c>
      <c r="D148" s="88" t="s">
        <v>293</v>
      </c>
    </row>
    <row r="149" spans="1:7" x14ac:dyDescent="0.25">
      <c r="A149" s="32" t="s">
        <v>215</v>
      </c>
      <c r="B149" s="33">
        <v>-165.13908000000001</v>
      </c>
      <c r="C149" s="33">
        <v>1566.74233</v>
      </c>
      <c r="D149" s="88" t="s">
        <v>21</v>
      </c>
    </row>
    <row r="150" spans="1:7" x14ac:dyDescent="0.25">
      <c r="A150" s="32" t="s">
        <v>75</v>
      </c>
      <c r="B150" s="33">
        <v>1361.97362</v>
      </c>
      <c r="C150" s="33">
        <v>2222.3231099999998</v>
      </c>
      <c r="D150" s="88" t="s">
        <v>102</v>
      </c>
    </row>
    <row r="151" spans="1:7" x14ac:dyDescent="0.25">
      <c r="A151" s="32" t="s">
        <v>120</v>
      </c>
      <c r="B151" s="33">
        <v>3734.8108200000001</v>
      </c>
      <c r="C151" s="33">
        <v>4217.4600499999997</v>
      </c>
      <c r="D151" s="88">
        <f>IF(OR(3734.81082="",4217.46005="",3734.81082=0),"-",4217.46005/3734.81082*100)</f>
        <v>112.92299003246433</v>
      </c>
    </row>
    <row r="152" spans="1:7" x14ac:dyDescent="0.25">
      <c r="A152" s="32" t="s">
        <v>56</v>
      </c>
      <c r="B152" s="33">
        <v>6555.7668899999999</v>
      </c>
      <c r="C152" s="33">
        <v>5697.8285500000002</v>
      </c>
      <c r="D152" s="88">
        <f>IF(OR(6555.76689="",5697.82855="",6555.76689=0),"-",5697.82855/6555.76689*100)</f>
        <v>86.913226867345202</v>
      </c>
    </row>
    <row r="153" spans="1:7" x14ac:dyDescent="0.25">
      <c r="A153" s="32" t="s">
        <v>73</v>
      </c>
      <c r="B153" s="33">
        <v>-4328.4658099999997</v>
      </c>
      <c r="C153" s="33">
        <v>9468.0722100000003</v>
      </c>
      <c r="D153" s="88" t="s">
        <v>21</v>
      </c>
    </row>
    <row r="154" spans="1:7" x14ac:dyDescent="0.25">
      <c r="A154" s="32" t="s">
        <v>57</v>
      </c>
      <c r="B154" s="33">
        <v>17956.47539</v>
      </c>
      <c r="C154" s="33">
        <v>15427.604369999999</v>
      </c>
      <c r="D154" s="88">
        <f>IF(OR(17956.47539="",15427.60437="",17956.47539=0),"-",15427.60437/17956.47539*100)</f>
        <v>85.916662568377234</v>
      </c>
    </row>
    <row r="155" spans="1:7" x14ac:dyDescent="0.25">
      <c r="A155" s="32" t="s">
        <v>59</v>
      </c>
      <c r="B155" s="33">
        <v>11379.43952</v>
      </c>
      <c r="C155" s="33">
        <v>24619.909159999999</v>
      </c>
      <c r="D155" s="88" t="s">
        <v>206</v>
      </c>
    </row>
    <row r="156" spans="1:7" x14ac:dyDescent="0.25">
      <c r="A156" s="34" t="s">
        <v>345</v>
      </c>
      <c r="B156" s="35">
        <v>26877.774839999998</v>
      </c>
      <c r="C156" s="35">
        <v>81387.115699999995</v>
      </c>
      <c r="D156" s="91" t="s">
        <v>315</v>
      </c>
    </row>
    <row r="157" spans="1:7" x14ac:dyDescent="0.25">
      <c r="A157" s="58" t="s">
        <v>299</v>
      </c>
      <c r="B157" s="71"/>
      <c r="C157" s="71"/>
      <c r="D157" s="71"/>
      <c r="E157" s="71"/>
      <c r="F157" s="7"/>
      <c r="G157" s="7"/>
    </row>
  </sheetData>
  <sortState ref="A48:G113">
    <sortCondition ref="C48:C113"/>
  </sortState>
  <mergeCells count="1">
    <mergeCell ref="A1:D1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E7" sqref="E7"/>
    </sheetView>
  </sheetViews>
  <sheetFormatPr defaultRowHeight="15.75" x14ac:dyDescent="0.25"/>
  <cols>
    <col min="1" max="1" width="30.375" customWidth="1"/>
    <col min="2" max="2" width="14.875" customWidth="1"/>
    <col min="3" max="3" width="13.875" customWidth="1"/>
    <col min="4" max="5" width="11.625" customWidth="1"/>
  </cols>
  <sheetData>
    <row r="1" spans="1:11" x14ac:dyDescent="0.25">
      <c r="A1" s="101" t="s">
        <v>311</v>
      </c>
      <c r="B1" s="101"/>
      <c r="C1" s="101"/>
      <c r="D1" s="101"/>
      <c r="E1" s="101"/>
    </row>
    <row r="2" spans="1:11" x14ac:dyDescent="0.25">
      <c r="A2" s="7"/>
      <c r="B2" s="7"/>
      <c r="C2" s="7"/>
      <c r="D2" s="7"/>
      <c r="E2" s="7"/>
    </row>
    <row r="3" spans="1:11" ht="18.75" customHeight="1" x14ac:dyDescent="0.25">
      <c r="A3" s="102"/>
      <c r="B3" s="104" t="s">
        <v>409</v>
      </c>
      <c r="C3" s="105"/>
      <c r="D3" s="106" t="s">
        <v>106</v>
      </c>
      <c r="E3" s="111"/>
      <c r="F3" s="1"/>
    </row>
    <row r="4" spans="1:11" ht="28.5" customHeight="1" x14ac:dyDescent="0.25">
      <c r="A4" s="103"/>
      <c r="B4" s="73" t="s">
        <v>119</v>
      </c>
      <c r="C4" s="81" t="s">
        <v>420</v>
      </c>
      <c r="D4" s="73">
        <v>2020</v>
      </c>
      <c r="E4" s="80">
        <v>2021</v>
      </c>
      <c r="F4" s="1"/>
    </row>
    <row r="5" spans="1:11" s="3" customFormat="1" ht="15.75" customHeight="1" x14ac:dyDescent="0.25">
      <c r="A5" s="48" t="s">
        <v>134</v>
      </c>
      <c r="B5" s="69">
        <v>3144446.15815</v>
      </c>
      <c r="C5" s="29">
        <v>127.45484209409656</v>
      </c>
      <c r="D5" s="70">
        <v>100</v>
      </c>
      <c r="E5" s="70">
        <v>100</v>
      </c>
    </row>
    <row r="6" spans="1:11" ht="15.75" customHeight="1" x14ac:dyDescent="0.25">
      <c r="A6" s="49" t="s">
        <v>125</v>
      </c>
      <c r="B6" s="92"/>
      <c r="C6" s="43"/>
      <c r="D6" s="62"/>
      <c r="E6" s="62"/>
    </row>
    <row r="7" spans="1:11" x14ac:dyDescent="0.25">
      <c r="A7" s="50" t="s">
        <v>110</v>
      </c>
      <c r="B7" s="77">
        <v>297772.26319999999</v>
      </c>
      <c r="C7" s="44" t="s">
        <v>101</v>
      </c>
      <c r="D7" s="33">
        <f>IF(173507.34818="","-",173507.34818/2467106.07968*100)</f>
        <v>7.0328288519521251</v>
      </c>
      <c r="E7" s="33">
        <f>IF(297772.2632="","-",297772.2632/3144446.15815*100)</f>
        <v>9.4697841280637789</v>
      </c>
    </row>
    <row r="8" spans="1:11" x14ac:dyDescent="0.25">
      <c r="A8" s="50" t="s">
        <v>111</v>
      </c>
      <c r="B8" s="33">
        <v>176635.32405</v>
      </c>
      <c r="C8" s="44" t="s">
        <v>293</v>
      </c>
      <c r="D8" s="33">
        <f>IF(69085.22878="","-",69085.22878/2467106.07968*100)</f>
        <v>2.8002536797672199</v>
      </c>
      <c r="E8" s="33">
        <f>IF(176635.32405="","-",176635.32405/3144446.15815*100)</f>
        <v>5.6173747352036525</v>
      </c>
    </row>
    <row r="9" spans="1:11" x14ac:dyDescent="0.25">
      <c r="A9" s="50" t="s">
        <v>112</v>
      </c>
      <c r="B9" s="33">
        <v>2632494.7561599999</v>
      </c>
      <c r="C9" s="44">
        <v>119.88282362761605</v>
      </c>
      <c r="D9" s="33">
        <f>IF(2195889.85019="","-",2195889.85019/2467106.07968*100)</f>
        <v>89.006705803052526</v>
      </c>
      <c r="E9" s="33">
        <f>IF(2632494.75616="","-",2632494.75616/3144446.15815*100)</f>
        <v>83.718868880515316</v>
      </c>
    </row>
    <row r="10" spans="1:11" x14ac:dyDescent="0.25">
      <c r="A10" s="50" t="s">
        <v>113</v>
      </c>
      <c r="B10" s="33">
        <v>36200.899140000001</v>
      </c>
      <c r="C10" s="44">
        <v>132.42255554489461</v>
      </c>
      <c r="D10" s="33">
        <f>IF(27337.41166="","-",27337.41166/2467106.07968*100)</f>
        <v>1.1080760525524644</v>
      </c>
      <c r="E10" s="33">
        <f>IF(36200.89914="","-",36200.89914/3144446.15815*100)</f>
        <v>1.1512647162417435</v>
      </c>
    </row>
    <row r="11" spans="1:11" x14ac:dyDescent="0.25">
      <c r="A11" s="50" t="s">
        <v>114</v>
      </c>
      <c r="B11" s="33">
        <v>1140.50026</v>
      </c>
      <c r="C11" s="44">
        <v>108.3658780869422</v>
      </c>
      <c r="D11" s="33">
        <f>IF(1052.4533="","-",1052.4533/2467106.07968*100)</f>
        <v>4.2659426307948223E-2</v>
      </c>
      <c r="E11" s="33">
        <f>IF(1140.50026="","-",1140.50026/3144446.15815*100)</f>
        <v>3.6270306522627839E-2</v>
      </c>
    </row>
    <row r="12" spans="1:11" x14ac:dyDescent="0.25">
      <c r="A12" s="50" t="s">
        <v>115</v>
      </c>
      <c r="B12" s="33">
        <v>6.1935700000000002</v>
      </c>
      <c r="C12" s="44">
        <v>87.538037310131472</v>
      </c>
      <c r="D12" s="33">
        <f>IF(7.07529="","-",7.07529/2467106.07968*100)</f>
        <v>2.867849930845986E-4</v>
      </c>
      <c r="E12" s="33">
        <f>IF(6.19357="","-",6.19357/3144446.15815*100)</f>
        <v>1.9696854989700058E-4</v>
      </c>
    </row>
    <row r="13" spans="1:11" x14ac:dyDescent="0.25">
      <c r="A13" s="50" t="s">
        <v>116</v>
      </c>
      <c r="B13" s="33">
        <v>196.22176999999999</v>
      </c>
      <c r="C13" s="44">
        <v>86.551010823057311</v>
      </c>
      <c r="D13" s="33">
        <f>IF(226.71228="","-",226.71228/2467106.07968*100)</f>
        <v>9.1894013746423951E-3</v>
      </c>
      <c r="E13" s="33">
        <f>IF(196.22177="","-",196.22177/3144446.15815*100)</f>
        <v>6.2402649029756289E-3</v>
      </c>
    </row>
    <row r="14" spans="1:11" x14ac:dyDescent="0.25">
      <c r="A14" s="30" t="s">
        <v>209</v>
      </c>
      <c r="B14" s="31">
        <v>1919447.76095</v>
      </c>
      <c r="C14" s="45">
        <v>117.0132748262871</v>
      </c>
      <c r="D14" s="31">
        <f>IF(1640367.52565="","-",1640367.52565/2467106.07968*100)</f>
        <v>66.489541700726804</v>
      </c>
      <c r="E14" s="52">
        <f>IF(1919447.76095="","-",1919447.76095/3144446.15815*100)</f>
        <v>61.042475030937901</v>
      </c>
    </row>
    <row r="15" spans="1:11" x14ac:dyDescent="0.25">
      <c r="A15" s="49" t="s">
        <v>125</v>
      </c>
      <c r="B15" s="31"/>
      <c r="C15" s="45"/>
      <c r="D15" s="31"/>
      <c r="E15" s="52"/>
    </row>
    <row r="16" spans="1:11" x14ac:dyDescent="0.25">
      <c r="A16" s="50" t="s">
        <v>110</v>
      </c>
      <c r="B16" s="33">
        <v>141729.57845</v>
      </c>
      <c r="C16" s="46" t="s">
        <v>101</v>
      </c>
      <c r="D16" s="33">
        <f>IF(85011.57952="","-",85011.57952/2467106.07968*100)</f>
        <v>3.4458015494423559</v>
      </c>
      <c r="E16" s="42">
        <f>IF(141729.57845="","-",141729.57845/3144446.15815*100)</f>
        <v>4.5072986249949025</v>
      </c>
      <c r="K16" s="16"/>
    </row>
    <row r="17" spans="1:7" x14ac:dyDescent="0.25">
      <c r="A17" s="50" t="s">
        <v>111</v>
      </c>
      <c r="B17" s="33">
        <v>37643.61406</v>
      </c>
      <c r="C17" s="46" t="s">
        <v>302</v>
      </c>
      <c r="D17" s="33">
        <f>IF(13958.29873="","-",13958.29873/2467106.07968*100)</f>
        <v>0.56577618793799433</v>
      </c>
      <c r="E17" s="42">
        <f>IF(37643.61406="","-",37643.61406/3144446.15815*100)</f>
        <v>1.1971460844521886</v>
      </c>
    </row>
    <row r="18" spans="1:7" x14ac:dyDescent="0.25">
      <c r="A18" s="50" t="s">
        <v>112</v>
      </c>
      <c r="B18" s="33">
        <v>1734029.67447</v>
      </c>
      <c r="C18" s="46">
        <v>112.91343007892047</v>
      </c>
      <c r="D18" s="33">
        <f>IF(1535716.05544="","-",1535716.05544/2467106.07968*100)</f>
        <v>62.247670178786663</v>
      </c>
      <c r="E18" s="42">
        <f>IF(1734029.67447="","-",1734029.67447/3144446.15815*100)</f>
        <v>55.14578998198516</v>
      </c>
    </row>
    <row r="19" spans="1:7" x14ac:dyDescent="0.25">
      <c r="A19" s="50" t="s">
        <v>113</v>
      </c>
      <c r="B19" s="33">
        <v>4955.2826500000001</v>
      </c>
      <c r="C19" s="46">
        <v>100.64564530402203</v>
      </c>
      <c r="D19" s="33">
        <f>IF(4923.49434="","-",4923.49434/2467106.07968*100)</f>
        <v>0.1995655711990548</v>
      </c>
      <c r="E19" s="42">
        <f>IF(4955.28265="","-",4955.28265/3144446.15815*100)</f>
        <v>0.15758840828476406</v>
      </c>
    </row>
    <row r="20" spans="1:7" x14ac:dyDescent="0.25">
      <c r="A20" s="50" t="s">
        <v>114</v>
      </c>
      <c r="B20" s="33">
        <v>964.87669000000005</v>
      </c>
      <c r="C20" s="46" t="s">
        <v>207</v>
      </c>
      <c r="D20" s="33">
        <f>IF(546.81967="","-",546.81967/2467106.07968*100)</f>
        <v>2.2164416621717625E-2</v>
      </c>
      <c r="E20" s="42">
        <f>IF(964.87669="","-",964.87669/3144446.15815*100)</f>
        <v>3.0685107693740082E-2</v>
      </c>
    </row>
    <row r="21" spans="1:7" x14ac:dyDescent="0.25">
      <c r="A21" s="37" t="s">
        <v>116</v>
      </c>
      <c r="B21" s="33">
        <v>124.73463</v>
      </c>
      <c r="C21" s="46">
        <v>59.038167494525574</v>
      </c>
      <c r="D21" s="33">
        <f>IF(211.27795="","-",211.27795/2467106.07968*100)</f>
        <v>8.5637967390281081E-3</v>
      </c>
      <c r="E21" s="42">
        <f>IF(124.73463="","-",124.73463/3144446.15815*100)</f>
        <v>3.9668235271481398E-3</v>
      </c>
    </row>
    <row r="22" spans="1:7" x14ac:dyDescent="0.25">
      <c r="A22" s="30" t="s">
        <v>210</v>
      </c>
      <c r="B22" s="31">
        <v>466207.47317000001</v>
      </c>
      <c r="C22" s="45">
        <v>123.67472957544354</v>
      </c>
      <c r="D22" s="31">
        <f>IF(376962.59759="","-",376962.59759/2467106.07968*100)</f>
        <v>15.279545565340854</v>
      </c>
      <c r="E22" s="52">
        <f>IF(466207.47317="","-",466207.47317/3144446.15815*100)</f>
        <v>14.82637799224675</v>
      </c>
    </row>
    <row r="23" spans="1:7" x14ac:dyDescent="0.25">
      <c r="A23" s="49" t="s">
        <v>125</v>
      </c>
      <c r="B23" s="31"/>
      <c r="C23" s="45"/>
      <c r="D23" s="31"/>
      <c r="E23" s="93"/>
    </row>
    <row r="24" spans="1:7" x14ac:dyDescent="0.25">
      <c r="A24" s="50" t="s">
        <v>110</v>
      </c>
      <c r="B24" s="33">
        <v>10317.1553</v>
      </c>
      <c r="C24" s="46" t="s">
        <v>102</v>
      </c>
      <c r="D24" s="33">
        <f>IF(6268.20268="","-",6268.20268/2467106.07968*100)</f>
        <v>0.25407106454105238</v>
      </c>
      <c r="E24" s="42">
        <f>IF(10317.1553="","-",10317.1553/3144446.15815*100)</f>
        <v>0.32810723355078797</v>
      </c>
    </row>
    <row r="25" spans="1:7" x14ac:dyDescent="0.25">
      <c r="A25" s="50" t="s">
        <v>111</v>
      </c>
      <c r="B25" s="33">
        <v>12524.795050000001</v>
      </c>
      <c r="C25" s="46" t="s">
        <v>101</v>
      </c>
      <c r="D25" s="33">
        <f>IF(7461.34953="","-",7461.34953/2467106.07968*100)</f>
        <v>0.302433267521589</v>
      </c>
      <c r="E25" s="42">
        <f>IF(12524.79505="","-",12524.79505/3144446.15815*100)</f>
        <v>0.39831481984632949</v>
      </c>
      <c r="F25" s="1"/>
      <c r="G25" s="1"/>
    </row>
    <row r="26" spans="1:7" x14ac:dyDescent="0.25">
      <c r="A26" s="50" t="s">
        <v>112</v>
      </c>
      <c r="B26" s="33">
        <v>433140.74559000001</v>
      </c>
      <c r="C26" s="46">
        <v>122.31418900337769</v>
      </c>
      <c r="D26" s="33">
        <f>IF(354121.42215="","-",354121.42215/2467106.07968*100)</f>
        <v>14.353716893921801</v>
      </c>
      <c r="E26" s="42">
        <f>IF(433140.74559="","-",433140.74559/3144446.15815*100)</f>
        <v>13.774786522178314</v>
      </c>
      <c r="F26" s="10"/>
      <c r="G26" s="10"/>
    </row>
    <row r="27" spans="1:7" x14ac:dyDescent="0.25">
      <c r="A27" s="50" t="s">
        <v>113</v>
      </c>
      <c r="B27" s="33">
        <v>10103.166080000001</v>
      </c>
      <c r="C27" s="46">
        <v>112.55606026575529</v>
      </c>
      <c r="D27" s="33">
        <f>IF(8976.11915="","-",8976.11915/2467106.07968*100)</f>
        <v>0.36383190913153857</v>
      </c>
      <c r="E27" s="42">
        <f>IF(10103.16608="","-",10103.16608/3144446.15815*100)</f>
        <v>0.3213019263762521</v>
      </c>
    </row>
    <row r="28" spans="1:7" x14ac:dyDescent="0.25">
      <c r="A28" s="50" t="s">
        <v>114</v>
      </c>
      <c r="B28" s="33">
        <v>49.547820000000002</v>
      </c>
      <c r="C28" s="46">
        <v>43.849778121865448</v>
      </c>
      <c r="D28" s="33">
        <f>IF(112.99446="","-",112.99446/2467106.07968*100)</f>
        <v>4.5800405961731547E-3</v>
      </c>
      <c r="E28" s="42">
        <f>IF(49.54782="","-",49.54782/3144446.15815*100)</f>
        <v>1.5757248656199257E-3</v>
      </c>
    </row>
    <row r="29" spans="1:7" x14ac:dyDescent="0.25">
      <c r="A29" s="50" t="s">
        <v>115</v>
      </c>
      <c r="B29" s="33">
        <v>6.1935700000000002</v>
      </c>
      <c r="C29" s="46">
        <v>87.538037310131472</v>
      </c>
      <c r="D29" s="33">
        <f>IF(7.07529="","-",7.07529/2467106.07968*100)</f>
        <v>2.867849930845986E-4</v>
      </c>
      <c r="E29" s="42">
        <f>IF(6.19357="","-",6.19357/3144446.15815*100)</f>
        <v>1.9696854989700058E-4</v>
      </c>
    </row>
    <row r="30" spans="1:7" x14ac:dyDescent="0.25">
      <c r="A30" s="50" t="s">
        <v>116</v>
      </c>
      <c r="B30" s="33">
        <v>65.869759999999999</v>
      </c>
      <c r="C30" s="46" t="s">
        <v>306</v>
      </c>
      <c r="D30" s="33">
        <f>IF(15.43433="","-",15.43433/2467106.07968*100)</f>
        <v>6.2560463561428753E-4</v>
      </c>
      <c r="E30" s="42">
        <f>IF(65.86976="","-",65.86976/3144446.15815*100)</f>
        <v>2.0947968795482171E-3</v>
      </c>
    </row>
    <row r="31" spans="1:7" x14ac:dyDescent="0.25">
      <c r="A31" s="30" t="s">
        <v>316</v>
      </c>
      <c r="B31" s="31">
        <v>758790.92402999999</v>
      </c>
      <c r="C31" s="45" t="s">
        <v>101</v>
      </c>
      <c r="D31" s="31">
        <f>IF(449775.95644="","-",449775.95644/2467106.07968*100)</f>
        <v>18.230912733932335</v>
      </c>
      <c r="E31" s="52">
        <f>IF(758790.92403="","-",758790.92403/3144446.15815*100)</f>
        <v>24.131146976815344</v>
      </c>
    </row>
    <row r="32" spans="1:7" x14ac:dyDescent="0.25">
      <c r="A32" s="49" t="s">
        <v>125</v>
      </c>
      <c r="B32" s="31"/>
      <c r="C32" s="45"/>
      <c r="D32" s="31"/>
      <c r="E32" s="52"/>
    </row>
    <row r="33" spans="1:5" x14ac:dyDescent="0.25">
      <c r="A33" s="50" t="s">
        <v>110</v>
      </c>
      <c r="B33" s="33">
        <v>145725.52945</v>
      </c>
      <c r="C33" s="46" t="s">
        <v>207</v>
      </c>
      <c r="D33" s="33">
        <f>IF(82227.56598="","-",82227.56598/2467106.07968*100)</f>
        <v>3.3329562379687157</v>
      </c>
      <c r="E33" s="42">
        <f>IF(145725.52945="","-",145725.52945/3144446.15815*100)</f>
        <v>4.6343782695180895</v>
      </c>
    </row>
    <row r="34" spans="1:5" x14ac:dyDescent="0.25">
      <c r="A34" s="50" t="s">
        <v>111</v>
      </c>
      <c r="B34" s="33">
        <v>126466.91494</v>
      </c>
      <c r="C34" s="46" t="s">
        <v>302</v>
      </c>
      <c r="D34" s="33">
        <f>IF(47665.58052="","-",47665.58052/2467106.07968*100)</f>
        <v>1.9320442243076368</v>
      </c>
      <c r="E34" s="42">
        <f>IF(126466.91494="","-",126466.91494/3144446.15815*100)</f>
        <v>4.0219138309051345</v>
      </c>
    </row>
    <row r="35" spans="1:5" x14ac:dyDescent="0.25">
      <c r="A35" s="50" t="s">
        <v>112</v>
      </c>
      <c r="B35" s="33">
        <v>465324.33610000001</v>
      </c>
      <c r="C35" s="46" t="s">
        <v>218</v>
      </c>
      <c r="D35" s="33">
        <f>IF(306052.3726="","-",306052.3726/2467106.07968*100)</f>
        <v>12.405318730344057</v>
      </c>
      <c r="E35" s="42">
        <f>IF(465324.3361="","-",465324.3361/3144446.15815*100)</f>
        <v>14.798292376351849</v>
      </c>
    </row>
    <row r="36" spans="1:5" x14ac:dyDescent="0.25">
      <c r="A36" s="50" t="s">
        <v>113</v>
      </c>
      <c r="B36" s="33">
        <v>21142.450410000001</v>
      </c>
      <c r="C36" s="46" t="s">
        <v>102</v>
      </c>
      <c r="D36" s="33">
        <f>IF(13437.79817="","-",13437.79817/2467106.07968*100)</f>
        <v>0.54467857222187099</v>
      </c>
      <c r="E36" s="42">
        <f>IF(21142.45041="","-",21142.45041/3144446.15815*100)</f>
        <v>0.67237438158072727</v>
      </c>
    </row>
    <row r="37" spans="1:5" x14ac:dyDescent="0.25">
      <c r="A37" s="37" t="s">
        <v>114</v>
      </c>
      <c r="B37" s="42">
        <v>126.07575</v>
      </c>
      <c r="C37" s="47">
        <v>32.109824906160028</v>
      </c>
      <c r="D37" s="33">
        <f>IF(392.63917="","-",392.63917/2467106.07968*100)</f>
        <v>1.5914969090057445E-2</v>
      </c>
      <c r="E37" s="42">
        <f>IF(126.07575="","-",126.07575/3144446.15815*100)</f>
        <v>4.0094739632678357E-3</v>
      </c>
    </row>
    <row r="38" spans="1:5" x14ac:dyDescent="0.25">
      <c r="A38" s="51" t="s">
        <v>116</v>
      </c>
      <c r="B38" s="35">
        <v>5.6173799999999998</v>
      </c>
      <c r="C38" s="94" t="s">
        <v>301</v>
      </c>
      <c r="D38" s="35" t="s">
        <v>301</v>
      </c>
      <c r="E38" s="35">
        <f>IF(5.61738="","-",5.61738/3144446.15815*100)</f>
        <v>1.7864449627927236E-4</v>
      </c>
    </row>
    <row r="39" spans="1:5" x14ac:dyDescent="0.25">
      <c r="A39" s="60" t="s">
        <v>20</v>
      </c>
    </row>
  </sheetData>
  <mergeCells count="4">
    <mergeCell ref="A1:E1"/>
    <mergeCell ref="A3:A4"/>
    <mergeCell ref="B3:C3"/>
    <mergeCell ref="D3:E3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G14" sqref="G14"/>
    </sheetView>
  </sheetViews>
  <sheetFormatPr defaultRowHeight="15.75" x14ac:dyDescent="0.25"/>
  <cols>
    <col min="1" max="1" width="31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101" t="s">
        <v>310</v>
      </c>
      <c r="B1" s="101"/>
      <c r="C1" s="101"/>
      <c r="D1" s="101"/>
      <c r="E1" s="101"/>
    </row>
    <row r="2" spans="1:6" x14ac:dyDescent="0.25">
      <c r="A2" s="7"/>
      <c r="B2" s="7"/>
      <c r="C2" s="7"/>
      <c r="D2" s="7"/>
      <c r="E2" s="7"/>
    </row>
    <row r="3" spans="1:6" ht="17.25" customHeight="1" x14ac:dyDescent="0.25">
      <c r="A3" s="102"/>
      <c r="B3" s="112" t="s">
        <v>409</v>
      </c>
      <c r="C3" s="105"/>
      <c r="D3" s="106" t="s">
        <v>106</v>
      </c>
      <c r="E3" s="111"/>
      <c r="F3" s="1"/>
    </row>
    <row r="4" spans="1:6" ht="28.5" customHeight="1" x14ac:dyDescent="0.25">
      <c r="A4" s="103"/>
      <c r="B4" s="73" t="s">
        <v>119</v>
      </c>
      <c r="C4" s="81" t="s">
        <v>421</v>
      </c>
      <c r="D4" s="73">
        <v>2020</v>
      </c>
      <c r="E4" s="80">
        <v>2021</v>
      </c>
      <c r="F4" s="1"/>
    </row>
    <row r="5" spans="1:6" ht="15.75" customHeight="1" x14ac:dyDescent="0.25">
      <c r="A5" s="48" t="s">
        <v>126</v>
      </c>
      <c r="B5" s="29">
        <v>7176590.6949300002</v>
      </c>
      <c r="C5" s="98">
        <v>132.50750002159646</v>
      </c>
      <c r="D5" s="99">
        <v>100</v>
      </c>
      <c r="E5" s="99">
        <v>100</v>
      </c>
    </row>
    <row r="6" spans="1:6" ht="15.75" customHeight="1" x14ac:dyDescent="0.25">
      <c r="A6" s="49" t="s">
        <v>125</v>
      </c>
      <c r="B6" s="17"/>
      <c r="C6" s="45"/>
      <c r="D6" s="17"/>
      <c r="E6" s="17"/>
    </row>
    <row r="7" spans="1:6" x14ac:dyDescent="0.25">
      <c r="A7" s="50" t="s">
        <v>110</v>
      </c>
      <c r="B7" s="42">
        <v>229048.97248999999</v>
      </c>
      <c r="C7" s="46" t="s">
        <v>373</v>
      </c>
      <c r="D7" s="33">
        <f>IF(80317.97191="","-",80317.97191/5415988.29784*100)</f>
        <v>1.4829790518940438</v>
      </c>
      <c r="E7" s="33">
        <f>IF(229048.97249="","-",229048.97249/7176590.69493*100)</f>
        <v>3.1916125947076059</v>
      </c>
    </row>
    <row r="8" spans="1:6" x14ac:dyDescent="0.25">
      <c r="A8" s="50" t="s">
        <v>111</v>
      </c>
      <c r="B8" s="42">
        <v>315221.67436</v>
      </c>
      <c r="C8" s="46">
        <v>127.2132300826345</v>
      </c>
      <c r="D8" s="33">
        <f>IF(247790.00907="","-",247790.00907/5415988.29784*100)</f>
        <v>4.5751577633360725</v>
      </c>
      <c r="E8" s="33">
        <f>IF(315221.67436="","-",315221.67436/7176590.69493*100)</f>
        <v>4.3923596559950484</v>
      </c>
    </row>
    <row r="9" spans="1:6" x14ac:dyDescent="0.25">
      <c r="A9" s="50" t="s">
        <v>112</v>
      </c>
      <c r="B9" s="42">
        <v>6011030.3987999996</v>
      </c>
      <c r="C9" s="46">
        <v>126.73731412195674</v>
      </c>
      <c r="D9" s="33">
        <f>IF(4742904.99246="","-",4742904.99246/5415988.29784*100)</f>
        <v>87.572290256822782</v>
      </c>
      <c r="E9" s="33">
        <f>IF(6011030.3988="","-",6011030.3988/7176590.69493*100)</f>
        <v>83.758857852191198</v>
      </c>
    </row>
    <row r="10" spans="1:6" x14ac:dyDescent="0.25">
      <c r="A10" s="50" t="s">
        <v>113</v>
      </c>
      <c r="B10" s="42">
        <v>179881.05864</v>
      </c>
      <c r="C10" s="46">
        <v>139.05656683261532</v>
      </c>
      <c r="D10" s="33">
        <f>IF(129358.19051="","-",129358.19051/5415988.29784*100)</f>
        <v>2.3884503325383943</v>
      </c>
      <c r="E10" s="33">
        <f>IF(179881.05864="","-",179881.05864/7176590.69493*100)</f>
        <v>2.5064973925164691</v>
      </c>
    </row>
    <row r="11" spans="1:6" x14ac:dyDescent="0.25">
      <c r="A11" s="50" t="s">
        <v>114</v>
      </c>
      <c r="B11" s="42">
        <v>11632.83632</v>
      </c>
      <c r="C11" s="46">
        <v>89.297855948192691</v>
      </c>
      <c r="D11" s="33">
        <f>IF(13027.00518="","-",13027.00518/5415988.29784*100)</f>
        <v>0.24052868033698338</v>
      </c>
      <c r="E11" s="33">
        <f>IF(11632.83632="","-",11632.83632/7176590.69493*100)</f>
        <v>0.16209418670369727</v>
      </c>
    </row>
    <row r="12" spans="1:6" x14ac:dyDescent="0.25">
      <c r="A12" s="50" t="s">
        <v>115</v>
      </c>
      <c r="B12" s="42">
        <v>384327.12151000003</v>
      </c>
      <c r="C12" s="46" t="s">
        <v>206</v>
      </c>
      <c r="D12" s="33">
        <f>IF(171589.69911="","-",171589.69911/5415988.29784*100)</f>
        <v>3.168206607433647</v>
      </c>
      <c r="E12" s="33">
        <f>IF(384327.12151="","-",384327.12151/7176590.69493*100)</f>
        <v>5.3552882956180454</v>
      </c>
    </row>
    <row r="13" spans="1:6" x14ac:dyDescent="0.25">
      <c r="A13" s="50" t="s">
        <v>116</v>
      </c>
      <c r="B13" s="42">
        <v>45448.632810000003</v>
      </c>
      <c r="C13" s="46">
        <v>146.60646125368535</v>
      </c>
      <c r="D13" s="33">
        <f>IF(31000.4296="","-",31000.4296/5415988.29784*100)</f>
        <v>0.57238730763808265</v>
      </c>
      <c r="E13" s="33">
        <f>IF(45448.63281="","-",45448.63281/7176590.69493*100)</f>
        <v>0.63329002226792452</v>
      </c>
    </row>
    <row r="14" spans="1:6" x14ac:dyDescent="0.25">
      <c r="A14" s="30" t="s">
        <v>209</v>
      </c>
      <c r="B14" s="52">
        <v>3149116.6668099998</v>
      </c>
      <c r="C14" s="64">
        <v>127.45615323871608</v>
      </c>
      <c r="D14" s="31">
        <f>IF(2470745.10472="","-",2470745.10472/5415988.29784*100)</f>
        <v>45.619469039572714</v>
      </c>
      <c r="E14" s="31">
        <f>IF(3149116.66681="","-",3149116.66681/7176590.69493*100)</f>
        <v>43.880399491568269</v>
      </c>
    </row>
    <row r="15" spans="1:6" x14ac:dyDescent="0.25">
      <c r="A15" s="49" t="s">
        <v>125</v>
      </c>
      <c r="B15" s="17"/>
      <c r="C15" s="64"/>
      <c r="D15" s="17"/>
      <c r="E15" s="17"/>
    </row>
    <row r="16" spans="1:6" x14ac:dyDescent="0.25">
      <c r="A16" s="50" t="s">
        <v>110</v>
      </c>
      <c r="B16" s="42">
        <v>68544.13725</v>
      </c>
      <c r="C16" s="47" t="s">
        <v>303</v>
      </c>
      <c r="D16" s="33">
        <f>IF(28145.34937="","-",28145.34937/5415988.29784*100)</f>
        <v>0.51967153217862205</v>
      </c>
      <c r="E16" s="33">
        <f>IF(68544.13725="","-",68544.13725/7176590.69493*100)</f>
        <v>0.95510723912991069</v>
      </c>
    </row>
    <row r="17" spans="1:7" x14ac:dyDescent="0.25">
      <c r="A17" s="50" t="s">
        <v>111</v>
      </c>
      <c r="B17" s="42">
        <v>103795.78701</v>
      </c>
      <c r="C17" s="47" t="s">
        <v>348</v>
      </c>
      <c r="D17" s="33">
        <f>IF(32494.55418="","-",32494.55418/5415988.29784*100)</f>
        <v>0.59997460099681987</v>
      </c>
      <c r="E17" s="33">
        <f>IF(103795.78701="","-",103795.78701/7176590.69493*100)</f>
        <v>1.4463105313129803</v>
      </c>
    </row>
    <row r="18" spans="1:7" x14ac:dyDescent="0.25">
      <c r="A18" s="50" t="s">
        <v>112</v>
      </c>
      <c r="B18" s="42">
        <v>2891269.3559500002</v>
      </c>
      <c r="C18" s="47">
        <v>123.04748140284194</v>
      </c>
      <c r="D18" s="33">
        <f>IF(2349718.43632="","-",2349718.43632/5415988.29784*100)</f>
        <v>43.384850688416599</v>
      </c>
      <c r="E18" s="33">
        <f>IF(2891269.35595="","-",2891269.35595/7176590.69493*100)</f>
        <v>40.287505291232186</v>
      </c>
    </row>
    <row r="19" spans="1:7" x14ac:dyDescent="0.25">
      <c r="A19" s="50" t="s">
        <v>113</v>
      </c>
      <c r="B19" s="42">
        <v>42559.445509999998</v>
      </c>
      <c r="C19" s="47">
        <v>143.03601191727589</v>
      </c>
      <c r="D19" s="33">
        <f>IF(29754.35692="","-",29754.35692/5415988.29784*100)</f>
        <v>0.54938000755774541</v>
      </c>
      <c r="E19" s="33">
        <f>IF(42559.44551="","-",42559.44551/7176590.69493*100)</f>
        <v>0.59303152874618714</v>
      </c>
    </row>
    <row r="20" spans="1:7" x14ac:dyDescent="0.25">
      <c r="A20" s="50" t="s">
        <v>114</v>
      </c>
      <c r="B20" s="42">
        <v>5943.7878199999996</v>
      </c>
      <c r="C20" s="47">
        <v>125.87933384963917</v>
      </c>
      <c r="D20" s="33">
        <f>IF(4721.81385="","-",4721.81385/5415988.29784*100)</f>
        <v>8.7182866548717416E-2</v>
      </c>
      <c r="E20" s="33">
        <f>IF(5943.78782="","-",5943.78782/7176590.69493*100)</f>
        <v>8.2821886779736079E-2</v>
      </c>
    </row>
    <row r="21" spans="1:7" x14ac:dyDescent="0.25">
      <c r="A21" s="50" t="s">
        <v>116</v>
      </c>
      <c r="B21" s="42">
        <v>37004.153270000003</v>
      </c>
      <c r="C21" s="47">
        <v>143.24846385027453</v>
      </c>
      <c r="D21" s="33">
        <f>IF(25832.14666="","-",25832.14666/5415988.29784*100)</f>
        <v>0.4769609024137359</v>
      </c>
      <c r="E21" s="33">
        <f>IF(37004.15327="","-",37004.15327/7176590.69493*100)</f>
        <v>0.51562301436728297</v>
      </c>
    </row>
    <row r="22" spans="1:7" x14ac:dyDescent="0.25">
      <c r="A22" s="30" t="s">
        <v>210</v>
      </c>
      <c r="B22" s="52">
        <v>1905266.5300400001</v>
      </c>
      <c r="C22" s="52">
        <v>144.58786937847884</v>
      </c>
      <c r="D22" s="31">
        <f>IF(1317722.25307="","-",1317722.25307/5415988.29784*100)</f>
        <v>24.330227109159985</v>
      </c>
      <c r="E22" s="31">
        <f>IF(1905266.53004="","-",1905266.53004/7176590.69493*100)</f>
        <v>26.548351592435132</v>
      </c>
    </row>
    <row r="23" spans="1:7" x14ac:dyDescent="0.25">
      <c r="A23" s="50" t="s">
        <v>125</v>
      </c>
      <c r="B23" s="17"/>
      <c r="C23" s="65"/>
      <c r="D23" s="17"/>
      <c r="E23" s="93"/>
    </row>
    <row r="24" spans="1:7" x14ac:dyDescent="0.25">
      <c r="A24" s="50" t="s">
        <v>110</v>
      </c>
      <c r="B24" s="42">
        <v>134181.22516999999</v>
      </c>
      <c r="C24" s="63" t="s">
        <v>355</v>
      </c>
      <c r="D24" s="33">
        <f>IF(39696.19393="","-",39696.19393/5415988.29784*100)</f>
        <v>0.73294460303453024</v>
      </c>
      <c r="E24" s="33">
        <f>IF(134181.22517="","-",134181.22517/7176590.69493*100)</f>
        <v>1.8697070917642569</v>
      </c>
    </row>
    <row r="25" spans="1:7" x14ac:dyDescent="0.25">
      <c r="A25" s="50" t="s">
        <v>111</v>
      </c>
      <c r="B25" s="42">
        <v>211309.59721000001</v>
      </c>
      <c r="C25" s="63">
        <v>98.246922003081167</v>
      </c>
      <c r="D25" s="33">
        <f>IF(215080.11946="","-",215080.11946/5415988.29784*100)</f>
        <v>3.9712072410824457</v>
      </c>
      <c r="E25" s="33">
        <f>IF(211309.59721="","-",211309.59721/7176590.69493*100)</f>
        <v>2.9444287154244777</v>
      </c>
      <c r="F25" s="1"/>
      <c r="G25" s="1"/>
    </row>
    <row r="26" spans="1:7" x14ac:dyDescent="0.25">
      <c r="A26" s="50" t="s">
        <v>112</v>
      </c>
      <c r="B26" s="42">
        <v>1141887.6991000001</v>
      </c>
      <c r="C26" s="63">
        <v>130.72523753069285</v>
      </c>
      <c r="D26" s="33">
        <f>IF(873502.10309="","-",873502.10309/5415988.29784*100)</f>
        <v>16.128212526573762</v>
      </c>
      <c r="E26" s="33">
        <f>IF(1141887.6991="","-",1141887.6991/7176590.69493*100)</f>
        <v>15.911283611404818</v>
      </c>
      <c r="F26" s="1"/>
      <c r="G26" s="1"/>
    </row>
    <row r="27" spans="1:7" x14ac:dyDescent="0.25">
      <c r="A27" s="50" t="s">
        <v>113</v>
      </c>
      <c r="B27" s="42">
        <v>30376.75359</v>
      </c>
      <c r="C27" s="63" t="s">
        <v>103</v>
      </c>
      <c r="D27" s="33">
        <f>IF(15899.68574="","-",15899.68574/5415988.29784*100)</f>
        <v>0.29356942566403071</v>
      </c>
      <c r="E27" s="33">
        <f>IF(30376.75359="","-",30376.75359/7176590.69493*100)</f>
        <v>0.42327554797656314</v>
      </c>
      <c r="F27" s="10"/>
      <c r="G27" s="10"/>
    </row>
    <row r="28" spans="1:7" x14ac:dyDescent="0.25">
      <c r="A28" s="50" t="s">
        <v>114</v>
      </c>
      <c r="B28" s="42">
        <v>361.26897000000002</v>
      </c>
      <c r="C28" s="63">
        <v>93.918141528676202</v>
      </c>
      <c r="D28" s="33">
        <f>IF(384.66367="","-",384.66367/5415988.29784*100)</f>
        <v>7.1023726205872943E-3</v>
      </c>
      <c r="E28" s="33">
        <f>IF(361.26897="","-",361.26897/7176590.69493*100)</f>
        <v>5.0339915616927043E-3</v>
      </c>
    </row>
    <row r="29" spans="1:7" x14ac:dyDescent="0.25">
      <c r="A29" s="50" t="s">
        <v>115</v>
      </c>
      <c r="B29" s="42">
        <v>384327.12151000003</v>
      </c>
      <c r="C29" s="63" t="s">
        <v>206</v>
      </c>
      <c r="D29" s="33">
        <f>IF(171511.25169="","-",171511.25169/5415988.29784*100)</f>
        <v>3.1667581659731798</v>
      </c>
      <c r="E29" s="33">
        <f>IF(384327.12151="","-",384327.12151/7176590.69493*100)</f>
        <v>5.3552882956180454</v>
      </c>
    </row>
    <row r="30" spans="1:7" x14ac:dyDescent="0.25">
      <c r="A30" s="50" t="s">
        <v>116</v>
      </c>
      <c r="B30" s="42">
        <v>2822.8644899999999</v>
      </c>
      <c r="C30" s="63" t="s">
        <v>101</v>
      </c>
      <c r="D30" s="33">
        <f>IF(1648.23549="","-",1648.23549/5415988.29784*100)</f>
        <v>3.0432774211446283E-2</v>
      </c>
      <c r="E30" s="33">
        <f>IF(2822.86449="","-",2822.86449/7176590.69493*100)</f>
        <v>3.9334338685279219E-2</v>
      </c>
    </row>
    <row r="31" spans="1:7" x14ac:dyDescent="0.25">
      <c r="A31" s="30" t="s">
        <v>211</v>
      </c>
      <c r="B31" s="52">
        <v>2122207.4980799998</v>
      </c>
      <c r="C31" s="64">
        <v>130.3950963613901</v>
      </c>
      <c r="D31" s="31">
        <f>IF(1627520.94005="","-",1627520.94005/5415988.29784*100)</f>
        <v>30.050303851267309</v>
      </c>
      <c r="E31" s="31">
        <f>IF(2122207.49808="","-",2122207.49808/7176590.69493*100)</f>
        <v>29.571248915996591</v>
      </c>
    </row>
    <row r="32" spans="1:7" x14ac:dyDescent="0.25">
      <c r="A32" s="50" t="s">
        <v>125</v>
      </c>
      <c r="B32" s="17"/>
      <c r="C32" s="64"/>
      <c r="D32" s="17"/>
      <c r="E32" s="17"/>
    </row>
    <row r="33" spans="1:5" x14ac:dyDescent="0.25">
      <c r="A33" s="50" t="s">
        <v>110</v>
      </c>
      <c r="B33" s="42">
        <v>26323.610069999999</v>
      </c>
      <c r="C33" s="47" t="s">
        <v>93</v>
      </c>
      <c r="D33" s="33">
        <f>IF(12476.42861="","-",12476.42861/5415988.29784*100)</f>
        <v>0.23036291668089162</v>
      </c>
      <c r="E33" s="33">
        <f>IF(26323.61007="","-",26323.61007/7176590.69493*100)</f>
        <v>0.36679826381343816</v>
      </c>
    </row>
    <row r="34" spans="1:5" x14ac:dyDescent="0.25">
      <c r="A34" s="50" t="s">
        <v>111</v>
      </c>
      <c r="B34" s="42">
        <v>116.29013999999999</v>
      </c>
      <c r="C34" s="47">
        <v>54.004183148123829</v>
      </c>
      <c r="D34" s="33">
        <f>IF(215.33543="","-",215.33543/5415988.29784*100)</f>
        <v>3.975921256806997E-3</v>
      </c>
      <c r="E34" s="33">
        <f>IF(116.29014="","-",116.29014/7176590.69493*100)</f>
        <v>1.6204092575901638E-3</v>
      </c>
    </row>
    <row r="35" spans="1:5" x14ac:dyDescent="0.25">
      <c r="A35" s="50" t="s">
        <v>112</v>
      </c>
      <c r="B35" s="42">
        <v>1977873.34375</v>
      </c>
      <c r="C35" s="47">
        <v>130.15026506196185</v>
      </c>
      <c r="D35" s="33">
        <f>IF(1519684.45305="","-",1519684.45305/5415988.29784*100)</f>
        <v>28.059227041832408</v>
      </c>
      <c r="E35" s="33">
        <f>IF(1977873.34375="","-",1977873.34375/7176590.69493*100)</f>
        <v>27.560068949554211</v>
      </c>
    </row>
    <row r="36" spans="1:5" x14ac:dyDescent="0.25">
      <c r="A36" s="50" t="s">
        <v>113</v>
      </c>
      <c r="B36" s="42">
        <v>106944.85954</v>
      </c>
      <c r="C36" s="47">
        <v>127.76530469152851</v>
      </c>
      <c r="D36" s="33">
        <f>IF(83704.14785="","-",83704.14785/5415988.29784*100)</f>
        <v>1.5455008993166182</v>
      </c>
      <c r="E36" s="33">
        <f>IF(106944.85954="","-",106944.85954/7176590.69493*100)</f>
        <v>1.4901903157937186</v>
      </c>
    </row>
    <row r="37" spans="1:5" x14ac:dyDescent="0.25">
      <c r="A37" s="50" t="s">
        <v>114</v>
      </c>
      <c r="B37" s="42">
        <v>5327.7795299999998</v>
      </c>
      <c r="C37" s="47">
        <v>67.265462084125843</v>
      </c>
      <c r="D37" s="33">
        <f>IF(7920.52766="","-",7920.52766/5415988.29784*100)</f>
        <v>0.14624344116767862</v>
      </c>
      <c r="E37" s="33">
        <f>IF(5327.77953="","-",5327.77953/7176590.69493*100)</f>
        <v>7.4238308362268468E-2</v>
      </c>
    </row>
    <row r="38" spans="1:5" x14ac:dyDescent="0.25">
      <c r="A38" s="51" t="s">
        <v>116</v>
      </c>
      <c r="B38" s="35">
        <v>5621.6150500000003</v>
      </c>
      <c r="C38" s="53" t="s">
        <v>102</v>
      </c>
      <c r="D38" s="35">
        <f>IF(3520.04745="","-",3520.04745/5415988.29784*100)</f>
        <v>6.4993631012900496E-2</v>
      </c>
      <c r="E38" s="35">
        <f>IF(5621.61505="","-",5621.61505/7176590.69493*100)</f>
        <v>7.8332669215362472E-2</v>
      </c>
    </row>
    <row r="39" spans="1:5" x14ac:dyDescent="0.25">
      <c r="A39" s="60" t="s">
        <v>20</v>
      </c>
    </row>
    <row r="40" spans="1:5" x14ac:dyDescent="0.25">
      <c r="B40" s="1"/>
      <c r="C40" s="1"/>
      <c r="D40" s="1"/>
      <c r="E40" s="1"/>
    </row>
  </sheetData>
  <mergeCells count="4">
    <mergeCell ref="A1:E1"/>
    <mergeCell ref="A3:A4"/>
    <mergeCell ref="B3:C3"/>
    <mergeCell ref="D3:E3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0"/>
  <sheetViews>
    <sheetView zoomScaleNormal="100" workbookViewId="0">
      <selection activeCell="C23" sqref="C23"/>
    </sheetView>
  </sheetViews>
  <sheetFormatPr defaultRowHeight="15.75" x14ac:dyDescent="0.25"/>
  <cols>
    <col min="1" max="1" width="5.625" customWidth="1"/>
    <col min="2" max="2" width="26.125" customWidth="1"/>
    <col min="3" max="3" width="11.625" customWidth="1"/>
    <col min="4" max="4" width="9.5" customWidth="1"/>
    <col min="5" max="7" width="8.25" customWidth="1"/>
    <col min="8" max="8" width="8.875" customWidth="1"/>
    <col min="10" max="10" width="9.125" customWidth="1"/>
  </cols>
  <sheetData>
    <row r="1" spans="1:11" x14ac:dyDescent="0.25">
      <c r="B1" s="110" t="s">
        <v>135</v>
      </c>
      <c r="C1" s="110"/>
      <c r="D1" s="110"/>
      <c r="E1" s="110"/>
      <c r="F1" s="110"/>
      <c r="G1" s="110"/>
      <c r="H1" s="110"/>
    </row>
    <row r="2" spans="1:11" x14ac:dyDescent="0.25">
      <c r="B2" s="110" t="s">
        <v>298</v>
      </c>
      <c r="C2" s="110"/>
      <c r="D2" s="110"/>
      <c r="E2" s="110"/>
      <c r="F2" s="110"/>
      <c r="G2" s="110"/>
      <c r="H2" s="110"/>
    </row>
    <row r="3" spans="1:11" x14ac:dyDescent="0.25">
      <c r="B3" s="6"/>
    </row>
    <row r="4" spans="1:11" ht="57" customHeight="1" x14ac:dyDescent="0.25">
      <c r="A4" s="113" t="s">
        <v>223</v>
      </c>
      <c r="B4" s="115"/>
      <c r="C4" s="117" t="s">
        <v>409</v>
      </c>
      <c r="D4" s="118"/>
      <c r="E4" s="119" t="s">
        <v>0</v>
      </c>
      <c r="F4" s="120"/>
      <c r="G4" s="121" t="s">
        <v>104</v>
      </c>
      <c r="H4" s="122"/>
    </row>
    <row r="5" spans="1:11" ht="33" customHeight="1" x14ac:dyDescent="0.25">
      <c r="A5" s="114"/>
      <c r="B5" s="116"/>
      <c r="C5" s="74" t="s">
        <v>108</v>
      </c>
      <c r="D5" s="83" t="s">
        <v>408</v>
      </c>
      <c r="E5" s="74">
        <v>2020</v>
      </c>
      <c r="F5" s="74">
        <v>2021</v>
      </c>
      <c r="G5" s="73" t="s">
        <v>388</v>
      </c>
      <c r="H5" s="80" t="s">
        <v>389</v>
      </c>
    </row>
    <row r="6" spans="1:11" ht="16.5" customHeight="1" x14ac:dyDescent="0.25">
      <c r="A6" s="25"/>
      <c r="B6" s="38" t="s">
        <v>98</v>
      </c>
      <c r="C6" s="28">
        <v>3144446.15815</v>
      </c>
      <c r="D6" s="29">
        <f>IF(2467106.07968="","-",3144446.15815/2467106.07968*100)</f>
        <v>127.45484209409656</v>
      </c>
      <c r="E6" s="29">
        <v>100</v>
      </c>
      <c r="F6" s="29">
        <v>100</v>
      </c>
      <c r="G6" s="29">
        <f>IF(2779164.46518="","-",(2467106.07968-2779164.46518)/2779164.46518*100)</f>
        <v>-11.228496528714381</v>
      </c>
      <c r="H6" s="29">
        <f>IF(2467106.07968="","-",(3144446.15815-2467106.07968)/2467106.07968*100)</f>
        <v>27.454842094096559</v>
      </c>
    </row>
    <row r="7" spans="1:11" x14ac:dyDescent="0.25">
      <c r="A7" s="20" t="s">
        <v>224</v>
      </c>
      <c r="B7" s="21" t="s">
        <v>184</v>
      </c>
      <c r="C7" s="66">
        <v>810914.71768</v>
      </c>
      <c r="D7" s="31" t="s">
        <v>218</v>
      </c>
      <c r="E7" s="31">
        <f>IF(525904.29071="","-",525904.29071/2467106.07968*100)</f>
        <v>21.316646861743912</v>
      </c>
      <c r="F7" s="31">
        <f>IF(810914.71768="","-",810914.71768/3144446.15815*100)</f>
        <v>25.788793221286788</v>
      </c>
      <c r="G7" s="31">
        <f>IF(2779164.46518="","-",(525904.29071-636764.92903)/2779164.46518*100)</f>
        <v>-3.9889916451137353</v>
      </c>
      <c r="H7" s="31">
        <f>IF(2467106.07968="","-",(810914.71768-525904.29071)/2467106.07968*100)</f>
        <v>11.552418816420239</v>
      </c>
    </row>
    <row r="8" spans="1:11" ht="13.5" customHeight="1" x14ac:dyDescent="0.25">
      <c r="A8" s="22" t="s">
        <v>225</v>
      </c>
      <c r="B8" s="23" t="s">
        <v>22</v>
      </c>
      <c r="C8" s="41">
        <v>7186.10106</v>
      </c>
      <c r="D8" s="33">
        <f>IF(OR(9947.75657="",7186.10106=""),"-",7186.10106/9947.75657*100)</f>
        <v>72.23840882547853</v>
      </c>
      <c r="E8" s="33">
        <f>IF(9947.75657="","-",9947.75657/2467106.07968*100)</f>
        <v>0.40321559952096953</v>
      </c>
      <c r="F8" s="33">
        <f>IF(7186.10106="","-",7186.10106/3144446.15815*100)</f>
        <v>0.22853312470860887</v>
      </c>
      <c r="G8" s="33">
        <f>IF(OR(2779164.46518="",10014.97748="",9947.75657=""),"-",(9947.75657-10014.97748)/2779164.46518*100)</f>
        <v>-2.4187453042886493E-3</v>
      </c>
      <c r="H8" s="33">
        <f>IF(OR(2467106.07968="",7186.10106="",9947.75657=""),"-",(7186.10106-9947.75657)/2467106.07968*100)</f>
        <v>-0.1119390662909073</v>
      </c>
      <c r="I8" s="20"/>
      <c r="J8" s="21"/>
      <c r="K8" s="18"/>
    </row>
    <row r="9" spans="1:11" x14ac:dyDescent="0.25">
      <c r="A9" s="22" t="s">
        <v>226</v>
      </c>
      <c r="B9" s="23" t="s">
        <v>185</v>
      </c>
      <c r="C9" s="41">
        <v>8122.7079000000003</v>
      </c>
      <c r="D9" s="33">
        <f>IF(OR(6096.64739="",8122.7079=""),"-",8122.7079/6096.64739*100)</f>
        <v>133.23237150508714</v>
      </c>
      <c r="E9" s="33">
        <f>IF(6096.64739="","-",6096.64739/2467106.07968*100)</f>
        <v>0.2471173590878093</v>
      </c>
      <c r="F9" s="33">
        <f>IF(8122.7079="","-",8122.7079/3144446.15815*100)</f>
        <v>0.25831919172624362</v>
      </c>
      <c r="G9" s="33">
        <f>IF(OR(2779164.46518="",8727.95403="",6096.64739=""),"-",(6096.64739-8727.95403)/2779164.46518*100)</f>
        <v>-9.4679774189958835E-2</v>
      </c>
      <c r="H9" s="33">
        <f>IF(OR(2467106.07968="",8122.7079="",6096.64739=""),"-",(8122.7079-6096.64739)/2467106.07968*100)</f>
        <v>8.2122958825621054E-2</v>
      </c>
      <c r="I9" s="22"/>
      <c r="J9" s="23"/>
      <c r="K9" s="19"/>
    </row>
    <row r="10" spans="1:11" s="7" customFormat="1" x14ac:dyDescent="0.25">
      <c r="A10" s="22" t="s">
        <v>227</v>
      </c>
      <c r="B10" s="23" t="s">
        <v>186</v>
      </c>
      <c r="C10" s="41">
        <v>12314.350130000001</v>
      </c>
      <c r="D10" s="33">
        <f>IF(OR(11944.79301="",12314.35013=""),"-",12314.35013/11944.79301*100)</f>
        <v>103.09387629982885</v>
      </c>
      <c r="E10" s="33">
        <f>IF(11944.79301="","-",11944.79301/2467106.07968*100)</f>
        <v>0.48416211643195006</v>
      </c>
      <c r="F10" s="33">
        <f>IF(12314.35013="","-",12314.35013/3144446.15815*100)</f>
        <v>0.39162222886478082</v>
      </c>
      <c r="G10" s="33">
        <f>IF(OR(2779164.46518="",14388.67804="",11944.79301=""),"-",(11944.79301-14388.67804)/2779164.46518*100)</f>
        <v>-8.7935962790950437E-2</v>
      </c>
      <c r="H10" s="33">
        <f>IF(OR(2467106.07968="",12314.35013="",11944.79301=""),"-",(12314.35013-11944.79301)/2467106.07968*100)</f>
        <v>1.4979376973037792E-2</v>
      </c>
      <c r="I10" s="22"/>
      <c r="J10" s="23"/>
      <c r="K10" s="19"/>
    </row>
    <row r="11" spans="1:11" s="7" customFormat="1" x14ac:dyDescent="0.25">
      <c r="A11" s="22" t="s">
        <v>228</v>
      </c>
      <c r="B11" s="23" t="s">
        <v>187</v>
      </c>
      <c r="C11" s="41">
        <v>40.011040000000001</v>
      </c>
      <c r="D11" s="33" t="s">
        <v>302</v>
      </c>
      <c r="E11" s="33">
        <f>IF(14.99928="","-",14.99928/2467106.07968*100)</f>
        <v>6.0797061478384037E-4</v>
      </c>
      <c r="F11" s="33">
        <f>IF(40.01104="","-",40.01104/3144446.15815*100)</f>
        <v>1.2724352075896271E-3</v>
      </c>
      <c r="G11" s="33">
        <f>IF(OR(2779164.46518="",23.27495="",14.99928=""),"-",(14.99928-23.27495)/2779164.46518*100)</f>
        <v>-2.9777546826340864E-4</v>
      </c>
      <c r="H11" s="33">
        <f>IF(OR(2467106.07968="",40.01104="",14.99928=""),"-",(40.01104-14.99928)/2467106.07968*100)</f>
        <v>1.0138096697992083E-3</v>
      </c>
      <c r="I11" s="22"/>
      <c r="J11" s="23"/>
      <c r="K11" s="19"/>
    </row>
    <row r="12" spans="1:11" s="7" customFormat="1" ht="15.75" customHeight="1" x14ac:dyDescent="0.25">
      <c r="A12" s="22" t="s">
        <v>229</v>
      </c>
      <c r="B12" s="23" t="s">
        <v>188</v>
      </c>
      <c r="C12" s="41">
        <v>388688.8284</v>
      </c>
      <c r="D12" s="33" t="s">
        <v>373</v>
      </c>
      <c r="E12" s="33">
        <f>IF(131869.73437="","-",131869.73437/2467106.07968*100)</f>
        <v>5.3451181307576512</v>
      </c>
      <c r="F12" s="33">
        <f>IF(388688.8284="","-",388688.8284/3144446.15815*100)</f>
        <v>12.361122081628542</v>
      </c>
      <c r="G12" s="33">
        <f>IF(OR(2779164.46518="",250060.03356="",131869.73437=""),"-",(131869.73437-250060.03356)/2779164.46518*100)</f>
        <v>-4.2527277773877667</v>
      </c>
      <c r="H12" s="33">
        <f>IF(OR(2467106.07968="",388688.8284="",131869.73437=""),"-",(388688.8284-131869.73437)/2467106.07968*100)</f>
        <v>10.409730499440508</v>
      </c>
      <c r="I12" s="22"/>
      <c r="J12" s="23"/>
      <c r="K12" s="19"/>
    </row>
    <row r="13" spans="1:11" s="7" customFormat="1" ht="15.75" customHeight="1" x14ac:dyDescent="0.25">
      <c r="A13" s="22" t="s">
        <v>230</v>
      </c>
      <c r="B13" s="23" t="s">
        <v>189</v>
      </c>
      <c r="C13" s="41">
        <v>314885.22276999999</v>
      </c>
      <c r="D13" s="33">
        <f>IF(OR(303419.50665="",314885.22277=""),"-",314885.22277/303419.50665*100)</f>
        <v>103.77883289264784</v>
      </c>
      <c r="E13" s="33">
        <f>IF(303419.50665="","-",303419.50665/2467106.07968*100)</f>
        <v>12.298599932490765</v>
      </c>
      <c r="F13" s="33">
        <f>IF(314885.22277="","-",314885.22277/3144446.15815*100)</f>
        <v>10.01401222768143</v>
      </c>
      <c r="G13" s="33">
        <f>IF(OR(2779164.46518="",293357.8022="",303419.50665=""),"-",(303419.50665-293357.8022)/2779164.46518*100)</f>
        <v>0.36204062681653304</v>
      </c>
      <c r="H13" s="33">
        <f>IF(OR(2467106.07968="",314885.22277="",303419.50665=""),"-",(314885.22277-303419.50665)/2467106.07968*100)</f>
        <v>0.4647435395841259</v>
      </c>
      <c r="I13" s="22"/>
      <c r="J13" s="23"/>
      <c r="K13" s="19"/>
    </row>
    <row r="14" spans="1:11" s="7" customFormat="1" ht="25.5" x14ac:dyDescent="0.25">
      <c r="A14" s="22" t="s">
        <v>231</v>
      </c>
      <c r="B14" s="23" t="s">
        <v>147</v>
      </c>
      <c r="C14" s="41">
        <v>32712.443780000001</v>
      </c>
      <c r="D14" s="33" t="s">
        <v>207</v>
      </c>
      <c r="E14" s="33">
        <f>IF(18677.69162="","-",18677.69162/2467106.07968*100)</f>
        <v>0.7570688497684146</v>
      </c>
      <c r="F14" s="33">
        <f>IF(32712.44378="","-",32712.44378/3144446.15815*100)</f>
        <v>1.0403245002371422</v>
      </c>
      <c r="G14" s="33">
        <f>IF(OR(2779164.46518="",21720.44973="",18677.69162=""),"-",(18677.69162-21720.44973)/2779164.46518*100)</f>
        <v>-0.10948463641222207</v>
      </c>
      <c r="H14" s="33">
        <f>IF(OR(2467106.07968="",32712.44378="",18677.69162=""),"-",(32712.44378-18677.69162)/2467106.07968*100)</f>
        <v>0.5688750992750341</v>
      </c>
      <c r="I14" s="22"/>
      <c r="J14" s="23"/>
      <c r="K14" s="19"/>
    </row>
    <row r="15" spans="1:11" s="7" customFormat="1" ht="25.5" x14ac:dyDescent="0.25">
      <c r="A15" s="22" t="s">
        <v>232</v>
      </c>
      <c r="B15" s="23" t="s">
        <v>190</v>
      </c>
      <c r="C15" s="41">
        <v>10800.289220000001</v>
      </c>
      <c r="D15" s="33">
        <f>IF(OR(8315.07885="",10800.28922=""),"-",10800.28922/8315.07885*100)</f>
        <v>129.88799522929361</v>
      </c>
      <c r="E15" s="33">
        <f>IF(8315.07885="","-",8315.07885/2467106.07968*100)</f>
        <v>0.33703775117276352</v>
      </c>
      <c r="F15" s="33">
        <f>IF(10800.28922="","-",10800.28922/3144446.15815*100)</f>
        <v>0.34347190814531964</v>
      </c>
      <c r="G15" s="33">
        <f>IF(OR(2779164.46518="",10275.69611="",8315.07885=""),"-",(8315.07885-10275.69611)/2779164.46518*100)</f>
        <v>-7.0547003769099226E-2</v>
      </c>
      <c r="H15" s="33">
        <f>IF(OR(2467106.07968="",10800.28922="",8315.07885=""),"-",(10800.28922-8315.07885)/2467106.07968*100)</f>
        <v>0.10073382699143398</v>
      </c>
      <c r="I15" s="22"/>
      <c r="J15" s="23"/>
      <c r="K15" s="19"/>
    </row>
    <row r="16" spans="1:11" s="7" customFormat="1" ht="25.5" x14ac:dyDescent="0.25">
      <c r="A16" s="22" t="s">
        <v>233</v>
      </c>
      <c r="B16" s="23" t="s">
        <v>148</v>
      </c>
      <c r="C16" s="41">
        <v>30560.518189999999</v>
      </c>
      <c r="D16" s="33">
        <f>IF(OR(31850.15817="",30560.51819=""),"-",30560.51819/31850.15817*100)</f>
        <v>95.950914990385428</v>
      </c>
      <c r="E16" s="33">
        <f>IF(31850.15817="","-",31850.15817/2467106.07968*100)</f>
        <v>1.2909926505523903</v>
      </c>
      <c r="F16" s="33">
        <f>IF(30560.51819="","-",30560.51819/3144446.15815*100)</f>
        <v>0.97188874138585801</v>
      </c>
      <c r="G16" s="33">
        <f>IF(OR(2779164.46518="",25508.17377="",31850.15817=""),"-",(31850.15817-25508.17377)/2779164.46518*100)</f>
        <v>0.22819752049432029</v>
      </c>
      <c r="H16" s="33">
        <f>IF(OR(2467106.07968="",30560.51819="",31850.15817=""),"-",(30560.51819-31850.15817)/2467106.07968*100)</f>
        <v>-5.2273389888742638E-2</v>
      </c>
      <c r="I16" s="22"/>
      <c r="J16" s="23"/>
      <c r="K16" s="19"/>
    </row>
    <row r="17" spans="1:11" s="7" customFormat="1" ht="25.5" x14ac:dyDescent="0.25">
      <c r="A17" s="22" t="s">
        <v>234</v>
      </c>
      <c r="B17" s="23" t="s">
        <v>191</v>
      </c>
      <c r="C17" s="41">
        <v>5604.2451899999996</v>
      </c>
      <c r="D17" s="33">
        <f>IF(OR(3767.9248="",5604.24519=""),"-",5604.24519/3767.9248*100)</f>
        <v>148.73559021135455</v>
      </c>
      <c r="E17" s="33">
        <f>IF(3767.9248="","-",3767.9248/2467106.07968*100)</f>
        <v>0.15272650134641655</v>
      </c>
      <c r="F17" s="33">
        <f>IF(5604.24519="","-",5604.24519/3144446.15815*100)</f>
        <v>0.1782267817012709</v>
      </c>
      <c r="G17" s="33">
        <f>IF(OR(2779164.46518="",2687.88916="",3767.9248=""),"-",(3767.9248-2687.88916)/2779164.46518*100)</f>
        <v>3.8861882897961143E-2</v>
      </c>
      <c r="H17" s="33">
        <f>IF(OR(2467106.07968="",5604.24519="",3767.9248=""),"-",(5604.24519-3767.9248)/2467106.07968*100)</f>
        <v>7.4432161840328442E-2</v>
      </c>
      <c r="I17" s="22" t="s">
        <v>422</v>
      </c>
      <c r="J17" s="23"/>
      <c r="K17" s="19"/>
    </row>
    <row r="18" spans="1:11" s="7" customFormat="1" x14ac:dyDescent="0.25">
      <c r="A18" s="20" t="s">
        <v>235</v>
      </c>
      <c r="B18" s="21" t="s">
        <v>192</v>
      </c>
      <c r="C18" s="66">
        <v>209509.92965000001</v>
      </c>
      <c r="D18" s="31">
        <f>IF(187055.02829="","-",209509.92965/187055.02829*100)</f>
        <v>112.00443610913638</v>
      </c>
      <c r="E18" s="31">
        <f>IF(187055.02829="","-",187055.02829/2467106.07968*100)</f>
        <v>7.5819613040012559</v>
      </c>
      <c r="F18" s="31">
        <f>IF(209509.92965="","-",209509.92965/3144446.15815*100)</f>
        <v>6.6628563223121882</v>
      </c>
      <c r="G18" s="31">
        <f>IF(2779164.46518="","-",(187055.02829-218271.30497)/2779164.46518*100)</f>
        <v>-1.1232252380565109</v>
      </c>
      <c r="H18" s="31">
        <f>IF(2467106.07968="","-",(209509.92965-187055.02829)/2467106.07968*100)</f>
        <v>0.91017170055827379</v>
      </c>
      <c r="I18" s="22"/>
      <c r="J18" s="23"/>
      <c r="K18" s="19"/>
    </row>
    <row r="19" spans="1:11" s="7" customFormat="1" x14ac:dyDescent="0.25">
      <c r="A19" s="22" t="s">
        <v>236</v>
      </c>
      <c r="B19" s="23" t="s">
        <v>193</v>
      </c>
      <c r="C19" s="41">
        <v>196797.50068999999</v>
      </c>
      <c r="D19" s="33">
        <f>IF(OR(178467.74368="",196797.50069=""),"-",196797.50069/178467.74368*100)</f>
        <v>110.27062741537539</v>
      </c>
      <c r="E19" s="33">
        <f>IF(178467.74368="","-",178467.74368/2467106.07968*100)</f>
        <v>7.2338901496748154</v>
      </c>
      <c r="F19" s="33">
        <f>IF(196797.50069="","-",196797.50069/3144446.15815*100)</f>
        <v>6.258574349569515</v>
      </c>
      <c r="G19" s="33">
        <f>IF(OR(2779164.46518="",195898.85448="",178467.74368=""),"-",(178467.74368-195898.85448)/2779164.46518*100)</f>
        <v>-0.62720688244231071</v>
      </c>
      <c r="H19" s="33">
        <f>IF(OR(2467106.07968="",196797.50069="",178467.74368=""),"-",(196797.50069-178467.74368)/2467106.07968*100)</f>
        <v>0.74296590491064185</v>
      </c>
      <c r="I19" s="20"/>
      <c r="J19" s="21"/>
      <c r="K19" s="18"/>
    </row>
    <row r="20" spans="1:11" s="7" customFormat="1" x14ac:dyDescent="0.25">
      <c r="A20" s="22" t="s">
        <v>237</v>
      </c>
      <c r="B20" s="23" t="s">
        <v>194</v>
      </c>
      <c r="C20" s="41">
        <v>12712.428959999999</v>
      </c>
      <c r="D20" s="33">
        <f>IF(OR(8587.28461="",12712.42896=""),"-",12712.42896/8587.28461*100)</f>
        <v>148.03782030464222</v>
      </c>
      <c r="E20" s="33">
        <f>IF(8587.28461="","-",8587.28461/2467106.07968*100)</f>
        <v>0.34807115432644181</v>
      </c>
      <c r="F20" s="33">
        <f>IF(12712.42896="","-",12712.42896/3144446.15815*100)</f>
        <v>0.40428197274267264</v>
      </c>
      <c r="G20" s="33">
        <f>IF(OR(2779164.46518="",22372.45049="",8587.28461=""),"-",(8587.28461-22372.45049)/2779164.46518*100)</f>
        <v>-0.49601835561419955</v>
      </c>
      <c r="H20" s="33">
        <f>IF(OR(2467106.07968="",12712.42896="",8587.28461=""),"-",(12712.42896-8587.28461)/2467106.07968*100)</f>
        <v>0.16720579564763011</v>
      </c>
      <c r="I20" s="22"/>
      <c r="J20" s="23"/>
      <c r="K20" s="19"/>
    </row>
    <row r="21" spans="1:11" s="7" customFormat="1" ht="25.5" x14ac:dyDescent="0.25">
      <c r="A21" s="20" t="s">
        <v>238</v>
      </c>
      <c r="B21" s="21" t="s">
        <v>23</v>
      </c>
      <c r="C21" s="66">
        <v>364785.25907999999</v>
      </c>
      <c r="D21" s="31">
        <f>IF(267189.44491="","-",364785.25908/267189.44491*100)</f>
        <v>136.5268224584523</v>
      </c>
      <c r="E21" s="31">
        <f>IF(267189.44491="","-",267189.44491/2467106.07968*100)</f>
        <v>10.830075249324352</v>
      </c>
      <c r="F21" s="31">
        <f>IF(364785.25908="","-",364785.25908/3144446.15815*100)</f>
        <v>11.600938312603112</v>
      </c>
      <c r="G21" s="31">
        <f>IF(2779164.46518="","-",(267189.44491-296070.22462)/2779164.46518*100)</f>
        <v>-1.0391892985048452</v>
      </c>
      <c r="H21" s="31">
        <f>IF(2467106.07968="","-",(364785.25908-267189.44491)/2467106.07968*100)</f>
        <v>3.9558823584374938</v>
      </c>
      <c r="I21" s="22"/>
      <c r="J21" s="23"/>
      <c r="K21" s="19"/>
    </row>
    <row r="22" spans="1:11" s="7" customFormat="1" ht="15" customHeight="1" x14ac:dyDescent="0.25">
      <c r="A22" s="22" t="s">
        <v>239</v>
      </c>
      <c r="B22" s="23" t="s">
        <v>201</v>
      </c>
      <c r="C22" s="41">
        <v>1167.0802200000001</v>
      </c>
      <c r="D22" s="33">
        <f>IF(OR(1232.11718="",1167.08022=""),"-",1167.08022/1232.11718*100)</f>
        <v>94.721528028689619</v>
      </c>
      <c r="E22" s="33">
        <f>IF(1232.11718="","-",1232.11718/2467106.07968*100)</f>
        <v>4.9941799833747469E-2</v>
      </c>
      <c r="F22" s="33">
        <f>IF(1167.08022="","-",1167.08022/3144446.15815*100)</f>
        <v>3.7115605143216664E-2</v>
      </c>
      <c r="G22" s="33">
        <f>IF(OR(2779164.46518="",1673.2817="",1232.11718=""),"-",(1232.11718-1673.2817)/2779164.46518*100)</f>
        <v>-1.5873998301551645E-2</v>
      </c>
      <c r="H22" s="33">
        <f>IF(OR(2467106.07968="",1167.08022="",1232.11718=""),"-",(1167.08022-1232.11718)/2467106.07968*100)</f>
        <v>-2.6361639061922961E-3</v>
      </c>
      <c r="I22" s="20"/>
      <c r="J22" s="21"/>
      <c r="K22" s="18"/>
    </row>
    <row r="23" spans="1:11" s="7" customFormat="1" ht="15" customHeight="1" x14ac:dyDescent="0.25">
      <c r="A23" s="22" t="s">
        <v>240</v>
      </c>
      <c r="B23" s="23" t="s">
        <v>195</v>
      </c>
      <c r="C23" s="41">
        <v>256287.78593000001</v>
      </c>
      <c r="D23" s="33">
        <f>IF(OR(222416.51766="",256287.78593=""),"-",256287.78593/222416.51766*100)</f>
        <v>115.22875577153751</v>
      </c>
      <c r="E23" s="33">
        <f>IF(222416.51766="","-",222416.51766/2467106.07968*100)</f>
        <v>9.015279865422281</v>
      </c>
      <c r="F23" s="33">
        <f>IF(256287.78593="","-",256287.78593/3144446.15815*100)</f>
        <v>8.1504905169304624</v>
      </c>
      <c r="G23" s="33">
        <f>IF(OR(2779164.46518="",260749.15602="",222416.51766=""),"-",(222416.51766-260749.15602)/2779164.46518*100)</f>
        <v>-1.379286430877608</v>
      </c>
      <c r="H23" s="33">
        <f>IF(OR(2467106.07968="",256287.78593="",222416.51766=""),"-",(256287.78593-222416.51766)/2467106.07968*100)</f>
        <v>1.3729149528257549</v>
      </c>
      <c r="I23" s="22"/>
      <c r="J23" s="23"/>
      <c r="K23" s="19"/>
    </row>
    <row r="24" spans="1:11" s="7" customFormat="1" ht="25.5" x14ac:dyDescent="0.25">
      <c r="A24" s="22" t="s">
        <v>294</v>
      </c>
      <c r="B24" s="23" t="s">
        <v>196</v>
      </c>
      <c r="C24" s="41">
        <v>1.0991200000000001</v>
      </c>
      <c r="D24" s="33" t="s">
        <v>397</v>
      </c>
      <c r="E24" s="33">
        <f>IF(0.16791="","-",0.16791/2467106.07968*100)</f>
        <v>6.8059497474781887E-6</v>
      </c>
      <c r="F24" s="33">
        <f>IF(1.09912="","-",1.09912/3144446.15815*100)</f>
        <v>3.4954327239829578E-5</v>
      </c>
      <c r="G24" s="33">
        <f>IF(OR(2779164.46518="",1.25194="",0.16791=""),"-",(0.16791-1.25194)/2779164.46518*100)</f>
        <v>-3.9005608109262798E-5</v>
      </c>
      <c r="H24" s="33">
        <f>IF(OR(2467106.07968="",1.09912="",0.16791=""),"-",(1.09912-0.16791)/2467106.07968*100)</f>
        <v>3.7745032841100382E-5</v>
      </c>
      <c r="I24" s="22"/>
      <c r="J24" s="23"/>
      <c r="K24" s="19"/>
    </row>
    <row r="25" spans="1:11" s="7" customFormat="1" x14ac:dyDescent="0.25">
      <c r="A25" s="22" t="s">
        <v>241</v>
      </c>
      <c r="B25" s="23" t="s">
        <v>197</v>
      </c>
      <c r="C25" s="41">
        <v>2379.1532099999999</v>
      </c>
      <c r="D25" s="33" t="s">
        <v>218</v>
      </c>
      <c r="E25" s="33">
        <f>IF(1555.05533="","-",1555.05533/2467106.07968*100)</f>
        <v>6.303155518151457E-2</v>
      </c>
      <c r="F25" s="33">
        <f>IF(2379.15321="","-",2379.15321/3144446.15815*100)</f>
        <v>7.5662074983651448E-2</v>
      </c>
      <c r="G25" s="33">
        <f>IF(OR(2779164.46518="",1220.82463="",1555.05533=""),"-",(1555.05533-1220.82463)/2779164.46518*100)</f>
        <v>1.2026301580477084E-2</v>
      </c>
      <c r="H25" s="33">
        <f>IF(OR(2467106.07968="",2379.15321="",1555.05533=""),"-",(2379.15321-1555.05533)/2467106.07968*100)</f>
        <v>3.3403423014015311E-2</v>
      </c>
      <c r="I25" s="22"/>
      <c r="J25" s="23"/>
      <c r="K25" s="19"/>
    </row>
    <row r="26" spans="1:11" s="7" customFormat="1" ht="14.25" customHeight="1" x14ac:dyDescent="0.25">
      <c r="A26" s="22" t="s">
        <v>242</v>
      </c>
      <c r="B26" s="23" t="s">
        <v>149</v>
      </c>
      <c r="C26" s="41">
        <v>5278.5742799999998</v>
      </c>
      <c r="D26" s="33" t="s">
        <v>293</v>
      </c>
      <c r="E26" s="33">
        <f>IF(2057.676="","-",2057.676/2467106.07968*100)</f>
        <v>8.3404439596164184E-2</v>
      </c>
      <c r="F26" s="33">
        <f>IF(5278.57428="","-",5278.57428/3144446.15815*100)</f>
        <v>0.16786976193943134</v>
      </c>
      <c r="G26" s="33">
        <f>IF(OR(2779164.46518="",2638.01826="",2057.676=""),"-",(2057.676-2638.01826)/2779164.46518*100)</f>
        <v>-2.0881896961157803E-2</v>
      </c>
      <c r="H26" s="33">
        <f>IF(OR(2467106.07968="",5278.57428="",2057.676=""),"-",(5278.57428-2057.676)/2467106.07968*100)</f>
        <v>0.13055370040747385</v>
      </c>
      <c r="I26" s="22"/>
      <c r="J26" s="23"/>
      <c r="K26" s="19"/>
    </row>
    <row r="27" spans="1:11" s="7" customFormat="1" ht="38.25" x14ac:dyDescent="0.25">
      <c r="A27" s="22" t="s">
        <v>243</v>
      </c>
      <c r="B27" s="23" t="s">
        <v>150</v>
      </c>
      <c r="C27" s="41">
        <v>320.31112000000002</v>
      </c>
      <c r="D27" s="33" t="s">
        <v>102</v>
      </c>
      <c r="E27" s="33">
        <f>IF(194.20705="","-",194.20705/2467106.07968*100)</f>
        <v>7.8718564880351609E-3</v>
      </c>
      <c r="F27" s="33">
        <f>IF(320.31112="","-",320.31112/3144446.15815*100)</f>
        <v>1.0186567169222942E-2</v>
      </c>
      <c r="G27" s="33">
        <f>IF(OR(2779164.46518="",348.21492="",194.20705=""),"-",(194.20705-348.21492)/2779164.46518*100)</f>
        <v>-5.541516953370562E-3</v>
      </c>
      <c r="H27" s="33">
        <f>IF(OR(2467106.07968="",320.31112="",194.20705=""),"-",(320.31112-194.20705)/2467106.07968*100)</f>
        <v>5.1114166123070208E-3</v>
      </c>
      <c r="I27" s="22"/>
      <c r="J27" s="23"/>
      <c r="K27" s="19"/>
    </row>
    <row r="28" spans="1:11" s="7" customFormat="1" ht="38.25" x14ac:dyDescent="0.25">
      <c r="A28" s="22" t="s">
        <v>244</v>
      </c>
      <c r="B28" s="23" t="s">
        <v>151</v>
      </c>
      <c r="C28" s="41">
        <v>7482.8137299999999</v>
      </c>
      <c r="D28" s="33">
        <f>IF(OR(8173.86137="",7482.81373=""),"-",7482.81373/8173.86137*100)</f>
        <v>91.545640319564171</v>
      </c>
      <c r="E28" s="33">
        <f>IF(8173.86137="","-",8173.86137/2467106.07968*100)</f>
        <v>0.33131373787787038</v>
      </c>
      <c r="F28" s="33">
        <f>IF(7482.81373="","-",7482.81373/3144446.15815*100)</f>
        <v>0.23796921154479014</v>
      </c>
      <c r="G28" s="33">
        <f>IF(OR(2779164.46518="",9360.87854="",8173.86137=""),"-",(8173.86137-9360.87854)/2779164.46518*100)</f>
        <v>-4.2711296322044755E-2</v>
      </c>
      <c r="H28" s="33">
        <f>IF(OR(2467106.07968="",7482.81373="",8173.86137=""),"-",(7482.81373-8173.86137)/2467106.07968*100)</f>
        <v>-2.8010455070891532E-2</v>
      </c>
      <c r="I28" s="22"/>
      <c r="J28" s="23"/>
      <c r="K28" s="19"/>
    </row>
    <row r="29" spans="1:11" s="7" customFormat="1" ht="25.5" x14ac:dyDescent="0.25">
      <c r="A29" s="22" t="s">
        <v>245</v>
      </c>
      <c r="B29" s="23" t="s">
        <v>152</v>
      </c>
      <c r="C29" s="41">
        <v>87298.030010000002</v>
      </c>
      <c r="D29" s="33" t="s">
        <v>348</v>
      </c>
      <c r="E29" s="33">
        <f>IF(26982.10838="","-",26982.10838/2467106.07968*100)</f>
        <v>1.0936744310362105</v>
      </c>
      <c r="F29" s="33">
        <f>IF(87298.03001="","-",87298.03001/3144446.15815*100)</f>
        <v>2.7762609254330761</v>
      </c>
      <c r="G29" s="33">
        <f>IF(OR(2779164.46518="",15862.30532="",26982.10838=""),"-",(26982.10838-15862.30532)/2779164.46518*100)</f>
        <v>0.40011317067843261</v>
      </c>
      <c r="H29" s="33">
        <f>IF(OR(2467106.07968="",87298.03001="",26982.10838=""),"-",(87298.03001-26982.10838)/2467106.07968*100)</f>
        <v>2.4448045475946203</v>
      </c>
      <c r="I29" s="22"/>
      <c r="J29" s="23"/>
      <c r="K29" s="19"/>
    </row>
    <row r="30" spans="1:11" s="7" customFormat="1" ht="25.5" x14ac:dyDescent="0.25">
      <c r="A30" s="22" t="s">
        <v>246</v>
      </c>
      <c r="B30" s="23" t="s">
        <v>153</v>
      </c>
      <c r="C30" s="41">
        <v>4570.4114600000003</v>
      </c>
      <c r="D30" s="33">
        <f>IF(OR(4577.73403="",4570.41146=""),"-",4570.41146/4577.73403*100)</f>
        <v>99.840039417930114</v>
      </c>
      <c r="E30" s="33">
        <f>IF(4577.73403="","-",4577.73403/2467106.07968*100)</f>
        <v>0.18555075793878154</v>
      </c>
      <c r="F30" s="33">
        <f>IF(4570.41146="","-",4570.41146/3144446.15815*100)</f>
        <v>0.14534869513202131</v>
      </c>
      <c r="G30" s="33">
        <f>IF(OR(2779164.46518="",4216.29329="",4577.73403=""),"-",(4577.73403-4216.29329)/2779164.46518*100)</f>
        <v>1.3005374260086848E-2</v>
      </c>
      <c r="H30" s="33">
        <f>IF(OR(2467106.07968="",4570.41146="",4577.73403=""),"-",(4570.41146-4577.73403)/2467106.07968*100)</f>
        <v>-2.9680807243396461E-4</v>
      </c>
      <c r="I30" s="22"/>
      <c r="J30" s="23"/>
      <c r="K30" s="19"/>
    </row>
    <row r="31" spans="1:11" s="7" customFormat="1" ht="25.5" x14ac:dyDescent="0.25">
      <c r="A31" s="20" t="s">
        <v>247</v>
      </c>
      <c r="B31" s="21" t="s">
        <v>154</v>
      </c>
      <c r="C31" s="66">
        <v>15650.436949999999</v>
      </c>
      <c r="D31" s="31">
        <f>IF(14485.977="","-",15650.43695/14485.977*100)</f>
        <v>108.03853236823446</v>
      </c>
      <c r="E31" s="31">
        <f>IF(14485.977="","-",14485.977/2467106.07968*100)</f>
        <v>0.58716474006982822</v>
      </c>
      <c r="F31" s="31">
        <f>IF(15650.43695="","-",15650.43695/3144446.15815*100)</f>
        <v>0.49771680489538928</v>
      </c>
      <c r="G31" s="31">
        <f>IF(2779164.46518="","-",(14485.977-10414.13213)/2779164.46518*100)</f>
        <v>0.14651327479952783</v>
      </c>
      <c r="H31" s="31">
        <f>IF(2467106.07968="","-",(15650.43695-14485.977)/2467106.07968*100)</f>
        <v>4.7199427685372844E-2</v>
      </c>
      <c r="I31" s="22"/>
      <c r="J31" s="23"/>
      <c r="K31" s="19"/>
    </row>
    <row r="32" spans="1:11" s="7" customFormat="1" x14ac:dyDescent="0.25">
      <c r="A32" s="22" t="s">
        <v>248</v>
      </c>
      <c r="B32" s="23" t="s">
        <v>198</v>
      </c>
      <c r="C32" s="41">
        <v>390.11579</v>
      </c>
      <c r="D32" s="33" t="s">
        <v>335</v>
      </c>
      <c r="E32" s="33">
        <f>IF(117.26958="","-",117.26958/2467106.07968*100)</f>
        <v>4.7533254028221863E-3</v>
      </c>
      <c r="F32" s="33">
        <f>IF(390.11579="","-",390.11579/3144446.15815*100)</f>
        <v>1.2406502461136757E-2</v>
      </c>
      <c r="G32" s="33">
        <f>IF(OR(2779164.46518="",3.98403="",117.26958=""),"-",(117.26958-3.98403)/2779164.46518*100)</f>
        <v>4.0762449081135164E-3</v>
      </c>
      <c r="H32" s="33">
        <f>IF(OR(2467106.07968="",390.11579="",117.26958=""),"-",(390.11579-117.26958)/2467106.07968*100)</f>
        <v>1.1059362718419872E-2</v>
      </c>
      <c r="I32" s="20"/>
      <c r="J32" s="21"/>
      <c r="K32" s="18"/>
    </row>
    <row r="33" spans="1:11" s="7" customFormat="1" ht="25.5" x14ac:dyDescent="0.25">
      <c r="A33" s="22" t="s">
        <v>249</v>
      </c>
      <c r="B33" s="23" t="s">
        <v>155</v>
      </c>
      <c r="C33" s="41">
        <v>15254.12759</v>
      </c>
      <c r="D33" s="33">
        <f>IF(OR(13836.25449="",15254.12759=""),"-",15254.12759/13836.25449*100)</f>
        <v>110.24752111219659</v>
      </c>
      <c r="E33" s="33">
        <f>IF(13836.25449="","-",13836.25449/2467106.07968*100)</f>
        <v>0.5608293297138911</v>
      </c>
      <c r="F33" s="33">
        <f>IF(15254.12759="","-",15254.12759/3144446.15815*100)</f>
        <v>0.48511333388435551</v>
      </c>
      <c r="G33" s="33">
        <f>IF(OR(2779164.46518="",10364.52806="",13836.25449=""),"-",(13836.25449-10364.52806)/2779164.46518*100)</f>
        <v>0.12491979058803716</v>
      </c>
      <c r="H33" s="33">
        <f>IF(OR(2467106.07968="",15254.12759="",13836.25449=""),"-",(15254.12759-13836.25449)/2467106.07968*100)</f>
        <v>5.7471103965821703E-2</v>
      </c>
      <c r="I33" s="22"/>
      <c r="J33" s="23"/>
      <c r="K33" s="19"/>
    </row>
    <row r="34" spans="1:11" s="7" customFormat="1" x14ac:dyDescent="0.25">
      <c r="A34" s="22" t="s">
        <v>304</v>
      </c>
      <c r="B34" s="23" t="s">
        <v>305</v>
      </c>
      <c r="C34" s="41">
        <v>6.1935700000000002</v>
      </c>
      <c r="D34" s="33">
        <f>IF(OR(7.07529="",6.19357=""),"-",6.19357/7.07529*100)</f>
        <v>87.538037310131472</v>
      </c>
      <c r="E34" s="33">
        <f>IF(7.07529="","-",7.07529/2467106.07968*100)</f>
        <v>2.867849930845986E-4</v>
      </c>
      <c r="F34" s="33">
        <f>IF(6.19357="","-",6.19357/3144446.15815*100)</f>
        <v>1.9696854989700058E-4</v>
      </c>
      <c r="G34" s="33">
        <f>IF(OR(2779164.46518="",7.8238="",7.07529=""),"-",(7.07529-7.8238)/2779164.46518*100)</f>
        <v>-2.6932914887839189E-5</v>
      </c>
      <c r="H34" s="33">
        <f>IF(OR(2467106.07968="",6.19357="",7.07529=""),"-",(6.19357-7.07529)/2467106.07968*100)</f>
        <v>-3.5739038838344742E-5</v>
      </c>
      <c r="I34" s="22"/>
      <c r="J34" s="23"/>
      <c r="K34" s="19"/>
    </row>
    <row r="35" spans="1:11" s="7" customFormat="1" ht="25.5" x14ac:dyDescent="0.25">
      <c r="A35" s="20" t="s">
        <v>250</v>
      </c>
      <c r="B35" s="21" t="s">
        <v>156</v>
      </c>
      <c r="C35" s="66">
        <v>121090.94646000001</v>
      </c>
      <c r="D35" s="31">
        <f>IF(103447.71656="","-",121090.94646/103447.71656*100)</f>
        <v>117.05521444716169</v>
      </c>
      <c r="E35" s="31">
        <f>IF(103447.71656="","-",103447.71656/2467106.07968*100)</f>
        <v>4.1930793901419054</v>
      </c>
      <c r="F35" s="31">
        <f>IF(121090.94646="","-",121090.94646/3144446.15815*100)</f>
        <v>3.850946728604268</v>
      </c>
      <c r="G35" s="31">
        <f>IF(2779164.46518="","-",(103447.71656-69974.89487)/2779164.46518*100)</f>
        <v>1.2044203252228918</v>
      </c>
      <c r="H35" s="31">
        <f>IF(2467106.07968="","-",(121090.94646-103447.71656)/2467106.07968*100)</f>
        <v>0.71513868192844177</v>
      </c>
      <c r="I35" s="22"/>
      <c r="J35" s="23"/>
      <c r="K35" s="19"/>
    </row>
    <row r="36" spans="1:11" s="7" customFormat="1" x14ac:dyDescent="0.25">
      <c r="A36" s="22" t="s">
        <v>251</v>
      </c>
      <c r="B36" s="23" t="s">
        <v>202</v>
      </c>
      <c r="C36" s="41">
        <v>10.8626</v>
      </c>
      <c r="D36" s="33" t="s">
        <v>207</v>
      </c>
      <c r="E36" s="33">
        <f>IF(6.15383="","-",6.15383/2467106.07968*100)</f>
        <v>2.4943516011270147E-4</v>
      </c>
      <c r="F36" s="33">
        <f>IF(10.8626="","-",10.8626/3144446.15815*100)</f>
        <v>3.4545352197701138E-4</v>
      </c>
      <c r="G36" s="33" t="str">
        <f>IF(OR(2779164.46518="",""="",6.15383=""),"-",(6.15383-"")/2779164.46518*100)</f>
        <v>-</v>
      </c>
      <c r="H36" s="33">
        <f>IF(OR(2467106.07968="",10.8626="",6.15383=""),"-",(10.8626-6.15383)/2467106.07968*100)</f>
        <v>1.9086208083159356E-4</v>
      </c>
      <c r="I36" s="20"/>
      <c r="J36" s="21"/>
      <c r="K36" s="18"/>
    </row>
    <row r="37" spans="1:11" s="7" customFormat="1" ht="25.5" x14ac:dyDescent="0.25">
      <c r="A37" s="22" t="s">
        <v>252</v>
      </c>
      <c r="B37" s="23" t="s">
        <v>157</v>
      </c>
      <c r="C37" s="41">
        <v>121076.52153</v>
      </c>
      <c r="D37" s="33">
        <f>IF(OR(103398.85552="",121076.52153=""),"-",121076.52153/103398.85552*100)</f>
        <v>117.09657802409687</v>
      </c>
      <c r="E37" s="33">
        <f>IF(103398.85552="","-",103398.85552/2467106.07968*100)</f>
        <v>4.1910988899760451</v>
      </c>
      <c r="F37" s="33">
        <f>IF(121076.52153="","-",121076.52153/3144446.15815*100)</f>
        <v>3.8504879854973897</v>
      </c>
      <c r="G37" s="33">
        <f>IF(OR(2779164.46518="",69943.97809="",103398.85552=""),"-",(103398.85552-69943.97809)/2779164.46518*100)</f>
        <v>1.2037746541866929</v>
      </c>
      <c r="H37" s="33">
        <f>IF(OR(2467106.07968="",121076.52153="",103398.85552=""),"-",(121076.52153-103398.85552)/2467106.07968*100)</f>
        <v>0.71653449179181261</v>
      </c>
      <c r="I37" s="22"/>
      <c r="J37" s="23"/>
      <c r="K37" s="19"/>
    </row>
    <row r="38" spans="1:11" s="7" customFormat="1" ht="63.75" x14ac:dyDescent="0.25">
      <c r="A38" s="22" t="s">
        <v>253</v>
      </c>
      <c r="B38" s="23" t="s">
        <v>200</v>
      </c>
      <c r="C38" s="41">
        <v>3.5623300000000002</v>
      </c>
      <c r="D38" s="33">
        <f>IF(OR(42.70721="",3.56233=""),"-",3.56233/42.70721*100)</f>
        <v>8.3412847619874952</v>
      </c>
      <c r="E38" s="33">
        <f>IF(42.70721="","-",42.70721/2467106.07968*100)</f>
        <v>1.7310650057471145E-3</v>
      </c>
      <c r="F38" s="33">
        <f>IF(3.56233="","-",3.56233/3144446.15815*100)</f>
        <v>1.1328958490088626E-4</v>
      </c>
      <c r="G38" s="33">
        <f>IF(OR(2779164.46518="",30.91678="",42.70721=""),"-",(42.70721-30.91678)/2779164.46518*100)</f>
        <v>4.2424369438087093E-4</v>
      </c>
      <c r="H38" s="33">
        <f>IF(OR(2467106.07968="",3.56233="",42.70721=""),"-",(3.56233-42.70721)/2467106.07968*100)</f>
        <v>-1.5866719442026323E-3</v>
      </c>
      <c r="I38" s="22"/>
      <c r="J38" s="23"/>
      <c r="K38" s="19"/>
    </row>
    <row r="39" spans="1:11" s="7" customFormat="1" ht="25.5" x14ac:dyDescent="0.25">
      <c r="A39" s="20" t="s">
        <v>254</v>
      </c>
      <c r="B39" s="21" t="s">
        <v>158</v>
      </c>
      <c r="C39" s="66">
        <v>152663.09289999999</v>
      </c>
      <c r="D39" s="31">
        <f>IF(127666.01056="","-",152663.0929/127666.01056*100)</f>
        <v>119.58006068361631</v>
      </c>
      <c r="E39" s="31">
        <f>IF(127666.01056="","-",127666.01056/2467106.07968*100)</f>
        <v>5.1747272487188365</v>
      </c>
      <c r="F39" s="31">
        <f>IF(152663.0929="","-",152663.0929/3144446.15815*100)</f>
        <v>4.8550073756014829</v>
      </c>
      <c r="G39" s="31">
        <f>IF(2779164.46518="","-",(127666.01056-145442.4929)/2779164.46518*100)</f>
        <v>-0.63963405414543095</v>
      </c>
      <c r="H39" s="31">
        <f>IF(2467106.07968="","-",(152663.0929-127666.01056)/2467106.07968*100)</f>
        <v>1.0132147355107763</v>
      </c>
      <c r="I39" s="22"/>
      <c r="J39" s="23"/>
      <c r="K39" s="19"/>
    </row>
    <row r="40" spans="1:11" s="7" customFormat="1" x14ac:dyDescent="0.25">
      <c r="A40" s="22" t="s">
        <v>255</v>
      </c>
      <c r="B40" s="23" t="s">
        <v>24</v>
      </c>
      <c r="C40" s="41">
        <v>36524.102579999999</v>
      </c>
      <c r="D40" s="33">
        <f>IF(OR(49322.46066="",36524.10258=""),"-",36524.10258/49322.46066*100)</f>
        <v>74.051663463783086</v>
      </c>
      <c r="E40" s="33">
        <f>IF(49322.46066="","-",49322.46066/2467106.07968*100)</f>
        <v>1.9992030770884992</v>
      </c>
      <c r="F40" s="33">
        <f>IF(36524.10258="","-",36524.10258/3144446.15815*100)</f>
        <v>1.1615432652689639</v>
      </c>
      <c r="G40" s="33">
        <f>IF(OR(2779164.46518="",23888.65771="",49322.46066=""),"-",(49322.46066-23888.65771)/2779164.46518*100)</f>
        <v>0.91516005147081902</v>
      </c>
      <c r="H40" s="33">
        <f>IF(OR(2467106.07968="",36524.10258="",49322.46066=""),"-",(36524.10258-49322.46066)/2467106.07968*100)</f>
        <v>-0.51875994248532808</v>
      </c>
      <c r="I40" s="20"/>
      <c r="J40" s="21"/>
      <c r="K40" s="18"/>
    </row>
    <row r="41" spans="1:11" s="7" customFormat="1" x14ac:dyDescent="0.25">
      <c r="A41" s="22" t="s">
        <v>256</v>
      </c>
      <c r="B41" s="23" t="s">
        <v>25</v>
      </c>
      <c r="C41" s="41">
        <v>1484.16094</v>
      </c>
      <c r="D41" s="33">
        <f>IF(OR(1622.92387="",1484.16094=""),"-",1484.16094/1622.92387*100)</f>
        <v>91.449818900007912</v>
      </c>
      <c r="E41" s="33">
        <f>IF(1622.92387="","-",1622.92387/2467106.07968*100)</f>
        <v>6.5782492425721067E-2</v>
      </c>
      <c r="F41" s="33">
        <f>IF(1484.16094="","-",1484.16094/3144446.15815*100)</f>
        <v>4.7199438799524228E-2</v>
      </c>
      <c r="G41" s="33">
        <f>IF(OR(2779164.46518="",1353.14941="",1622.92387=""),"-",(1622.92387-1353.14941)/2779164.46518*100)</f>
        <v>9.707034735798821E-3</v>
      </c>
      <c r="H41" s="33">
        <f>IF(OR(2467106.07968="",1484.16094="",1622.92387=""),"-",(1484.16094-1622.92387)/2467106.07968*100)</f>
        <v>-5.6245222344877268E-3</v>
      </c>
      <c r="I41" s="22"/>
      <c r="J41" s="23"/>
      <c r="K41" s="19"/>
    </row>
    <row r="42" spans="1:11" s="7" customFormat="1" x14ac:dyDescent="0.25">
      <c r="A42" s="22" t="s">
        <v>257</v>
      </c>
      <c r="B42" s="23" t="s">
        <v>159</v>
      </c>
      <c r="C42" s="41">
        <v>2953.0448099999999</v>
      </c>
      <c r="D42" s="33" t="s">
        <v>367</v>
      </c>
      <c r="E42" s="33">
        <f>IF(942.2065="","-",942.2065/2467106.07968*100)</f>
        <v>3.819075749358173E-2</v>
      </c>
      <c r="F42" s="33">
        <f>IF(2953.04481="","-",2953.04481/3144446.15815*100)</f>
        <v>9.3913034648282573E-2</v>
      </c>
      <c r="G42" s="33">
        <f>IF(OR(2779164.46518="",916.67873="",942.2065=""),"-",(942.2065-916.67873)/2779164.46518*100)</f>
        <v>9.1854117738752322E-4</v>
      </c>
      <c r="H42" s="33">
        <f>IF(OR(2467106.07968="",2953.04481="",942.2065=""),"-",(2953.04481-942.2065)/2467106.07968*100)</f>
        <v>8.1505952523161021E-2</v>
      </c>
      <c r="I42" s="22"/>
      <c r="J42" s="23"/>
      <c r="K42" s="19"/>
    </row>
    <row r="43" spans="1:11" s="7" customFormat="1" x14ac:dyDescent="0.25">
      <c r="A43" s="22" t="s">
        <v>258</v>
      </c>
      <c r="B43" s="23" t="s">
        <v>160</v>
      </c>
      <c r="C43" s="41">
        <v>86373.071620000002</v>
      </c>
      <c r="D43" s="33" t="s">
        <v>218</v>
      </c>
      <c r="E43" s="33">
        <f>IF(56568.17147="","-",56568.17147/2467106.07968*100)</f>
        <v>2.2928957913855603</v>
      </c>
      <c r="F43" s="33">
        <f>IF(86373.07162="","-",86373.07162/3144446.15815*100)</f>
        <v>2.7468453036199114</v>
      </c>
      <c r="G43" s="33">
        <f>IF(OR(2779164.46518="",97282.55033="",56568.17147=""),"-",(56568.17147-97282.55033)/2779164.46518*100)</f>
        <v>-1.4649863068597857</v>
      </c>
      <c r="H43" s="33">
        <f>IF(OR(2467106.07968="",86373.07162="",56568.17147=""),"-",(86373.07162-56568.17147)/2467106.07968*100)</f>
        <v>1.2080915529123051</v>
      </c>
      <c r="I43" s="22"/>
      <c r="J43" s="23"/>
      <c r="K43" s="19"/>
    </row>
    <row r="44" spans="1:11" s="7" customFormat="1" ht="40.5" customHeight="1" x14ac:dyDescent="0.25">
      <c r="A44" s="22" t="s">
        <v>259</v>
      </c>
      <c r="B44" s="23" t="s">
        <v>161</v>
      </c>
      <c r="C44" s="41">
        <v>13168.75099</v>
      </c>
      <c r="D44" s="33">
        <f>IF(OR(11514.70515="",13168.75099=""),"-",13168.75099/11514.70515*100)</f>
        <v>114.36463911540106</v>
      </c>
      <c r="E44" s="33">
        <f>IF(11514.70515="","-",11514.70515/2467106.07968*100)</f>
        <v>0.46672922760960217</v>
      </c>
      <c r="F44" s="33">
        <f>IF(13168.75099="","-",13168.75099/3144446.15815*100)</f>
        <v>0.41879397285491088</v>
      </c>
      <c r="G44" s="33">
        <f>IF(OR(2779164.46518="",15104.1622="",11514.70515=""),"-",(11514.70515-15104.1622)/2779164.46518*100)</f>
        <v>-0.12915597817157323</v>
      </c>
      <c r="H44" s="33">
        <f>IF(OR(2467106.07968="",13168.75099="",11514.70515=""),"-",(13168.75099-11514.70515)/2467106.07968*100)</f>
        <v>6.7043969192218181E-2</v>
      </c>
      <c r="I44" s="22"/>
      <c r="J44" s="23"/>
      <c r="K44" s="19"/>
    </row>
    <row r="45" spans="1:11" s="7" customFormat="1" x14ac:dyDescent="0.25">
      <c r="A45" s="22" t="s">
        <v>260</v>
      </c>
      <c r="B45" s="23" t="s">
        <v>162</v>
      </c>
      <c r="C45" s="41">
        <v>176.44686999999999</v>
      </c>
      <c r="D45" s="33" t="s">
        <v>352</v>
      </c>
      <c r="E45" s="33">
        <f>IF(37.30839="","-",37.30839/2467106.07968*100)</f>
        <v>1.5122329075059127E-3</v>
      </c>
      <c r="F45" s="33">
        <f>IF(176.44687="","-",176.44687/3144446.15815*100)</f>
        <v>5.6113815001307115E-3</v>
      </c>
      <c r="G45" s="33">
        <f>IF(OR(2779164.46518="",45.66446="",37.30839=""),"-",(37.30839-45.66446)/2779164.46518*100)</f>
        <v>-3.006684240782703E-4</v>
      </c>
      <c r="H45" s="33">
        <f>IF(OR(2467106.07968="",176.44687="",37.30839=""),"-",(176.44687-37.30839)/2467106.07968*100)</f>
        <v>5.6397445227830325E-3</v>
      </c>
      <c r="I45" s="22"/>
      <c r="J45" s="23"/>
      <c r="K45" s="19"/>
    </row>
    <row r="46" spans="1:11" x14ac:dyDescent="0.25">
      <c r="A46" s="22" t="s">
        <v>261</v>
      </c>
      <c r="B46" s="23" t="s">
        <v>26</v>
      </c>
      <c r="C46" s="41">
        <v>3056.1415099999999</v>
      </c>
      <c r="D46" s="33" t="s">
        <v>218</v>
      </c>
      <c r="E46" s="33">
        <f>IF(1998.75001="","-",1998.75001/2467106.07968*100)</f>
        <v>8.101597359199289E-2</v>
      </c>
      <c r="F46" s="33">
        <f>IF(3056.14151="","-",3056.14151/3144446.15815*100)</f>
        <v>9.7191726500988868E-2</v>
      </c>
      <c r="G46" s="33">
        <f>IF(OR(2779164.46518="",2069.12704="",1998.75001=""),"-",(1998.75001-2069.12704)/2779164.46518*100)</f>
        <v>-2.5323089324777231E-3</v>
      </c>
      <c r="H46" s="33">
        <f>IF(OR(2467106.07968="",3056.14151="",1998.75001=""),"-",(3056.14151-1998.75001)/2467106.07968*100)</f>
        <v>4.2859587948368666E-2</v>
      </c>
      <c r="I46" s="22"/>
      <c r="J46" s="23"/>
      <c r="K46" s="19"/>
    </row>
    <row r="47" spans="1:11" x14ac:dyDescent="0.25">
      <c r="A47" s="22" t="s">
        <v>262</v>
      </c>
      <c r="B47" s="23" t="s">
        <v>27</v>
      </c>
      <c r="C47" s="41">
        <v>3656.08428</v>
      </c>
      <c r="D47" s="33">
        <f>IF(OR(2599.8964="",3656.08428=""),"-",3656.08428/2599.8964*100)</f>
        <v>140.62422948852884</v>
      </c>
      <c r="E47" s="33">
        <f>IF(2599.8964="","-",2599.8964/2467106.07968*100)</f>
        <v>0.10538243253558129</v>
      </c>
      <c r="F47" s="33">
        <f>IF(3656.08428="","-",3656.08428/3144446.15815*100)</f>
        <v>0.11627116815226426</v>
      </c>
      <c r="G47" s="33">
        <f>IF(OR(2779164.46518="",2435.22745="",2599.8964=""),"-",(2599.8964-2435.22745)/2779164.46518*100)</f>
        <v>5.9251243337027559E-3</v>
      </c>
      <c r="H47" s="33">
        <f>IF(OR(2467106.07968="",3656.08428="",2599.8964=""),"-",(3656.08428-2599.8964)/2467106.07968*100)</f>
        <v>4.2810801233848624E-2</v>
      </c>
      <c r="I47" s="22"/>
      <c r="J47" s="23"/>
      <c r="K47" s="19"/>
    </row>
    <row r="48" spans="1:11" x14ac:dyDescent="0.25">
      <c r="A48" s="22" t="s">
        <v>263</v>
      </c>
      <c r="B48" s="23" t="s">
        <v>163</v>
      </c>
      <c r="C48" s="41">
        <v>5271.2893000000004</v>
      </c>
      <c r="D48" s="33" t="s">
        <v>101</v>
      </c>
      <c r="E48" s="33">
        <f>IF(3059.58811="","-",3059.58811/2467106.07968*100)</f>
        <v>0.12401526368079191</v>
      </c>
      <c r="F48" s="33">
        <f>IF(5271.2893="","-",5271.2893/3144446.15815*100)</f>
        <v>0.1676380842565072</v>
      </c>
      <c r="G48" s="33">
        <f>IF(OR(2779164.46518="",2347.27557="",3059.58811=""),"-",(3059.58811-2347.27557)/2779164.46518*100)</f>
        <v>2.5630456524776614E-2</v>
      </c>
      <c r="H48" s="33">
        <f>IF(OR(2467106.07968="",5271.2893="",3059.58811=""),"-",(5271.2893-3059.58811)/2467106.07968*100)</f>
        <v>8.9647591897907872E-2</v>
      </c>
      <c r="I48" s="22"/>
      <c r="J48" s="23"/>
      <c r="K48" s="19"/>
    </row>
    <row r="49" spans="1:11" ht="25.5" x14ac:dyDescent="0.25">
      <c r="A49" s="20" t="s">
        <v>264</v>
      </c>
      <c r="B49" s="21" t="s">
        <v>356</v>
      </c>
      <c r="C49" s="66">
        <v>243392.00172999999</v>
      </c>
      <c r="D49" s="31">
        <f>IF(173505.34842="","-",243392.00173/173505.34842*100)</f>
        <v>140.27925014785546</v>
      </c>
      <c r="E49" s="31">
        <f>IF(173505.34842="","-",173505.34842/2467106.07968*100)</f>
        <v>7.0327477950402839</v>
      </c>
      <c r="F49" s="31">
        <f>IF(243392.00173="","-",243392.00173/3144446.15815*100)</f>
        <v>7.7403774619946741</v>
      </c>
      <c r="G49" s="31">
        <f>IF(2779164.46518="","-",(173505.34842-172348.73683)/2779164.46518*100)</f>
        <v>4.1617241602327229E-2</v>
      </c>
      <c r="H49" s="31">
        <f>IF(2467106.07968="","-",(243392.00173-173505.34842)/2467106.07968*100)</f>
        <v>2.832738076632066</v>
      </c>
      <c r="I49" s="22"/>
      <c r="J49" s="23"/>
      <c r="K49" s="19"/>
    </row>
    <row r="50" spans="1:11" x14ac:dyDescent="0.25">
      <c r="A50" s="22" t="s">
        <v>265</v>
      </c>
      <c r="B50" s="23" t="s">
        <v>164</v>
      </c>
      <c r="C50" s="41">
        <v>1045.1636800000001</v>
      </c>
      <c r="D50" s="33">
        <f>IF(OR(836.63564="",1045.16368=""),"-",1045.16368/836.63564*100)</f>
        <v>124.92459441483992</v>
      </c>
      <c r="E50" s="33">
        <f>IF(836.63564="","-",836.63564/2467106.07968*100)</f>
        <v>3.3911620051153904E-2</v>
      </c>
      <c r="F50" s="33">
        <f>IF(1045.16368="","-",1045.16368/3144446.15815*100)</f>
        <v>3.3238402803974568E-2</v>
      </c>
      <c r="G50" s="33">
        <f>IF(OR(2779164.46518="",597.14123="",836.63564=""),"-",(836.63564-597.14123)/2779164.46518*100)</f>
        <v>8.6174968412489599E-3</v>
      </c>
      <c r="H50" s="33">
        <f>IF(OR(2467106.07968="",1045.16368="",836.63564=""),"-",(1045.16368-836.63564)/2467106.07968*100)</f>
        <v>8.4523337572516392E-3</v>
      </c>
      <c r="I50" s="20"/>
      <c r="J50" s="21"/>
      <c r="K50" s="18"/>
    </row>
    <row r="51" spans="1:11" x14ac:dyDescent="0.25">
      <c r="A51" s="22" t="s">
        <v>266</v>
      </c>
      <c r="B51" s="23" t="s">
        <v>28</v>
      </c>
      <c r="C51" s="41">
        <v>1333.18517</v>
      </c>
      <c r="D51" s="33">
        <f>IF(OR(2256.06341="",1333.18517=""),"-",1333.18517/2256.06341*100)</f>
        <v>59.093426367834226</v>
      </c>
      <c r="E51" s="33">
        <f>IF(2256.06341="","-",2256.06341/2467106.07968*100)</f>
        <v>9.144573995345294E-2</v>
      </c>
      <c r="F51" s="33">
        <f>IF(1333.18517="","-",1333.18517/3144446.15815*100)</f>
        <v>4.2398091840261137E-2</v>
      </c>
      <c r="G51" s="33">
        <f>IF(OR(2779164.46518="",2423.18592="",2256.06341=""),"-",(2256.06341-2423.18592)/2779164.46518*100)</f>
        <v>-6.013408421627022E-3</v>
      </c>
      <c r="H51" s="33">
        <f>IF(OR(2467106.07968="",1333.18517="",2256.06341=""),"-",(1333.18517-2256.06341)/2467106.07968*100)</f>
        <v>-3.7407318947538071E-2</v>
      </c>
      <c r="I51" s="22"/>
      <c r="J51" s="23"/>
      <c r="K51" s="19"/>
    </row>
    <row r="52" spans="1:11" x14ac:dyDescent="0.25">
      <c r="A52" s="22" t="s">
        <v>267</v>
      </c>
      <c r="B52" s="23" t="s">
        <v>165</v>
      </c>
      <c r="C52" s="41">
        <v>25549.123309999999</v>
      </c>
      <c r="D52" s="33">
        <f>IF(OR(19349.42375="",25549.12331=""),"-",25549.12331/19349.42375*100)</f>
        <v>132.04074519273473</v>
      </c>
      <c r="E52" s="33">
        <f>IF(19349.42375="","-",19349.42375/2467106.07968*100)</f>
        <v>0.78429638309309135</v>
      </c>
      <c r="F52" s="33">
        <f>IF(25549.12331="","-",25549.12331/3144446.15815*100)</f>
        <v>0.81251584619377104</v>
      </c>
      <c r="G52" s="33">
        <f>IF(OR(2779164.46518="",20215.36621="",19349.42375=""),"-",(19349.42375-20215.36621)/2779164.46518*100)</f>
        <v>-3.115837406707463E-2</v>
      </c>
      <c r="H52" s="33">
        <f>IF(OR(2467106.07968="",25549.12331="",19349.42375=""),"-",(25549.12331-19349.42375)/2467106.07968*100)</f>
        <v>0.25129440566269201</v>
      </c>
      <c r="I52" s="22"/>
      <c r="J52" s="23"/>
      <c r="K52" s="19"/>
    </row>
    <row r="53" spans="1:11" ht="25.5" x14ac:dyDescent="0.25">
      <c r="A53" s="22" t="s">
        <v>268</v>
      </c>
      <c r="B53" s="23" t="s">
        <v>166</v>
      </c>
      <c r="C53" s="41">
        <v>11579.33187</v>
      </c>
      <c r="D53" s="33">
        <f>IF(OR(8986.90474="",11579.33187=""),"-",11579.33187/8986.90474*100)</f>
        <v>128.84671869794403</v>
      </c>
      <c r="E53" s="33">
        <f>IF(8986.90474="","-",8986.90474/2467106.07968*100)</f>
        <v>0.36426908490151588</v>
      </c>
      <c r="F53" s="33">
        <f>IF(11579.33187="","-",11579.33187/3144446.15815*100)</f>
        <v>0.36824710259349996</v>
      </c>
      <c r="G53" s="33">
        <f>IF(OR(2779164.46518="",10524.78955="",8986.90474=""),"-",(8986.90474-10524.78955)/2779164.46518*100)</f>
        <v>-5.5336228901458499E-2</v>
      </c>
      <c r="H53" s="33">
        <f>IF(OR(2467106.07968="",11579.33187="",8986.90474=""),"-",(11579.33187-8986.90474)/2467106.07968*100)</f>
        <v>0.10507967822511528</v>
      </c>
      <c r="I53" s="22"/>
      <c r="J53" s="23"/>
      <c r="K53" s="19"/>
    </row>
    <row r="54" spans="1:11" ht="26.25" customHeight="1" x14ac:dyDescent="0.25">
      <c r="A54" s="22" t="s">
        <v>269</v>
      </c>
      <c r="B54" s="23" t="s">
        <v>167</v>
      </c>
      <c r="C54" s="41">
        <v>80695.409610000002</v>
      </c>
      <c r="D54" s="33">
        <f>IF(OR(62288.0683399999="",80695.40961=""),"-",80695.40961/62288.0683399999*100)</f>
        <v>129.5519539464982</v>
      </c>
      <c r="E54" s="33">
        <f>IF(62288.0683399999="","-",62288.0683399999/2467106.07968*100)</f>
        <v>2.5247422011168275</v>
      </c>
      <c r="F54" s="33">
        <f>IF(80695.40961="","-",80695.40961/3144446.15815*100)</f>
        <v>2.5662837126610638</v>
      </c>
      <c r="G54" s="33">
        <f>IF(OR(2779164.46518="",61831.153="",62288.0683399999=""),"-",(62288.0683399999-61831.153)/2779164.46518*100)</f>
        <v>1.6440744897416915E-2</v>
      </c>
      <c r="H54" s="33">
        <f>IF(OR(2467106.07968="",80695.40961="",62288.0683399999=""),"-",(80695.40961-62288.0683399999)/2467106.07968*100)</f>
        <v>0.74611065254184994</v>
      </c>
      <c r="I54" s="22"/>
      <c r="J54" s="23"/>
      <c r="K54" s="19"/>
    </row>
    <row r="55" spans="1:11" ht="14.25" customHeight="1" x14ac:dyDescent="0.25">
      <c r="A55" s="22" t="s">
        <v>270</v>
      </c>
      <c r="B55" s="23" t="s">
        <v>29</v>
      </c>
      <c r="C55" s="41">
        <v>66811.210030000002</v>
      </c>
      <c r="D55" s="33">
        <f>IF(OR(50074.34278="",66811.21003=""),"-",66811.21003/50074.34278*100)</f>
        <v>133.42403778224886</v>
      </c>
      <c r="E55" s="33">
        <f>IF(50074.34278="","-",50074.34278/2467106.07968*100)</f>
        <v>2.0296793555992929</v>
      </c>
      <c r="F55" s="33">
        <f>IF(66811.21003="","-",66811.21003/3144446.15815*100)</f>
        <v>2.1247369701921572</v>
      </c>
      <c r="G55" s="33">
        <f>IF(OR(2779164.46518="",47970.79536="",50074.34278=""),"-",(50074.34278-47970.79536)/2779164.46518*100)</f>
        <v>7.5689922145854752E-2</v>
      </c>
      <c r="H55" s="33">
        <f>IF(OR(2467106.07968="",66811.21003="",50074.34278=""),"-",(66811.21003-50074.34278)/2467106.07968*100)</f>
        <v>0.67840079467401282</v>
      </c>
      <c r="I55" s="22"/>
      <c r="J55" s="23"/>
      <c r="K55" s="19"/>
    </row>
    <row r="56" spans="1:11" ht="15.75" customHeight="1" x14ac:dyDescent="0.25">
      <c r="A56" s="22" t="s">
        <v>271</v>
      </c>
      <c r="B56" s="23" t="s">
        <v>168</v>
      </c>
      <c r="C56" s="41">
        <v>12821.65028</v>
      </c>
      <c r="D56" s="33" t="s">
        <v>405</v>
      </c>
      <c r="E56" s="33">
        <f>IF(1467.46042="","-",1467.46042/2467106.07968*100)</f>
        <v>5.9481042671271731E-2</v>
      </c>
      <c r="F56" s="33">
        <f>IF(12821.65028="","-",12821.65028/3144446.15815*100)</f>
        <v>0.40775544039028716</v>
      </c>
      <c r="G56" s="33">
        <f>IF(OR(2779164.46518="",3364.26063="",1467.46042=""),"-",(1467.46042-3364.26063)/2779164.46518*100)</f>
        <v>-6.8250736282969446E-2</v>
      </c>
      <c r="H56" s="33">
        <f>IF(OR(2467106.07968="",12821.65028="",1467.46042=""),"-",(12821.65028-1467.46042)/2467106.07968*100)</f>
        <v>0.46022301000825688</v>
      </c>
      <c r="I56" s="22"/>
      <c r="J56" s="23"/>
      <c r="K56" s="19"/>
    </row>
    <row r="57" spans="1:11" x14ac:dyDescent="0.25">
      <c r="A57" s="22" t="s">
        <v>272</v>
      </c>
      <c r="B57" s="23" t="s">
        <v>30</v>
      </c>
      <c r="C57" s="41">
        <v>1983.5438099999999</v>
      </c>
      <c r="D57" s="33">
        <f>IF(OR(2167.6636="",1983.54381=""),"-",1983.54381/2167.6636*100)</f>
        <v>91.506071790844302</v>
      </c>
      <c r="E57" s="33">
        <f>IF(2167.6636="","-",2167.6636/2467106.07968*100)</f>
        <v>8.7862602174007862E-2</v>
      </c>
      <c r="F57" s="33">
        <f>IF(1983.54381="","-",1983.54381/3144446.15815*100)</f>
        <v>6.3080864172500126E-2</v>
      </c>
      <c r="G57" s="33">
        <f>IF(OR(2779164.46518="",1652.10748="",2167.6636=""),"-",(2167.6636-1652.10748)/2779164.46518*100)</f>
        <v>1.8550759642308848E-2</v>
      </c>
      <c r="H57" s="33">
        <f>IF(OR(2467106.07968="",1983.54381="",2167.6636=""),"-",(1983.54381-2167.6636)/2467106.07968*100)</f>
        <v>-7.462986351356303E-3</v>
      </c>
      <c r="I57" s="22"/>
      <c r="J57" s="23"/>
      <c r="K57" s="19"/>
    </row>
    <row r="58" spans="1:11" x14ac:dyDescent="0.25">
      <c r="A58" s="22" t="s">
        <v>273</v>
      </c>
      <c r="B58" s="23" t="s">
        <v>31</v>
      </c>
      <c r="C58" s="41">
        <v>41573.383970000003</v>
      </c>
      <c r="D58" s="33" t="s">
        <v>102</v>
      </c>
      <c r="E58" s="33">
        <f>IF(26078.78574="","-",26078.78574/2467106.07968*100)</f>
        <v>1.0570597654796665</v>
      </c>
      <c r="F58" s="33">
        <f>IF(41573.38397="","-",41573.38397/3144446.15815*100)</f>
        <v>1.322121031147159</v>
      </c>
      <c r="G58" s="33">
        <f>IF(OR(2779164.46518="",23769.93745="",26078.78574=""),"-",(26078.78574-23769.93745)/2779164.46518*100)</f>
        <v>8.3077065748624543E-2</v>
      </c>
      <c r="H58" s="33">
        <f>IF(OR(2467106.07968="",41573.38397="",26078.78574=""),"-",(41573.38397-26078.78574)/2467106.07968*100)</f>
        <v>0.62804750706178614</v>
      </c>
      <c r="I58" s="22"/>
      <c r="J58" s="23"/>
      <c r="K58" s="19"/>
    </row>
    <row r="59" spans="1:11" ht="25.5" x14ac:dyDescent="0.25">
      <c r="A59" s="20" t="s">
        <v>274</v>
      </c>
      <c r="B59" s="21" t="s">
        <v>169</v>
      </c>
      <c r="C59" s="66">
        <v>635226.79853000003</v>
      </c>
      <c r="D59" s="31">
        <f>IF(548856.53488="","-",635226.79853/548856.53488*100)</f>
        <v>115.73640070968338</v>
      </c>
      <c r="E59" s="31">
        <f>IF(548856.53488="","-",548856.53488/2467106.07968*100)</f>
        <v>22.246977517528972</v>
      </c>
      <c r="F59" s="31">
        <f>IF(635226.79853="","-",635226.79853/3144446.15815*100)</f>
        <v>20.201547954115032</v>
      </c>
      <c r="G59" s="31">
        <f>IF(2779164.46518="","-",(548856.53488-648446.72128)/2779164.46518*100)</f>
        <v>-3.5834578215057089</v>
      </c>
      <c r="H59" s="31">
        <f>IF(2467106.07968="","-",(635226.79853-548856.53488)/2467106.07968*100)</f>
        <v>3.5008735279515335</v>
      </c>
      <c r="I59" s="22"/>
      <c r="J59" s="23"/>
      <c r="K59" s="19"/>
    </row>
    <row r="60" spans="1:11" ht="25.5" x14ac:dyDescent="0.25">
      <c r="A60" s="22" t="s">
        <v>275</v>
      </c>
      <c r="B60" s="23" t="s">
        <v>170</v>
      </c>
      <c r="C60" s="41">
        <v>2303.9594400000001</v>
      </c>
      <c r="D60" s="33">
        <f>IF(OR(1934.59508="",2303.95944=""),"-",2303.95944/1934.59508*100)</f>
        <v>119.09259275072695</v>
      </c>
      <c r="E60" s="33">
        <f>IF(1934.59508="","-",1934.59508/2467106.07968*100)</f>
        <v>7.8415561289968128E-2</v>
      </c>
      <c r="F60" s="33">
        <f>IF(2303.95944="","-",2303.95944/3144446.15815*100)</f>
        <v>7.3270754979487679E-2</v>
      </c>
      <c r="G60" s="33">
        <f>IF(OR(2779164.46518="",4207.58276="",1934.59508=""),"-",(1934.59508-4207.58276)/2779164.46518*100)</f>
        <v>-8.1786727934893347E-2</v>
      </c>
      <c r="H60" s="33">
        <f>IF(OR(2467106.07968="",2303.95944="",1934.59508=""),"-",(2303.95944-1934.59508)/2467106.07968*100)</f>
        <v>1.4971563770290294E-2</v>
      </c>
      <c r="I60" s="20"/>
      <c r="J60" s="21"/>
      <c r="K60" s="18"/>
    </row>
    <row r="61" spans="1:11" ht="25.5" x14ac:dyDescent="0.25">
      <c r="A61" s="22" t="s">
        <v>276</v>
      </c>
      <c r="B61" s="23" t="s">
        <v>171</v>
      </c>
      <c r="C61" s="41">
        <v>13572.597879999999</v>
      </c>
      <c r="D61" s="33">
        <f>IF(OR(14830.16222="",13572.59788=""),"-",13572.59788/14830.16222*100)</f>
        <v>91.520225326301258</v>
      </c>
      <c r="E61" s="33">
        <f>IF(14830.16222="","-",14830.16222/2467106.07968*100)</f>
        <v>0.60111570970323136</v>
      </c>
      <c r="F61" s="33">
        <f>IF(13572.59788="","-",13572.59788/3144446.15815*100)</f>
        <v>0.43163715316993334</v>
      </c>
      <c r="G61" s="33">
        <f>IF(OR(2779164.46518="",14299.33319="",14830.16222=""),"-",(14830.16222-14299.33319)/2779164.46518*100)</f>
        <v>1.9100310062636766E-2</v>
      </c>
      <c r="H61" s="33">
        <f>IF(OR(2467106.07968="",13572.59788="",14830.16222=""),"-",(13572.59788-14830.16222)/2467106.07968*100)</f>
        <v>-5.0973257711039131E-2</v>
      </c>
      <c r="I61" s="22"/>
      <c r="J61" s="23"/>
      <c r="K61" s="19"/>
    </row>
    <row r="62" spans="1:11" ht="25.5" x14ac:dyDescent="0.25">
      <c r="A62" s="22" t="s">
        <v>277</v>
      </c>
      <c r="B62" s="23" t="s">
        <v>172</v>
      </c>
      <c r="C62" s="41">
        <v>4181.4964300000001</v>
      </c>
      <c r="D62" s="33">
        <f>IF(OR(2985.75589="",4181.49643=""),"-",4181.49643/2985.75589*100)</f>
        <v>140.0481681709083</v>
      </c>
      <c r="E62" s="33">
        <f>IF(2985.75589="","-",2985.75589/2467106.07968*100)</f>
        <v>0.12102259868725516</v>
      </c>
      <c r="F62" s="33">
        <f>IF(4181.49643="","-",4181.49643/3144446.15815*100)</f>
        <v>0.13298037936385393</v>
      </c>
      <c r="G62" s="33">
        <f>IF(OR(2779164.46518="",2553.40913="",2985.75589=""),"-",(2985.75589-2553.40913)/2779164.46518*100)</f>
        <v>1.555671733058079E-2</v>
      </c>
      <c r="H62" s="33">
        <f>IF(OR(2467106.07968="",4181.49643="",2985.75589=""),"-",(4181.49643-2985.75589)/2467106.07968*100)</f>
        <v>4.8467333847075425E-2</v>
      </c>
      <c r="I62" s="22"/>
      <c r="J62" s="23"/>
      <c r="K62" s="19"/>
    </row>
    <row r="63" spans="1:11" ht="38.25" x14ac:dyDescent="0.25">
      <c r="A63" s="22" t="s">
        <v>278</v>
      </c>
      <c r="B63" s="23" t="s">
        <v>173</v>
      </c>
      <c r="C63" s="41">
        <v>25208.268650000002</v>
      </c>
      <c r="D63" s="33">
        <f>IF(OR(20157.17822="",25208.26865=""),"-",25208.26865/20157.17822*100)</f>
        <v>125.05851947564909</v>
      </c>
      <c r="E63" s="33">
        <f>IF(20157.17822="","-",20157.17822/2467106.07968*100)</f>
        <v>0.81703735344102102</v>
      </c>
      <c r="F63" s="33">
        <f>IF(25208.26865="","-",25208.26865/3144446.15815*100)</f>
        <v>0.80167595125339997</v>
      </c>
      <c r="G63" s="33">
        <f>IF(OR(2779164.46518="",24032.45455="",20157.17822=""),"-",(20157.17822-24032.45455)/2779164.46518*100)</f>
        <v>-0.13944033822226512</v>
      </c>
      <c r="H63" s="33">
        <f>IF(OR(2467106.07968="",25208.26865="",20157.17822=""),"-",(25208.26865-20157.17822)/2467106.07968*100)</f>
        <v>0.20473746433534631</v>
      </c>
      <c r="I63" s="22"/>
      <c r="J63" s="23"/>
      <c r="K63" s="19"/>
    </row>
    <row r="64" spans="1:11" ht="26.25" customHeight="1" x14ac:dyDescent="0.25">
      <c r="A64" s="22" t="s">
        <v>279</v>
      </c>
      <c r="B64" s="23" t="s">
        <v>174</v>
      </c>
      <c r="C64" s="41">
        <v>1939.04486</v>
      </c>
      <c r="D64" s="33">
        <f>IF(OR(2147.55804="",1939.04486=""),"-",1939.04486/2147.55804*100)</f>
        <v>90.290684763053022</v>
      </c>
      <c r="E64" s="33">
        <f>IF(2147.55804="","-",2147.55804/2467106.07968*100)</f>
        <v>8.7047657078391724E-2</v>
      </c>
      <c r="F64" s="33">
        <f>IF(1939.04486="","-",1939.04486/3144446.15815*100)</f>
        <v>6.1665703989691317E-2</v>
      </c>
      <c r="G64" s="33">
        <f>IF(OR(2779164.46518="",1369.58045="",2147.55804=""),"-",(2147.55804-1369.58045)/2779164.46518*100)</f>
        <v>2.7993218816203175E-2</v>
      </c>
      <c r="H64" s="33">
        <f>IF(OR(2467106.07968="",1939.04486="",2147.55804=""),"-",(1939.04486-2147.55804)/2467106.07968*100)</f>
        <v>-8.4517314321176443E-3</v>
      </c>
      <c r="I64" s="22"/>
      <c r="J64" s="23"/>
      <c r="K64" s="19"/>
    </row>
    <row r="65" spans="1:11" ht="39.75" customHeight="1" x14ac:dyDescent="0.25">
      <c r="A65" s="22" t="s">
        <v>280</v>
      </c>
      <c r="B65" s="23" t="s">
        <v>175</v>
      </c>
      <c r="C65" s="41">
        <v>2699.7072699999999</v>
      </c>
      <c r="D65" s="33">
        <f>IF(OR(2511.97838="",2699.70727=""),"-",2699.70727/2511.97838*100)</f>
        <v>107.47334815835477</v>
      </c>
      <c r="E65" s="33">
        <f>IF(2511.97838="","-",2511.97838/2467106.07968*100)</f>
        <v>0.10181882330433964</v>
      </c>
      <c r="F65" s="33">
        <f>IF(2699.70727="","-",2699.70727/3144446.15815*100)</f>
        <v>8.5856368155730889E-2</v>
      </c>
      <c r="G65" s="33">
        <f>IF(OR(2779164.46518="",4348.72817="",2511.97838=""),"-",(2511.97838-4348.72817)/2779164.46518*100)</f>
        <v>-6.6089999818741876E-2</v>
      </c>
      <c r="H65" s="33">
        <f>IF(OR(2467106.07968="",2699.70727="",2511.97838=""),"-",(2699.70727-2511.97838)/2467106.07968*100)</f>
        <v>7.6092751562733584E-3</v>
      </c>
      <c r="I65" s="22"/>
      <c r="J65" s="23"/>
      <c r="K65" s="19"/>
    </row>
    <row r="66" spans="1:11" ht="51" x14ac:dyDescent="0.25">
      <c r="A66" s="22" t="s">
        <v>281</v>
      </c>
      <c r="B66" s="23" t="s">
        <v>176</v>
      </c>
      <c r="C66" s="41">
        <v>522086.00464</v>
      </c>
      <c r="D66" s="33">
        <f>IF(OR(474667.13413="",522086.00464=""),"-",522086.00464/474667.13413*100)</f>
        <v>109.98992074665381</v>
      </c>
      <c r="E66" s="33">
        <f>IF(474667.13413="","-",474667.13413/2467106.07968*100)</f>
        <v>19.239834802383832</v>
      </c>
      <c r="F66" s="33">
        <f>IF(522086.00464="","-",522086.00464/3144446.15815*100)</f>
        <v>16.603432794892043</v>
      </c>
      <c r="G66" s="33">
        <f>IF(OR(2779164.46518="",571171.61231="",474667.13413=""),"-",(474667.13413-571171.61231)/2779164.46518*100)</f>
        <v>-3.4724277526249105</v>
      </c>
      <c r="H66" s="33">
        <f>IF(OR(2467106.07968="",522086.00464="",474667.13413=""),"-",(522086.00464-474667.13413)/2467106.07968*100)</f>
        <v>1.922044248545264</v>
      </c>
      <c r="I66" s="22"/>
      <c r="J66" s="23"/>
      <c r="K66" s="19"/>
    </row>
    <row r="67" spans="1:11" ht="25.5" x14ac:dyDescent="0.25">
      <c r="A67" s="22" t="s">
        <v>282</v>
      </c>
      <c r="B67" s="23" t="s">
        <v>177</v>
      </c>
      <c r="C67" s="41">
        <v>61989.213100000001</v>
      </c>
      <c r="D67" s="33" t="s">
        <v>93</v>
      </c>
      <c r="E67" s="33">
        <f>IF(29055.29305="","-",29055.29305/2467106.07968*100)</f>
        <v>1.1777074885149919</v>
      </c>
      <c r="F67" s="33">
        <f>IF(61989.2131="","-",61989.2131/3144446.15815*100)</f>
        <v>1.9713873280778536</v>
      </c>
      <c r="G67" s="33">
        <f>IF(OR(2779164.46518="",23386.89318="",29055.29305=""),"-",(29055.29305-23386.89318)/2779164.46518*100)</f>
        <v>0.20396057667759768</v>
      </c>
      <c r="H67" s="33">
        <f>IF(OR(2467106.07968="",61989.2131="",29055.29305=""),"-",(61989.2131-29055.29305)/2467106.07968*100)</f>
        <v>1.3349211175496656</v>
      </c>
      <c r="I67" s="22"/>
      <c r="J67" s="23"/>
      <c r="K67" s="19"/>
    </row>
    <row r="68" spans="1:11" x14ac:dyDescent="0.25">
      <c r="A68" s="22" t="s">
        <v>283</v>
      </c>
      <c r="B68" s="23" t="s">
        <v>32</v>
      </c>
      <c r="C68" s="41">
        <v>1246.5062600000001</v>
      </c>
      <c r="D68" s="33" t="s">
        <v>206</v>
      </c>
      <c r="E68" s="33">
        <f>IF(566.87987="","-",566.87987/2467106.07968*100)</f>
        <v>2.2977523125942281E-2</v>
      </c>
      <c r="F68" s="33">
        <f>IF(1246.50626="","-",1246.50626/3144446.15815*100)</f>
        <v>3.9641520233037422E-2</v>
      </c>
      <c r="G68" s="33">
        <f>IF(OR(2779164.46518="",3077.12754="",566.87987=""),"-",(566.87987-3077.12754)/2779164.46518*100)</f>
        <v>-9.0323825791915377E-2</v>
      </c>
      <c r="H68" s="33">
        <f>IF(OR(2467106.07968="",1246.50626="",566.87987=""),"-",(1246.50626-566.87987)/2467106.07968*100)</f>
        <v>2.7547513890774904E-2</v>
      </c>
      <c r="I68" s="22"/>
      <c r="J68" s="23"/>
      <c r="K68" s="19"/>
    </row>
    <row r="69" spans="1:11" x14ac:dyDescent="0.25">
      <c r="A69" s="20" t="s">
        <v>284</v>
      </c>
      <c r="B69" s="21" t="s">
        <v>33</v>
      </c>
      <c r="C69" s="66">
        <v>590343.14809999999</v>
      </c>
      <c r="D69" s="31">
        <f>IF(518382.62557="","-",590343.1481/518382.62557*100)</f>
        <v>113.88173888946878</v>
      </c>
      <c r="E69" s="31">
        <f>IF(518382.62557="","-",518382.62557/2467106.07968*100)</f>
        <v>21.011768802306126</v>
      </c>
      <c r="F69" s="31">
        <f>IF(590343.1481="","-",590343.1481/3144446.15815*100)</f>
        <v>18.774153488680557</v>
      </c>
      <c r="G69" s="31">
        <f>IF(2779164.46518="","-",(518382.62557-580551.69884)/2779164.46518*100)</f>
        <v>-2.2369699256345901</v>
      </c>
      <c r="H69" s="31">
        <f>IF(2467106.07968="","-",(590343.1481-518382.62557)/2467106.07968*100)</f>
        <v>2.9167988811949983</v>
      </c>
      <c r="I69" s="22"/>
      <c r="J69" s="23"/>
      <c r="K69" s="19"/>
    </row>
    <row r="70" spans="1:11" ht="38.25" x14ac:dyDescent="0.25">
      <c r="A70" s="22" t="s">
        <v>285</v>
      </c>
      <c r="B70" s="23" t="s">
        <v>203</v>
      </c>
      <c r="C70" s="41">
        <v>15234.634959999999</v>
      </c>
      <c r="D70" s="33">
        <f>IF(OR(11738.55179="",15234.63496=""),"-",15234.63496/11738.55179*100)</f>
        <v>129.78291728438163</v>
      </c>
      <c r="E70" s="33">
        <f>IF(11738.55179="","-",11738.55179/2467106.07968*100)</f>
        <v>0.47580247508135393</v>
      </c>
      <c r="F70" s="33">
        <f>IF(15234.63496="","-",15234.63496/3144446.15815*100)</f>
        <v>0.48449342726107059</v>
      </c>
      <c r="G70" s="33">
        <f>IF(OR(2779164.46518="",9285.84945="",11738.55179=""),"-",(11738.55179-9285.84945)/2779164.46518*100)</f>
        <v>8.8253227570004367E-2</v>
      </c>
      <c r="H70" s="33">
        <f>IF(OR(2467106.07968="",15234.63496="",11738.55179=""),"-",(15234.63496-11738.55179)/2467106.07968*100)</f>
        <v>0.14170785759052018</v>
      </c>
      <c r="I70" s="20"/>
      <c r="J70" s="21"/>
      <c r="K70" s="18"/>
    </row>
    <row r="71" spans="1:11" x14ac:dyDescent="0.25">
      <c r="A71" s="22" t="s">
        <v>286</v>
      </c>
      <c r="B71" s="23" t="s">
        <v>178</v>
      </c>
      <c r="C71" s="41">
        <v>157215.49064</v>
      </c>
      <c r="D71" s="33">
        <f>IF(OR(139382.02159="",157215.49064=""),"-",157215.49064/139382.02159*100)</f>
        <v>112.79466953238644</v>
      </c>
      <c r="E71" s="33">
        <f>IF(139382.02159="","-",139382.02159/2467106.07968*100)</f>
        <v>5.6496160719639086</v>
      </c>
      <c r="F71" s="33">
        <f>IF(157215.49064="","-",157215.49064/3144446.15815*100)</f>
        <v>4.9997831965580861</v>
      </c>
      <c r="G71" s="33">
        <f>IF(OR(2779164.46518="",145211.20114="",139382.02159=""),"-",(139382.02159-145211.20114)/2779164.46518*100)</f>
        <v>-0.20974575715231947</v>
      </c>
      <c r="H71" s="33">
        <f>IF(OR(2467106.07968="",157215.49064="",139382.02159=""),"-",(157215.49064-139382.02159)/2467106.07968*100)</f>
        <v>0.72284970625637357</v>
      </c>
      <c r="I71" s="22"/>
      <c r="J71" s="23"/>
      <c r="K71" s="19"/>
    </row>
    <row r="72" spans="1:11" x14ac:dyDescent="0.25">
      <c r="A72" s="22" t="s">
        <v>287</v>
      </c>
      <c r="B72" s="23" t="s">
        <v>179</v>
      </c>
      <c r="C72" s="41">
        <v>14456.275600000001</v>
      </c>
      <c r="D72" s="33">
        <f>IF(OR(11986.61833="",14456.2756=""),"-",14456.2756/11986.61833*100)</f>
        <v>120.60345296737252</v>
      </c>
      <c r="E72" s="33">
        <f>IF(11986.61833="","-",11986.61833/2467106.07968*100)</f>
        <v>0.48585743550819438</v>
      </c>
      <c r="F72" s="33">
        <f>IF(14456.2756="","-",14456.2756/3144446.15815*100)</f>
        <v>0.45973996287171887</v>
      </c>
      <c r="G72" s="33">
        <f>IF(OR(2779164.46518="",14615.93197="",11986.61833=""),"-",(11986.61833-14615.93197)/2779164.46518*100)</f>
        <v>-9.4608061989224737E-2</v>
      </c>
      <c r="H72" s="33">
        <f>IF(OR(2467106.07968="",14456.2756="",11986.61833=""),"-",(14456.2756-11986.61833)/2467106.07968*100)</f>
        <v>0.10010340821341304</v>
      </c>
      <c r="I72" s="22"/>
      <c r="J72" s="23"/>
      <c r="K72" s="19"/>
    </row>
    <row r="73" spans="1:11" x14ac:dyDescent="0.25">
      <c r="A73" s="22" t="s">
        <v>288</v>
      </c>
      <c r="B73" s="23" t="s">
        <v>180</v>
      </c>
      <c r="C73" s="41">
        <v>275926.00598000002</v>
      </c>
      <c r="D73" s="33">
        <f>IF(OR(240691.26026="",275926.00598=""),"-",275926.00598/240691.26026*100)</f>
        <v>114.63898011167446</v>
      </c>
      <c r="E73" s="33">
        <f>IF(240691.26026="","-",240691.26026/2467106.07968*100)</f>
        <v>9.7560158536522774</v>
      </c>
      <c r="F73" s="33">
        <f>IF(275926.00598="","-",275926.00598/3144446.15815*100)</f>
        <v>8.7750272099535014</v>
      </c>
      <c r="G73" s="33">
        <f>IF(OR(2779164.46518="",277482.64994="",240691.26026=""),"-",(240691.26026-277482.64994)/2779164.46518*100)</f>
        <v>-1.3238291630796695</v>
      </c>
      <c r="H73" s="33">
        <f>IF(OR(2467106.07968="",275926.00598="",240691.26026=""),"-",(275926.00598-240691.26026)/2467106.07968*100)</f>
        <v>1.428181220507964</v>
      </c>
      <c r="I73" s="22"/>
      <c r="J73" s="23"/>
      <c r="K73" s="19"/>
    </row>
    <row r="74" spans="1:11" x14ac:dyDescent="0.25">
      <c r="A74" s="22" t="s">
        <v>289</v>
      </c>
      <c r="B74" s="23" t="s">
        <v>181</v>
      </c>
      <c r="C74" s="41">
        <v>37129.631260000002</v>
      </c>
      <c r="D74" s="33">
        <f>IF(OR(33394.17875="",37129.63126=""),"-",37129.63126/33394.17875*100)</f>
        <v>111.18593913617356</v>
      </c>
      <c r="E74" s="33">
        <f>IF(33394.17875="","-",33394.17875/2467106.07968*100)</f>
        <v>1.3535769306819367</v>
      </c>
      <c r="F74" s="33">
        <f>IF(37129.63126="","-",37129.63126/3144446.15815*100)</f>
        <v>1.1808003506043432</v>
      </c>
      <c r="G74" s="33">
        <f>IF(OR(2779164.46518="",34526.47376="",33394.17875=""),"-",(33394.17875-34526.47376)/2779164.46518*100)</f>
        <v>-4.0742281508937814E-2</v>
      </c>
      <c r="H74" s="33">
        <f>IF(OR(2467106.07968="",37129.63126="",33394.17875=""),"-",(37129.63126-33394.17875)/2467106.07968*100)</f>
        <v>0.15141029162736755</v>
      </c>
      <c r="I74" s="22"/>
      <c r="J74" s="23"/>
      <c r="K74" s="19"/>
    </row>
    <row r="75" spans="1:11" ht="25.5" x14ac:dyDescent="0.25">
      <c r="A75" s="22" t="s">
        <v>290</v>
      </c>
      <c r="B75" s="23" t="s">
        <v>204</v>
      </c>
      <c r="C75" s="41">
        <v>22955.05819</v>
      </c>
      <c r="D75" s="33">
        <f>IF(OR(24401.11164="",22955.05819=""),"-",22955.05819/24401.11164*100)</f>
        <v>94.073821425293076</v>
      </c>
      <c r="E75" s="33">
        <f>IF(24401.11164="","-",24401.11164/2467106.07968*100)</f>
        <v>0.98905806446575595</v>
      </c>
      <c r="F75" s="33">
        <f>IF(22955.05819="","-",22955.05819/3144446.15815*100)</f>
        <v>0.73001912055334262</v>
      </c>
      <c r="G75" s="33">
        <f>IF(OR(2779164.46518="",28671.26537="",24401.11164=""),"-",(24401.11164-28671.26537)/2779164.46518*100)</f>
        <v>-0.15364883163628942</v>
      </c>
      <c r="H75" s="33">
        <f>IF(OR(2467106.07968="",22955.05819="",24401.11164=""),"-",(22955.05819-24401.11164)/2467106.07968*100)</f>
        <v>-5.8613347107780718E-2</v>
      </c>
      <c r="I75" s="22"/>
      <c r="J75" s="23"/>
      <c r="K75" s="19"/>
    </row>
    <row r="76" spans="1:11" ht="25.5" x14ac:dyDescent="0.25">
      <c r="A76" s="22" t="s">
        <v>291</v>
      </c>
      <c r="B76" s="23" t="s">
        <v>182</v>
      </c>
      <c r="C76" s="41">
        <v>3933.0815200000002</v>
      </c>
      <c r="D76" s="33">
        <f>IF(OR(2877.57432="",3933.08152=""),"-",3933.08152/2877.57432*100)</f>
        <v>136.68044966428531</v>
      </c>
      <c r="E76" s="33">
        <f>IF(2877.57432="","-",2877.57432/2467106.07968*100)</f>
        <v>0.1166376405011835</v>
      </c>
      <c r="F76" s="33">
        <f>IF(3933.08152="","-",3933.08152/3144446.15815*100)</f>
        <v>0.12508026285665469</v>
      </c>
      <c r="G76" s="33">
        <f>IF(OR(2779164.46518="",4572.08806="",2877.57432=""),"-",(2877.57432-4572.08806)/2779164.46518*100)</f>
        <v>-6.0972056934034319E-2</v>
      </c>
      <c r="H76" s="33">
        <f>IF(OR(2467106.07968="",3933.08152="",2877.57432=""),"-",(3933.08152-2877.57432)/2467106.07968*100)</f>
        <v>4.2783211013646655E-2</v>
      </c>
      <c r="I76" s="22"/>
      <c r="J76" s="23"/>
      <c r="K76" s="19"/>
    </row>
    <row r="77" spans="1:11" ht="15.75" customHeight="1" x14ac:dyDescent="0.25">
      <c r="A77" s="22" t="s">
        <v>292</v>
      </c>
      <c r="B77" s="23" t="s">
        <v>34</v>
      </c>
      <c r="C77" s="41">
        <v>63492.969949999999</v>
      </c>
      <c r="D77" s="33">
        <f>IF(OR(53911.30889="",63492.96995=""),"-",63492.96995/53911.30889*100)</f>
        <v>117.77300766254871</v>
      </c>
      <c r="E77" s="33">
        <f>IF(53911.30889="","-",53911.30889/2467106.07968*100)</f>
        <v>2.1852043304515165</v>
      </c>
      <c r="F77" s="33">
        <f>IF(63492.96995="","-",63492.96995/3144446.15815*100)</f>
        <v>2.0192099580218406</v>
      </c>
      <c r="G77" s="33">
        <f>IF(OR(2779164.46518="",66186.23915="",53911.30889=""),"-",(53911.30889-66186.23915)/2779164.46518*100)</f>
        <v>-0.44167700090411799</v>
      </c>
      <c r="H77" s="33">
        <f>IF(OR(2467106.07968="",63492.96995="",53911.30889=""),"-",(63492.96995-53911.30889)/2467106.07968*100)</f>
        <v>0.38837653309349407</v>
      </c>
      <c r="I77" s="22"/>
      <c r="J77" s="23"/>
      <c r="K77" s="19"/>
    </row>
    <row r="78" spans="1:11" ht="25.5" x14ac:dyDescent="0.25">
      <c r="A78" s="26" t="s">
        <v>296</v>
      </c>
      <c r="B78" s="39" t="s">
        <v>183</v>
      </c>
      <c r="C78" s="40">
        <v>869.82707000000005</v>
      </c>
      <c r="D78" s="68">
        <f>IF(613.10278="","-",869.82707/613.10278*100)</f>
        <v>141.87296133284536</v>
      </c>
      <c r="E78" s="68">
        <f>IF(613.10278="","-",613.10278/2467106.07968*100)</f>
        <v>2.485109112452609E-2</v>
      </c>
      <c r="F78" s="68">
        <f>IF(869.82707="","-",869.82707/3144446.15815*100)</f>
        <v>2.7662329906508978E-2</v>
      </c>
      <c r="G78" s="68">
        <f>IF(2779164.46518="","-",(613.10278-879.32971)/2779164.46518*100)</f>
        <v>-9.5793873783125323E-3</v>
      </c>
      <c r="H78" s="68">
        <f>IF(2467106.07968="","-",(869.82707-613.10278)/2467106.07968*100)</f>
        <v>1.0405887777362975E-2</v>
      </c>
      <c r="I78" s="22"/>
      <c r="J78" s="23"/>
      <c r="K78" s="19"/>
    </row>
    <row r="79" spans="1:11" x14ac:dyDescent="0.25">
      <c r="A79" s="58" t="s">
        <v>299</v>
      </c>
      <c r="B79" s="59"/>
      <c r="C79" s="41"/>
      <c r="D79" s="56"/>
      <c r="E79" s="56"/>
      <c r="F79" s="56"/>
      <c r="G79" s="56"/>
      <c r="H79" s="56"/>
      <c r="I79" s="1"/>
      <c r="J79" s="1"/>
      <c r="K79" s="1"/>
    </row>
    <row r="80" spans="1:11" x14ac:dyDescent="0.25">
      <c r="A80" s="100" t="s">
        <v>340</v>
      </c>
      <c r="B80" s="100"/>
      <c r="C80" s="100"/>
      <c r="D80" s="100"/>
      <c r="E80" s="100"/>
    </row>
  </sheetData>
  <mergeCells count="8">
    <mergeCell ref="A80:E80"/>
    <mergeCell ref="A4:A5"/>
    <mergeCell ref="B1:H1"/>
    <mergeCell ref="B2:H2"/>
    <mergeCell ref="B4:B5"/>
    <mergeCell ref="C4:D4"/>
    <mergeCell ref="E4:F4"/>
    <mergeCell ref="G4:H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1"/>
  <sheetViews>
    <sheetView zoomScaleNormal="100" workbookViewId="0">
      <selection activeCell="B24" sqref="B24"/>
    </sheetView>
  </sheetViews>
  <sheetFormatPr defaultRowHeight="15.75" x14ac:dyDescent="0.25"/>
  <cols>
    <col min="1" max="1" width="5.25" customWidth="1"/>
    <col min="2" max="2" width="26.75" customWidth="1"/>
    <col min="3" max="3" width="11.625" customWidth="1"/>
    <col min="4" max="4" width="9.625" customWidth="1"/>
    <col min="5" max="7" width="8.375" customWidth="1"/>
    <col min="8" max="8" width="8.75" customWidth="1"/>
    <col min="9" max="9" width="11.375" bestFit="1" customWidth="1"/>
  </cols>
  <sheetData>
    <row r="1" spans="1:14" x14ac:dyDescent="0.25">
      <c r="B1" s="110" t="s">
        <v>136</v>
      </c>
      <c r="C1" s="110"/>
      <c r="D1" s="110"/>
      <c r="E1" s="110"/>
      <c r="F1" s="110"/>
      <c r="G1" s="110"/>
      <c r="H1" s="110"/>
    </row>
    <row r="2" spans="1:14" x14ac:dyDescent="0.25">
      <c r="B2" s="110" t="s">
        <v>298</v>
      </c>
      <c r="C2" s="110"/>
      <c r="D2" s="110"/>
      <c r="E2" s="110"/>
      <c r="F2" s="110"/>
      <c r="G2" s="110"/>
      <c r="H2" s="110"/>
    </row>
    <row r="3" spans="1:14" x14ac:dyDescent="0.25">
      <c r="B3" s="5"/>
    </row>
    <row r="4" spans="1:14" ht="57" customHeight="1" x14ac:dyDescent="0.25">
      <c r="A4" s="113" t="s">
        <v>223</v>
      </c>
      <c r="B4" s="115"/>
      <c r="C4" s="117" t="s">
        <v>409</v>
      </c>
      <c r="D4" s="118"/>
      <c r="E4" s="119" t="s">
        <v>0</v>
      </c>
      <c r="F4" s="120"/>
      <c r="G4" s="121" t="s">
        <v>117</v>
      </c>
      <c r="H4" s="122"/>
    </row>
    <row r="5" spans="1:14" ht="31.5" customHeight="1" x14ac:dyDescent="0.25">
      <c r="A5" s="114"/>
      <c r="B5" s="116"/>
      <c r="C5" s="74" t="s">
        <v>108</v>
      </c>
      <c r="D5" s="83" t="s">
        <v>410</v>
      </c>
      <c r="E5" s="74">
        <v>2020</v>
      </c>
      <c r="F5" s="74">
        <v>2021</v>
      </c>
      <c r="G5" s="73" t="s">
        <v>388</v>
      </c>
      <c r="H5" s="80" t="s">
        <v>389</v>
      </c>
    </row>
    <row r="6" spans="1:14" x14ac:dyDescent="0.25">
      <c r="A6" s="25"/>
      <c r="B6" s="38" t="s">
        <v>121</v>
      </c>
      <c r="C6" s="28">
        <v>7176590.6949300002</v>
      </c>
      <c r="D6" s="29">
        <f>IF(5415988.29784="","-",7176590.69493/5415988.29784*100)</f>
        <v>132.50750002159646</v>
      </c>
      <c r="E6" s="29">
        <v>100</v>
      </c>
      <c r="F6" s="29">
        <v>100</v>
      </c>
      <c r="G6" s="29">
        <f>IF(5842484.3398="","-",(5415988.29784-5842484.3398)/5842484.3398*100)</f>
        <v>-7.2999090310715307</v>
      </c>
      <c r="H6" s="29">
        <f>IF(5415988.29784="","-",(7176590.69493-5415988.29784)/5415988.29784*100)</f>
        <v>32.507500021596464</v>
      </c>
      <c r="I6" s="15"/>
      <c r="J6" s="15"/>
      <c r="K6" s="15"/>
      <c r="L6" s="15"/>
      <c r="M6" s="15"/>
      <c r="N6" s="15"/>
    </row>
    <row r="7" spans="1:14" ht="12" customHeight="1" x14ac:dyDescent="0.25">
      <c r="A7" s="20" t="s">
        <v>224</v>
      </c>
      <c r="B7" s="21" t="s">
        <v>184</v>
      </c>
      <c r="C7" s="18">
        <v>769357.39729999995</v>
      </c>
      <c r="D7" s="31">
        <f>IF(658489.21788="","-",769357.3973/658489.21788*100)</f>
        <v>116.83674939689051</v>
      </c>
      <c r="E7" s="31">
        <f>IF(658489.21788="","-",658489.21788/5415988.29784*100)</f>
        <v>12.158246688653632</v>
      </c>
      <c r="F7" s="31">
        <f>IF(769357.3973="","-",769357.3973/7176590.69493*100)</f>
        <v>10.720374478699515</v>
      </c>
      <c r="G7" s="31">
        <f>IF(5842484.3398="","-",(658489.21788-610574.0505)/5842484.3398*100)</f>
        <v>0.82011631684818909</v>
      </c>
      <c r="H7" s="31">
        <f>IF(5415988.29784="","-",(769357.3973-658489.21788)/5415988.29784*100)</f>
        <v>2.0470535260243508</v>
      </c>
    </row>
    <row r="8" spans="1:14" x14ac:dyDescent="0.25">
      <c r="A8" s="22" t="s">
        <v>225</v>
      </c>
      <c r="B8" s="23" t="s">
        <v>22</v>
      </c>
      <c r="C8" s="19">
        <v>5621.50785</v>
      </c>
      <c r="D8" s="33">
        <f>IF(OR(6246.88746="",5621.50785=""),"-",5621.50785/6246.88746*100)</f>
        <v>89.988940668382071</v>
      </c>
      <c r="E8" s="33">
        <f>IF(6246.88746="","-",6246.88746/5415988.29784*100)</f>
        <v>0.11534159818054589</v>
      </c>
      <c r="F8" s="33">
        <f>IF(5621.50785="","-",5621.50785/7176590.69493*100)</f>
        <v>7.8331175469870257E-2</v>
      </c>
      <c r="G8" s="33">
        <f>IF(OR(5842484.3398="",5549.58894="",6246.88746=""),"-",(6246.88746-5549.58894)/5842484.3398*100)</f>
        <v>1.1934966008379068E-2</v>
      </c>
      <c r="H8" s="33">
        <f>IF(OR(5415988.29784="",5621.50785="",6246.88746=""),"-",(5621.50785-6246.88746)/5415988.29784*100)</f>
        <v>-1.154691582789079E-2</v>
      </c>
    </row>
    <row r="9" spans="1:14" ht="14.25" customHeight="1" x14ac:dyDescent="0.25">
      <c r="A9" s="22" t="s">
        <v>226</v>
      </c>
      <c r="B9" s="23" t="s">
        <v>185</v>
      </c>
      <c r="C9" s="19">
        <v>64560.459360000001</v>
      </c>
      <c r="D9" s="33" t="s">
        <v>102</v>
      </c>
      <c r="E9" s="33">
        <f>IF(41455.98728="","-",41455.98728/5415988.29784*100)</f>
        <v>0.76543716493134673</v>
      </c>
      <c r="F9" s="33">
        <f>IF(64560.45936="","-",64560.45936/7176590.69493*100)</f>
        <v>0.8995979024637647</v>
      </c>
      <c r="G9" s="33">
        <f>IF(OR(5842484.3398="",45965.41373="",41455.98728=""),"-",(41455.98728-45965.41373)/5842484.3398*100)</f>
        <v>-7.7183372478741907E-2</v>
      </c>
      <c r="H9" s="33">
        <f>IF(OR(5415988.29784="",64560.45936="",41455.98728=""),"-",(64560.45936-41455.98728)/5415988.29784*100)</f>
        <v>0.42659752587010769</v>
      </c>
    </row>
    <row r="10" spans="1:14" s="7" customFormat="1" x14ac:dyDescent="0.25">
      <c r="A10" s="22" t="s">
        <v>227</v>
      </c>
      <c r="B10" s="23" t="s">
        <v>186</v>
      </c>
      <c r="C10" s="19">
        <v>95741.028950000007</v>
      </c>
      <c r="D10" s="33">
        <f>IF(OR(79343.85874="",95741.02895=""),"-",95741.02895/79343.85874*100)</f>
        <v>120.66596012645606</v>
      </c>
      <c r="E10" s="33">
        <f>IF(79343.85874="","-",79343.85874/5415988.29784*100)</f>
        <v>1.4649931716367233</v>
      </c>
      <c r="F10" s="33">
        <f>IF(95741.02895="","-",95741.02895/7176590.69493*100)</f>
        <v>1.3340739777403992</v>
      </c>
      <c r="G10" s="33">
        <f>IF(OR(5842484.3398="",67634.23397="",79343.85874=""),"-",(79343.85874-67634.23397)/5842484.3398*100)</f>
        <v>0.2004220138038203</v>
      </c>
      <c r="H10" s="33">
        <f>IF(OR(5415988.29784="",95741.02895="",79343.85874=""),"-",(95741.02895-79343.85874)/5415988.29784*100)</f>
        <v>0.30275490470574901</v>
      </c>
    </row>
    <row r="11" spans="1:14" s="7" customFormat="1" x14ac:dyDescent="0.25">
      <c r="A11" s="22" t="s">
        <v>228</v>
      </c>
      <c r="B11" s="23" t="s">
        <v>187</v>
      </c>
      <c r="C11" s="19">
        <v>77051.339919999999</v>
      </c>
      <c r="D11" s="33">
        <f>IF(OR(60429.3867="",77051.33992=""),"-",77051.33992/60429.3867*100)</f>
        <v>127.50640727584943</v>
      </c>
      <c r="E11" s="33">
        <f>IF(60429.3867="","-",60429.3867/5415988.29784*100)</f>
        <v>1.1157591814609422</v>
      </c>
      <c r="F11" s="33">
        <f>IF(77051.33992="","-",77051.33992/7176590.69493*100)</f>
        <v>1.0736482432310646</v>
      </c>
      <c r="G11" s="33">
        <f>IF(OR(5842484.3398="",58539.57959="",60429.3867=""),"-",(60429.3867-58539.57959)/5842484.3398*100)</f>
        <v>3.2345950799154276E-2</v>
      </c>
      <c r="H11" s="33">
        <f>IF(OR(5415988.29784="",77051.33992="",60429.3867=""),"-",(77051.33992-60429.3867)/5415988.29784*100)</f>
        <v>0.30690526467033075</v>
      </c>
    </row>
    <row r="12" spans="1:14" s="7" customFormat="1" ht="15" customHeight="1" x14ac:dyDescent="0.25">
      <c r="A12" s="22" t="s">
        <v>229</v>
      </c>
      <c r="B12" s="23" t="s">
        <v>188</v>
      </c>
      <c r="C12" s="19">
        <v>102451.93538</v>
      </c>
      <c r="D12" s="33">
        <f>IF(OR(96920.30829="",102451.93538=""),"-",102451.93538/96920.30829*100)</f>
        <v>105.70739733250593</v>
      </c>
      <c r="E12" s="33">
        <f>IF(96920.30829="","-",96920.30829/5415988.29784*100)</f>
        <v>1.7895221141569613</v>
      </c>
      <c r="F12" s="33">
        <f>IF(102451.93538="","-",102451.93538/7176590.69493*100)</f>
        <v>1.4275850433044559</v>
      </c>
      <c r="G12" s="33">
        <f>IF(OR(5842484.3398="",81527.64495="",96920.30829=""),"-",(96920.30829-81527.64495)/5842484.3398*100)</f>
        <v>0.26346092594793197</v>
      </c>
      <c r="H12" s="33">
        <f>IF(OR(5415988.29784="",102451.93538="",96920.30829=""),"-",(102451.93538-96920.30829)/5415988.29784*100)</f>
        <v>0.10213513740799833</v>
      </c>
    </row>
    <row r="13" spans="1:14" s="7" customFormat="1" ht="14.25" customHeight="1" x14ac:dyDescent="0.25">
      <c r="A13" s="22" t="s">
        <v>230</v>
      </c>
      <c r="B13" s="23" t="s">
        <v>189</v>
      </c>
      <c r="C13" s="19">
        <v>174560.53313</v>
      </c>
      <c r="D13" s="33">
        <f>IF(OR(170535.60473="",174560.53313=""),"-",174560.53313/170535.60473*100)</f>
        <v>102.36016895496543</v>
      </c>
      <c r="E13" s="33">
        <f>IF(170535.60473="","-",170535.60473/5415988.29784*100)</f>
        <v>3.1487439660461018</v>
      </c>
      <c r="F13" s="33">
        <f>IF(174560.53313="","-",174560.53313/7176590.69493*100)</f>
        <v>2.4323601630690828</v>
      </c>
      <c r="G13" s="33">
        <f>IF(OR(5842484.3398="",164072.36056="",170535.60473=""),"-",(170535.60473-164072.36056)/5842484.3398*100)</f>
        <v>0.11062492929542436</v>
      </c>
      <c r="H13" s="33">
        <f>IF(OR(5415988.29784="",174560.53313="",170535.60473=""),"-",(174560.53313-170535.60473)/5415988.29784*100)</f>
        <v>7.4315677557967086E-2</v>
      </c>
    </row>
    <row r="14" spans="1:14" s="7" customFormat="1" ht="25.5" x14ac:dyDescent="0.25">
      <c r="A14" s="22" t="s">
        <v>231</v>
      </c>
      <c r="B14" s="23" t="s">
        <v>147</v>
      </c>
      <c r="C14" s="19">
        <v>19099.759409999999</v>
      </c>
      <c r="D14" s="33">
        <f>IF(OR(20095.7614="",19099.75941=""),"-",19099.75941/20095.7614*100)</f>
        <v>95.043721060501838</v>
      </c>
      <c r="E14" s="33">
        <f>IF(20095.7614="","-",20095.7614/5415988.29784*100)</f>
        <v>0.37104514069970523</v>
      </c>
      <c r="F14" s="33">
        <f>IF(19099.75941="","-",19099.75941/7176590.69493*100)</f>
        <v>0.26613973433782817</v>
      </c>
      <c r="G14" s="33">
        <f>IF(OR(5842484.3398="",18028.5068="",20095.7614=""),"-",(20095.7614-18028.5068)/5842484.3398*100)</f>
        <v>3.538314319334173E-2</v>
      </c>
      <c r="H14" s="33">
        <f>IF(OR(5415988.29784="",19099.75941="",20095.7614=""),"-",(19099.75941-20095.7614)/5415988.29784*100)</f>
        <v>-1.839003216453081E-2</v>
      </c>
    </row>
    <row r="15" spans="1:14" s="7" customFormat="1" ht="25.5" x14ac:dyDescent="0.25">
      <c r="A15" s="22" t="s">
        <v>232</v>
      </c>
      <c r="B15" s="23" t="s">
        <v>190</v>
      </c>
      <c r="C15" s="19">
        <v>70266.815839999996</v>
      </c>
      <c r="D15" s="33">
        <f>IF(OR(59856.2216="",70266.81584=""),"-",70266.81584/59856.2216*100)</f>
        <v>117.39266856763975</v>
      </c>
      <c r="E15" s="33">
        <f>IF(59856.2216="","-",59856.2216/5415988.29784*100)</f>
        <v>1.1051763465565796</v>
      </c>
      <c r="F15" s="33">
        <f>IF(70266.81584="","-",70266.81584/7176590.69493*100)</f>
        <v>0.97911137512190771</v>
      </c>
      <c r="G15" s="33">
        <f>IF(OR(5842484.3398="",57070.7543="",59856.2216=""),"-",(59856.2216-57070.7543)/5842484.3398*100)</f>
        <v>4.7676076442771415E-2</v>
      </c>
      <c r="H15" s="33">
        <f>IF(OR(5415988.29784="",70266.81584="",59856.2216=""),"-",(70266.81584-59856.2216)/5415988.29784*100)</f>
        <v>0.19221965904453567</v>
      </c>
    </row>
    <row r="16" spans="1:14" s="7" customFormat="1" ht="25.5" x14ac:dyDescent="0.25">
      <c r="A16" s="22" t="s">
        <v>233</v>
      </c>
      <c r="B16" s="23" t="s">
        <v>148</v>
      </c>
      <c r="C16" s="19">
        <v>48540.447699999997</v>
      </c>
      <c r="D16" s="33">
        <f>IF(OR(38568.71804="",48540.4477=""),"-",48540.4477/38568.71804*100)</f>
        <v>125.85444932252665</v>
      </c>
      <c r="E16" s="33">
        <f>IF(38568.71804="","-",38568.71804/5415988.29784*100)</f>
        <v>0.71212705639304918</v>
      </c>
      <c r="F16" s="33">
        <f>IF(48540.4477="","-",48540.4477/7176590.69493*100)</f>
        <v>0.67637196774078323</v>
      </c>
      <c r="G16" s="33">
        <f>IF(OR(5842484.3398="",31861.15795="",38568.71804=""),"-",(38568.71804-31861.15795)/5842484.3398*100)</f>
        <v>0.11480664217286737</v>
      </c>
      <c r="H16" s="33">
        <f>IF(OR(5415988.29784="",48540.4477="",38568.71804=""),"-",(48540.4477-38568.71804)/5415988.29784*100)</f>
        <v>0.18411652890714172</v>
      </c>
    </row>
    <row r="17" spans="1:8" s="7" customFormat="1" ht="15" customHeight="1" x14ac:dyDescent="0.25">
      <c r="A17" s="22" t="s">
        <v>234</v>
      </c>
      <c r="B17" s="23" t="s">
        <v>191</v>
      </c>
      <c r="C17" s="19">
        <v>111463.56976</v>
      </c>
      <c r="D17" s="33">
        <f>IF(OR(85036.48364="",111463.56976=""),"-",111463.56976/85036.48364*100)</f>
        <v>131.07735055447313</v>
      </c>
      <c r="E17" s="33">
        <f>IF(85036.48364="","-",85036.48364/5415988.29784*100)</f>
        <v>1.5701009485916759</v>
      </c>
      <c r="F17" s="33">
        <f>IF(111463.56976="","-",111463.56976/7176590.69493*100)</f>
        <v>1.5531548962203592</v>
      </c>
      <c r="G17" s="33">
        <f>IF(OR(5842484.3398="",80324.80971="",85036.48364=""),"-",(85036.48364-80324.80971)/5842484.3398*100)</f>
        <v>8.0645041663240366E-2</v>
      </c>
      <c r="H17" s="33">
        <f>IF(OR(5415988.29784="",111463.56976="",85036.48364=""),"-",(111463.56976-85036.48364)/5415988.29784*100)</f>
        <v>0.48794577585294308</v>
      </c>
    </row>
    <row r="18" spans="1:8" s="7" customFormat="1" x14ac:dyDescent="0.25">
      <c r="A18" s="20" t="s">
        <v>235</v>
      </c>
      <c r="B18" s="21" t="s">
        <v>192</v>
      </c>
      <c r="C18" s="18">
        <v>131803.42535</v>
      </c>
      <c r="D18" s="31">
        <f>IF(105963.24332="","-",131803.42535/105963.24332*100)</f>
        <v>124.38598632920743</v>
      </c>
      <c r="E18" s="31">
        <f>IF(105963.24332="","-",105963.24332/5415988.29784*100)</f>
        <v>1.9564895175689385</v>
      </c>
      <c r="F18" s="31">
        <f>IF(131803.42535="","-",131803.42535/7176590.69493*100)</f>
        <v>1.8365743700990824</v>
      </c>
      <c r="G18" s="31">
        <f>IF(5842484.3398="","-",(105963.24332-127854.18485)/5842484.3398*100)</f>
        <v>-0.37468549775778054</v>
      </c>
      <c r="H18" s="31">
        <f>IF(5415988.29784="","-",(131803.42535-105963.24332)/5415988.29784*100)</f>
        <v>0.47710926628673794</v>
      </c>
    </row>
    <row r="19" spans="1:8" s="7" customFormat="1" x14ac:dyDescent="0.25">
      <c r="A19" s="22" t="s">
        <v>236</v>
      </c>
      <c r="B19" s="23" t="s">
        <v>193</v>
      </c>
      <c r="C19" s="19">
        <v>77592.3658</v>
      </c>
      <c r="D19" s="33">
        <f>IF(OR(53995.67475="",77592.3658=""),"-",77592.3658/53995.67475*100)</f>
        <v>143.70107635334256</v>
      </c>
      <c r="E19" s="33">
        <f>IF(53995.67475="","-",53995.67475/5415988.29784*100)</f>
        <v>0.99696808376662316</v>
      </c>
      <c r="F19" s="33">
        <f>IF(77592.3658="","-",77592.3658/7176590.69493*100)</f>
        <v>1.0811870022741603</v>
      </c>
      <c r="G19" s="33">
        <f>IF(OR(5842484.3398="",62547.91198="",53995.67475=""),"-",(53995.67475-62547.91198)/5842484.3398*100)</f>
        <v>-0.14638014811166372</v>
      </c>
      <c r="H19" s="33">
        <f>IF(OR(5415988.29784="",77592.3658="",53995.67475=""),"-",(77592.3658-53995.67475)/5415988.29784*100)</f>
        <v>0.43568578350530801</v>
      </c>
    </row>
    <row r="20" spans="1:8" s="7" customFormat="1" x14ac:dyDescent="0.25">
      <c r="A20" s="22" t="s">
        <v>237</v>
      </c>
      <c r="B20" s="23" t="s">
        <v>194</v>
      </c>
      <c r="C20" s="19">
        <v>54211.059549999998</v>
      </c>
      <c r="D20" s="33">
        <f>IF(OR(51967.56857="",54211.05955=""),"-",54211.05955/51967.56857*100)</f>
        <v>104.31709822440129</v>
      </c>
      <c r="E20" s="33">
        <f>IF(51967.56857="","-",51967.56857/5415988.29784*100)</f>
        <v>0.9595214338023158</v>
      </c>
      <c r="F20" s="33">
        <f>IF(54211.05955="","-",54211.05955/7176590.69493*100)</f>
        <v>0.75538736782492188</v>
      </c>
      <c r="G20" s="33">
        <f>IF(OR(5842484.3398="",65306.27287="",51967.56857=""),"-",(51967.56857-65306.27287)/5842484.3398*100)</f>
        <v>-0.22830534964611662</v>
      </c>
      <c r="H20" s="33">
        <f>IF(OR(5415988.29784="",54211.05955="",51967.56857=""),"-",(54211.05955-51967.56857)/5415988.29784*100)</f>
        <v>4.1423482781429606E-2</v>
      </c>
    </row>
    <row r="21" spans="1:8" s="7" customFormat="1" ht="25.5" x14ac:dyDescent="0.25">
      <c r="A21" s="20" t="s">
        <v>238</v>
      </c>
      <c r="B21" s="21" t="s">
        <v>23</v>
      </c>
      <c r="C21" s="18">
        <v>185851.93061000001</v>
      </c>
      <c r="D21" s="31">
        <f>IF(137599.59442="","-",185851.93061/137599.59442*100)</f>
        <v>135.06720815085959</v>
      </c>
      <c r="E21" s="31">
        <f>IF(137599.59442="","-",137599.59442/5415988.29784*100)</f>
        <v>2.5406183849192838</v>
      </c>
      <c r="F21" s="31">
        <f>IF(185851.93061="","-",185851.93061/7176590.69493*100)</f>
        <v>2.589696675070206</v>
      </c>
      <c r="G21" s="31">
        <f>IF(5842484.3398="","-",(137599.59442-139509.53792)/5842484.3398*100)</f>
        <v>-3.269060538150069E-2</v>
      </c>
      <c r="H21" s="31">
        <f>IF(5415988.29784="","-",(185851.93061-137599.59442)/5415988.29784*100)</f>
        <v>0.89092393735865272</v>
      </c>
    </row>
    <row r="22" spans="1:8" s="7" customFormat="1" ht="15.75" customHeight="1" x14ac:dyDescent="0.25">
      <c r="A22" s="22" t="s">
        <v>239</v>
      </c>
      <c r="B22" s="23" t="s">
        <v>201</v>
      </c>
      <c r="C22" s="19">
        <v>15.41886</v>
      </c>
      <c r="D22" s="33">
        <f>IF(OR(25.90672="",15.41886=""),"-",15.41886/25.90672*100)</f>
        <v>59.516835786236157</v>
      </c>
      <c r="E22" s="33">
        <f>IF(25.90672="","-",25.90672/5415988.29784*100)</f>
        <v>4.7833781343900058E-4</v>
      </c>
      <c r="F22" s="33">
        <f>IF(15.41886="","-",15.41886/7176590.69493*100)</f>
        <v>2.1484937145562535E-4</v>
      </c>
      <c r="G22" s="33">
        <f>IF(OR(5842484.3398="",57.71009="",25.90672=""),"-",(25.90672-57.71009)/5842484.3398*100)</f>
        <v>-5.4434668798938868E-4</v>
      </c>
      <c r="H22" s="33">
        <f>IF(OR(5415988.29784="",15.41886="",25.90672=""),"-",(15.41886-25.90672)/5415988.29784*100)</f>
        <v>-1.936462825110379E-4</v>
      </c>
    </row>
    <row r="23" spans="1:8" s="7" customFormat="1" x14ac:dyDescent="0.25">
      <c r="A23" s="22" t="s">
        <v>240</v>
      </c>
      <c r="B23" s="23" t="s">
        <v>195</v>
      </c>
      <c r="C23" s="19">
        <v>47779.681080000002</v>
      </c>
      <c r="D23" s="33">
        <f>IF(OR(34550.83294="",47779.68108=""),"-",47779.68108/34550.83294*100)</f>
        <v>138.28807300528138</v>
      </c>
      <c r="E23" s="33">
        <f>IF(34550.83294="","-",34550.83294/5415988.29784*100)</f>
        <v>0.63794142527559616</v>
      </c>
      <c r="F23" s="33">
        <f>IF(47779.68108="","-",47779.68108/7176590.69493*100)</f>
        <v>0.66577129881121133</v>
      </c>
      <c r="G23" s="33">
        <f>IF(OR(5842484.3398="",32101.53188="",34550.83294=""),"-",(34550.83294-32101.53188)/5842484.3398*100)</f>
        <v>4.192225289017798E-2</v>
      </c>
      <c r="H23" s="33">
        <f>IF(OR(5415988.29784="",47779.68108="",34550.83294=""),"-",(47779.68108-34550.83294)/5415988.29784*100)</f>
        <v>0.24425547864045274</v>
      </c>
    </row>
    <row r="24" spans="1:8" s="7" customFormat="1" ht="25.5" x14ac:dyDescent="0.25">
      <c r="A24" s="22" t="s">
        <v>294</v>
      </c>
      <c r="B24" s="23" t="s">
        <v>196</v>
      </c>
      <c r="C24" s="19">
        <v>2888.36303</v>
      </c>
      <c r="D24" s="33" t="s">
        <v>93</v>
      </c>
      <c r="E24" s="33">
        <f>IF(1390.16302="","-",1390.16302/5415988.29784*100)</f>
        <v>2.5667762623387196E-2</v>
      </c>
      <c r="F24" s="33">
        <f>IF(2888.36303="","-",2888.36303/7176590.69493*100)</f>
        <v>4.0247007984453166E-2</v>
      </c>
      <c r="G24" s="33">
        <f>IF(OR(5842484.3398="",1542.25262="",1390.16302=""),"-",(1390.16302-1542.25262)/5842484.3398*100)</f>
        <v>-2.6031665838441315E-3</v>
      </c>
      <c r="H24" s="33">
        <f>IF(OR(5415988.29784="",2888.36303="",1390.16302=""),"-",(2888.36303-1390.16302)/5415988.29784*100)</f>
        <v>2.7662541490304011E-2</v>
      </c>
    </row>
    <row r="25" spans="1:8" s="7" customFormat="1" x14ac:dyDescent="0.25">
      <c r="A25" s="22" t="s">
        <v>241</v>
      </c>
      <c r="B25" s="23" t="s">
        <v>197</v>
      </c>
      <c r="C25" s="19">
        <v>57050.22999</v>
      </c>
      <c r="D25" s="33">
        <f>IF(OR(39481.70284="",57050.22999=""),"-",57050.22999/39481.70284*100)</f>
        <v>144.49789620573517</v>
      </c>
      <c r="E25" s="33">
        <f>IF(39481.70284="","-",39481.70284/5415988.29784*100)</f>
        <v>0.72898427154552858</v>
      </c>
      <c r="F25" s="33">
        <f>IF(57050.22999="","-",57050.22999/7176590.69493*100)</f>
        <v>0.79494891676494683</v>
      </c>
      <c r="G25" s="33">
        <f>IF(OR(5842484.3398="",38552.9189="",39481.70284=""),"-",(39481.70284-38552.9189)/5842484.3398*100)</f>
        <v>1.5897071964283523E-2</v>
      </c>
      <c r="H25" s="33">
        <f>IF(OR(5415988.29784="",57050.22999="",39481.70284=""),"-",(57050.22999-39481.70284)/5415988.29784*100)</f>
        <v>0.32438266450846409</v>
      </c>
    </row>
    <row r="26" spans="1:8" s="7" customFormat="1" ht="14.25" customHeight="1" x14ac:dyDescent="0.25">
      <c r="A26" s="22" t="s">
        <v>242</v>
      </c>
      <c r="B26" s="23" t="s">
        <v>149</v>
      </c>
      <c r="C26" s="19">
        <v>578.82903999999996</v>
      </c>
      <c r="D26" s="33">
        <f>IF(OR(486.41642="",578.82904=""),"-",578.82904/486.41642*100)</f>
        <v>118.99866373754404</v>
      </c>
      <c r="E26" s="33">
        <f>IF(486.41642="","-",486.41642/5415988.29784*100)</f>
        <v>8.9811202175970762E-3</v>
      </c>
      <c r="F26" s="33">
        <f>IF(578.82904="","-",578.82904/7176590.69493*100)</f>
        <v>8.065515571466569E-3</v>
      </c>
      <c r="G26" s="33">
        <f>IF(OR(5842484.3398="",452.02873="",486.41642=""),"-",(486.41642-452.02873)/5842484.3398*100)</f>
        <v>5.8857992593570527E-4</v>
      </c>
      <c r="H26" s="33">
        <f>IF(OR(5415988.29784="",578.82904="",486.41642=""),"-",(578.82904-486.41642)/5415988.29784*100)</f>
        <v>1.7062928300058528E-3</v>
      </c>
    </row>
    <row r="27" spans="1:8" s="7" customFormat="1" ht="38.25" x14ac:dyDescent="0.25">
      <c r="A27" s="22" t="s">
        <v>243</v>
      </c>
      <c r="B27" s="23" t="s">
        <v>150</v>
      </c>
      <c r="C27" s="19">
        <v>10568.793960000001</v>
      </c>
      <c r="D27" s="33">
        <f>IF(OR(8228.60774="",10568.79396=""),"-",10568.79396/8228.60774*100)</f>
        <v>128.43963759050206</v>
      </c>
      <c r="E27" s="33">
        <f>IF(8228.60774="","-",8228.60774/5415988.29784*100)</f>
        <v>0.15193178580688083</v>
      </c>
      <c r="F27" s="33">
        <f>IF(10568.79396="","-",10568.79396/7176590.69493*100)</f>
        <v>0.14726761507335884</v>
      </c>
      <c r="G27" s="33">
        <f>IF(OR(5842484.3398="",8316.74403="",8228.60774=""),"-",(8228.60774-8316.74403)/5842484.3398*100)</f>
        <v>-1.5085413134888685E-3</v>
      </c>
      <c r="H27" s="33">
        <f>IF(OR(5415988.29784="",10568.79396="",8228.60774=""),"-",(10568.79396-8228.60774)/5415988.29784*100)</f>
        <v>4.3208849268254745E-2</v>
      </c>
    </row>
    <row r="28" spans="1:8" s="7" customFormat="1" ht="38.25" x14ac:dyDescent="0.25">
      <c r="A28" s="22" t="s">
        <v>244</v>
      </c>
      <c r="B28" s="23" t="s">
        <v>151</v>
      </c>
      <c r="C28" s="19">
        <v>19494.715749999999</v>
      </c>
      <c r="D28" s="33">
        <f>IF(OR(17887.07175="",19494.71575=""),"-",19494.71575/17887.07175*100)</f>
        <v>108.98774278131913</v>
      </c>
      <c r="E28" s="33">
        <f>IF(17887.07175="","-",17887.07175/5415988.29784*100)</f>
        <v>0.33026422448389897</v>
      </c>
      <c r="F28" s="33">
        <f>IF(19494.71575="","-",19494.71575/7176590.69493*100)</f>
        <v>0.271643132215584</v>
      </c>
      <c r="G28" s="33">
        <f>IF(OR(5842484.3398="",23932.19484="",17887.07175=""),"-",(17887.07175-23932.19484)/5842484.3398*100)</f>
        <v>-0.10346836616778914</v>
      </c>
      <c r="H28" s="33">
        <f>IF(OR(5415988.29784="",19494.71575="",17887.07175=""),"-",(19494.71575-17887.07175)/5415988.29784*100)</f>
        <v>2.9683298995331276E-2</v>
      </c>
    </row>
    <row r="29" spans="1:8" s="7" customFormat="1" ht="25.5" x14ac:dyDescent="0.25">
      <c r="A29" s="22" t="s">
        <v>245</v>
      </c>
      <c r="B29" s="23" t="s">
        <v>152</v>
      </c>
      <c r="C29" s="19">
        <v>1483.18103</v>
      </c>
      <c r="D29" s="33">
        <f>IF(OR(1787.83245="",1483.18103=""),"-",1483.18103/1787.83245*100)</f>
        <v>82.959733167389359</v>
      </c>
      <c r="E29" s="33">
        <f>IF(1787.83245="","-",1787.83245/5415988.29784*100)</f>
        <v>3.3010271656477214E-2</v>
      </c>
      <c r="F29" s="33">
        <f>IF(1483.18103="","-",1483.18103/7176590.69493*100)</f>
        <v>2.0666930762093111E-2</v>
      </c>
      <c r="G29" s="33">
        <f>IF(OR(5842484.3398="",1528.1131="",1787.83245=""),"-",(1787.83245-1528.1131)/5842484.3398*100)</f>
        <v>4.4453580856134703E-3</v>
      </c>
      <c r="H29" s="33">
        <f>IF(OR(5415988.29784="",1483.18103="",1787.83245=""),"-",(1483.18103-1787.83245)/5415988.29784*100)</f>
        <v>-5.6250383724333556E-3</v>
      </c>
    </row>
    <row r="30" spans="1:8" s="7" customFormat="1" ht="25.5" x14ac:dyDescent="0.25">
      <c r="A30" s="22" t="s">
        <v>246</v>
      </c>
      <c r="B30" s="23" t="s">
        <v>153</v>
      </c>
      <c r="C30" s="19">
        <v>45992.71787</v>
      </c>
      <c r="D30" s="33">
        <f>IF(OR(33761.06054="",45992.71787=""),"-",45992.71787/33761.06054*100)</f>
        <v>136.23007433521815</v>
      </c>
      <c r="E30" s="33">
        <f>IF(33761.06054="","-",33761.06054/5415988.29784*100)</f>
        <v>0.62335918549647817</v>
      </c>
      <c r="F30" s="33">
        <f>IF(45992.71787="","-",45992.71787/7176590.69493*100)</f>
        <v>0.64087140851563662</v>
      </c>
      <c r="G30" s="33">
        <f>IF(OR(5842484.3398="",33026.04373="",33761.06054=""),"-",(33761.06054-33026.04373)/5842484.3398*100)</f>
        <v>1.2580552505600076E-2</v>
      </c>
      <c r="H30" s="33">
        <f>IF(OR(5415988.29784="",45992.71787="",33761.06054=""),"-",(45992.71787-33761.06054)/5415988.29784*100)</f>
        <v>0.22584349628078446</v>
      </c>
    </row>
    <row r="31" spans="1:8" s="7" customFormat="1" ht="25.5" x14ac:dyDescent="0.25">
      <c r="A31" s="20" t="s">
        <v>247</v>
      </c>
      <c r="B31" s="21" t="s">
        <v>154</v>
      </c>
      <c r="C31" s="18">
        <v>1071975.0688799999</v>
      </c>
      <c r="D31" s="31" t="s">
        <v>207</v>
      </c>
      <c r="E31" s="31">
        <f>IF(590133.57014="","-",590133.57014/5415988.29784*100)</f>
        <v>10.896138205751967</v>
      </c>
      <c r="F31" s="31">
        <f>IF(1071975.06888="","-",1071975.06888/7176590.69493*100)</f>
        <v>14.937107527078439</v>
      </c>
      <c r="G31" s="31">
        <f>IF(5842484.3398="","-",(590133.57014-922115.81226)/5842484.3398*100)</f>
        <v>-5.6822102176377332</v>
      </c>
      <c r="H31" s="31">
        <f>IF(5415988.29784="","-",(1071975.06888-590133.57014)/5415988.29784*100)</f>
        <v>8.8966495539173813</v>
      </c>
    </row>
    <row r="32" spans="1:8" s="7" customFormat="1" x14ac:dyDescent="0.25">
      <c r="A32" s="22" t="s">
        <v>248</v>
      </c>
      <c r="B32" s="23" t="s">
        <v>198</v>
      </c>
      <c r="C32" s="19">
        <v>17940.82072</v>
      </c>
      <c r="D32" s="33">
        <f>IF(OR(15396.24091="",17940.82072=""),"-",17940.82072/15396.24091*100)</f>
        <v>116.52727977481354</v>
      </c>
      <c r="E32" s="33">
        <f>IF(15396.24091="","-",15396.24091/5415988.29784*100)</f>
        <v>0.28427389542441067</v>
      </c>
      <c r="F32" s="33">
        <f>IF(17940.82072="","-",17940.82072/7176590.69493*100)</f>
        <v>0.2499908589279661</v>
      </c>
      <c r="G32" s="33">
        <f>IF(OR(5842484.3398="",18702.43162="",15396.24091=""),"-",(15396.24091-18702.43162)/5842484.3398*100)</f>
        <v>-5.6588781718723037E-2</v>
      </c>
      <c r="H32" s="33">
        <f>IF(OR(5415988.29784="",17940.82072="",15396.24091=""),"-",(17940.82072-15396.24091)/5415988.29784*100)</f>
        <v>4.698274202355323E-2</v>
      </c>
    </row>
    <row r="33" spans="1:8" s="7" customFormat="1" ht="25.5" x14ac:dyDescent="0.25">
      <c r="A33" s="22" t="s">
        <v>249</v>
      </c>
      <c r="B33" s="23" t="s">
        <v>155</v>
      </c>
      <c r="C33" s="19">
        <v>628956.25014000002</v>
      </c>
      <c r="D33" s="33" t="s">
        <v>101</v>
      </c>
      <c r="E33" s="33">
        <f>IF(378932.84274="","-",378932.84274/5415988.29784*100)</f>
        <v>6.9965594809561482</v>
      </c>
      <c r="F33" s="33">
        <f>IF(628956.25014="","-",628956.25014/7176590.69493*100)</f>
        <v>8.7639977933301214</v>
      </c>
      <c r="G33" s="33">
        <f>IF(OR(5842484.3398="",587927.11019="",378932.84274=""),"-",(378932.84274-587927.11019)/5842484.3398*100)</f>
        <v>-3.5771472424204109</v>
      </c>
      <c r="H33" s="33">
        <f>IF(OR(5415988.29784="",628956.25014="",378932.84274=""),"-",(628956.25014-378932.84274)/5415988.29784*100)</f>
        <v>4.6163948969334765</v>
      </c>
    </row>
    <row r="34" spans="1:8" s="7" customFormat="1" ht="25.5" x14ac:dyDescent="0.25">
      <c r="A34" s="22" t="s">
        <v>295</v>
      </c>
      <c r="B34" s="23" t="s">
        <v>199</v>
      </c>
      <c r="C34" s="19">
        <v>417336.63296999998</v>
      </c>
      <c r="D34" s="33" t="s">
        <v>206</v>
      </c>
      <c r="E34" s="33">
        <f>IF(186243.68467="","-",186243.68467/5415988.29784*100)</f>
        <v>3.4387756108017724</v>
      </c>
      <c r="F34" s="33">
        <f>IF(417336.63297="","-",417336.63297/7176590.69493*100)</f>
        <v>5.8152491999415972</v>
      </c>
      <c r="G34" s="33">
        <f>IF(OR(5842484.3398="",275632.53464="",186243.68467=""),"-",(186243.68467-275632.53464)/5842484.3398*100)</f>
        <v>-1.5299801380907081</v>
      </c>
      <c r="H34" s="33">
        <f>IF(OR(5415988.29784="",417336.63297="",186243.68467=""),"-",(417336.63297-186243.68467)/5415988.29784*100)</f>
        <v>4.2668657240667285</v>
      </c>
    </row>
    <row r="35" spans="1:8" s="7" customFormat="1" x14ac:dyDescent="0.25">
      <c r="A35" s="22" t="s">
        <v>304</v>
      </c>
      <c r="B35" s="23" t="s">
        <v>307</v>
      </c>
      <c r="C35" s="19">
        <v>7741.3650500000003</v>
      </c>
      <c r="D35" s="33">
        <f>IF(OR(9560.80182="",7741.36505=""),"-",7741.36505/9560.80182*100)</f>
        <v>80.969830729113468</v>
      </c>
      <c r="E35" s="33">
        <f>IF(9560.80182="","-",9560.80182/5415988.29784*100)</f>
        <v>0.17652921856963819</v>
      </c>
      <c r="F35" s="33">
        <f>IF(7741.36505="","-",7741.36505/7176590.69493*100)</f>
        <v>0.10786967487875536</v>
      </c>
      <c r="G35" s="33">
        <f>IF(OR(5842484.3398="",39853.73581="",9560.80182=""),"-",(9560.80182-39853.73581)/5842484.3398*100)</f>
        <v>-0.51849405540789151</v>
      </c>
      <c r="H35" s="33">
        <f>IF(OR(5415988.29784="",7741.36505="",9560.80182=""),"-",(7741.36505-9560.80182)/5415988.29784*100)</f>
        <v>-3.3593809106375404E-2</v>
      </c>
    </row>
    <row r="36" spans="1:8" s="7" customFormat="1" ht="25.5" x14ac:dyDescent="0.25">
      <c r="A36" s="20" t="s">
        <v>250</v>
      </c>
      <c r="B36" s="21" t="s">
        <v>156</v>
      </c>
      <c r="C36" s="18">
        <v>14621.66928</v>
      </c>
      <c r="D36" s="31">
        <f>IF(12094.6506="","-",14621.66928/12094.6506*100)</f>
        <v>120.89368898345852</v>
      </c>
      <c r="E36" s="31">
        <f>IF(12094.6506="","-",12094.6506/5415988.29784*100)</f>
        <v>0.22331382445607537</v>
      </c>
      <c r="F36" s="31">
        <f>IF(14621.66928="","-",14621.66928/7176590.69493*100)</f>
        <v>0.20374116208591464</v>
      </c>
      <c r="G36" s="31">
        <f>IF(5842484.3398="","-",(12094.6506-11289.84884)/5842484.3398*100)</f>
        <v>1.3774992164164709E-2</v>
      </c>
      <c r="H36" s="31">
        <f>IF(5415988.29784="","-",(14621.66928-12094.6506)/5415988.29784*100)</f>
        <v>4.6658495938918902E-2</v>
      </c>
    </row>
    <row r="37" spans="1:8" s="7" customFormat="1" x14ac:dyDescent="0.25">
      <c r="A37" s="22" t="s">
        <v>251</v>
      </c>
      <c r="B37" s="23" t="s">
        <v>202</v>
      </c>
      <c r="C37" s="19">
        <v>2214.20829</v>
      </c>
      <c r="D37" s="33">
        <f>IF(OR(1804.08578="",2214.20829=""),"-",2214.20829/1804.08578*100)</f>
        <v>122.73298279641669</v>
      </c>
      <c r="E37" s="33">
        <f>IF(1804.08578="","-",1804.08578/5415988.29784*100)</f>
        <v>3.3310370717002914E-2</v>
      </c>
      <c r="F37" s="33">
        <f>IF(2214.20829="","-",2214.20829/7176590.69493*100)</f>
        <v>3.08532057090041E-2</v>
      </c>
      <c r="G37" s="33">
        <f>IF(OR(5842484.3398="",1838.99859="",1804.08578=""),"-",(1804.08578-1838.99859)/5842484.3398*100)</f>
        <v>-5.9756788327471912E-4</v>
      </c>
      <c r="H37" s="33">
        <f>IF(OR(5415988.29784="",2214.20829="",1804.08578=""),"-",(2214.20829-1804.08578)/5415988.29784*100)</f>
        <v>7.5724408445188964E-3</v>
      </c>
    </row>
    <row r="38" spans="1:8" s="7" customFormat="1" ht="25.5" x14ac:dyDescent="0.25">
      <c r="A38" s="22" t="s">
        <v>252</v>
      </c>
      <c r="B38" s="23" t="s">
        <v>157</v>
      </c>
      <c r="C38" s="19">
        <v>10109.05939</v>
      </c>
      <c r="D38" s="33">
        <f>IF(OR(8542.84833="",10109.05939=""),"-",10109.05939/8542.84833*100)</f>
        <v>118.33359319396931</v>
      </c>
      <c r="E38" s="33">
        <f>IF(8542.84833="","-",8542.84833/5415988.29784*100)</f>
        <v>0.15773387718372753</v>
      </c>
      <c r="F38" s="33">
        <f>IF(10109.05939="","-",10109.05939/7176590.69493*100)</f>
        <v>0.14086158483500644</v>
      </c>
      <c r="G38" s="33">
        <f>IF(OR(5842484.3398="",6916.05161="",8542.84833=""),"-",(8542.84833-6916.05161)/5842484.3398*100)</f>
        <v>2.7844263251473066E-2</v>
      </c>
      <c r="H38" s="33">
        <f>IF(OR(5415988.29784="",10109.05939="",8542.84833=""),"-",(10109.05939-8542.84833)/5415988.29784*100)</f>
        <v>2.8918287371939754E-2</v>
      </c>
    </row>
    <row r="39" spans="1:8" s="7" customFormat="1" ht="63.75" x14ac:dyDescent="0.25">
      <c r="A39" s="22" t="s">
        <v>253</v>
      </c>
      <c r="B39" s="23" t="s">
        <v>200</v>
      </c>
      <c r="C39" s="19">
        <v>2298.4016000000001</v>
      </c>
      <c r="D39" s="33">
        <f>IF(OR(1747.71649="",2298.4016=""),"-",2298.4016/1747.71649*100)</f>
        <v>131.50883528025761</v>
      </c>
      <c r="E39" s="33">
        <f>IF(1747.71649="","-",1747.71649/5415988.29784*100)</f>
        <v>3.2269576555344896E-2</v>
      </c>
      <c r="F39" s="33">
        <f>IF(2298.4016="","-",2298.4016/7176590.69493*100)</f>
        <v>3.202637154190411E-2</v>
      </c>
      <c r="G39" s="33">
        <f>IF(OR(5842484.3398="",2534.79864="",1747.71649=""),"-",(1747.71649-2534.79864)/5842484.3398*100)</f>
        <v>-1.3471703204033634E-2</v>
      </c>
      <c r="H39" s="33">
        <f>IF(OR(5415988.29784="",2298.4016="",1747.71649=""),"-",(2298.4016-1747.71649)/5415988.29784*100)</f>
        <v>1.0167767722460254E-2</v>
      </c>
    </row>
    <row r="40" spans="1:8" s="7" customFormat="1" ht="25.5" x14ac:dyDescent="0.25">
      <c r="A40" s="20" t="s">
        <v>254</v>
      </c>
      <c r="B40" s="21" t="s">
        <v>158</v>
      </c>
      <c r="C40" s="18">
        <v>1033894.36159</v>
      </c>
      <c r="D40" s="31">
        <f>IF(820177.02364="","-",1033894.36159/820177.02364*100)</f>
        <v>126.05746464360928</v>
      </c>
      <c r="E40" s="31">
        <f>IF(820177.02364="","-",820177.02364/5415988.29784*100)</f>
        <v>15.14362621439013</v>
      </c>
      <c r="F40" s="31">
        <f>IF(1033894.36159="","-",1033894.36159/7176590.69493*100)</f>
        <v>14.406483601195324</v>
      </c>
      <c r="G40" s="31">
        <f>IF(5842484.3398="","-",(820177.02364-841837.40635)/5842484.3398*100)</f>
        <v>-0.37073925149350756</v>
      </c>
      <c r="H40" s="31">
        <f>IF(5415988.29784="","-",(1033894.36159-820177.02364)/5415988.29784*100)</f>
        <v>3.9460450465750552</v>
      </c>
    </row>
    <row r="41" spans="1:8" s="7" customFormat="1" x14ac:dyDescent="0.25">
      <c r="A41" s="22" t="s">
        <v>255</v>
      </c>
      <c r="B41" s="23" t="s">
        <v>24</v>
      </c>
      <c r="C41" s="19">
        <v>15530.703670000001</v>
      </c>
      <c r="D41" s="33">
        <f>IF(OR(12918.59312="",15530.70367=""),"-",15530.70367/12918.59312*100)</f>
        <v>120.21977568096054</v>
      </c>
      <c r="E41" s="33">
        <f>IF(12918.59312="","-",12918.59312/5415988.29784*100)</f>
        <v>0.23852697623353769</v>
      </c>
      <c r="F41" s="33">
        <f>IF(15530.70367="","-",15530.70367/7176590.69493*100)</f>
        <v>0.21640782274195847</v>
      </c>
      <c r="G41" s="33">
        <f>IF(OR(5842484.3398="",22836.06704="",12918.59312=""),"-",(12918.59312-22836.06704)/5842484.3398*100)</f>
        <v>-0.16974754818665885</v>
      </c>
      <c r="H41" s="33">
        <f>IF(OR(5415988.29784="",15530.70367="",12918.59312=""),"-",(15530.70367-12918.59312)/5415988.29784*100)</f>
        <v>4.8229619532999375E-2</v>
      </c>
    </row>
    <row r="42" spans="1:8" s="7" customFormat="1" x14ac:dyDescent="0.25">
      <c r="A42" s="22" t="s">
        <v>256</v>
      </c>
      <c r="B42" s="23" t="s">
        <v>25</v>
      </c>
      <c r="C42" s="19">
        <v>16663.233899999999</v>
      </c>
      <c r="D42" s="33">
        <f>IF(OR(15830.87955="",16663.2339=""),"-",16663.2339/15830.87955*100)</f>
        <v>105.25778967221061</v>
      </c>
      <c r="E42" s="33">
        <f>IF(15830.87955="","-",15830.87955/5415988.29784*100)</f>
        <v>0.29229899843605012</v>
      </c>
      <c r="F42" s="33">
        <f>IF(16663.2339="","-",16663.2339/7176590.69493*100)</f>
        <v>0.23218871757270435</v>
      </c>
      <c r="G42" s="33">
        <f>IF(OR(5842484.3398="",16969.31788="",15830.87955=""),"-",(15830.87955-16969.31788)/5842484.3398*100)</f>
        <v>-1.9485517868567705E-2</v>
      </c>
      <c r="H42" s="33">
        <f>IF(OR(5415988.29784="",16663.2339="",15830.87955=""),"-",(16663.2339-15830.87955)/5415988.29784*100)</f>
        <v>1.5368466551745662E-2</v>
      </c>
    </row>
    <row r="43" spans="1:8" s="7" customFormat="1" x14ac:dyDescent="0.25">
      <c r="A43" s="22" t="s">
        <v>257</v>
      </c>
      <c r="B43" s="23" t="s">
        <v>159</v>
      </c>
      <c r="C43" s="19">
        <v>51103.790569999997</v>
      </c>
      <c r="D43" s="33">
        <f>IF(OR(43007.4513="",51103.79057=""),"-",51103.79057/43007.4513*100)</f>
        <v>118.82543379174855</v>
      </c>
      <c r="E43" s="33">
        <f>IF(43007.4513="","-",43007.4513/5415988.29784*100)</f>
        <v>0.79408316515661959</v>
      </c>
      <c r="F43" s="33">
        <f>IF(51103.79057="","-",51103.79057/7176590.69493*100)</f>
        <v>0.71209008207898716</v>
      </c>
      <c r="G43" s="33">
        <f>IF(OR(5842484.3398="",39403.1693="",43007.4513=""),"-",(43007.4513-39403.1693)/5842484.3398*100)</f>
        <v>6.1690914179213373E-2</v>
      </c>
      <c r="H43" s="33">
        <f>IF(OR(5415988.29784="",51103.79057="",43007.4513=""),"-",(51103.79057-43007.4513)/5415988.29784*100)</f>
        <v>0.14948960050798066</v>
      </c>
    </row>
    <row r="44" spans="1:8" s="7" customFormat="1" x14ac:dyDescent="0.25">
      <c r="A44" s="22" t="s">
        <v>258</v>
      </c>
      <c r="B44" s="23" t="s">
        <v>160</v>
      </c>
      <c r="C44" s="19">
        <v>336486.38345999998</v>
      </c>
      <c r="D44" s="33">
        <f>IF(OR(258021.81573="",336486.38346=""),"-",336486.38346/258021.81573*100)</f>
        <v>130.41005176558679</v>
      </c>
      <c r="E44" s="33">
        <f>IF(258021.81573="","-",258021.81573/5415988.29784*100)</f>
        <v>4.7640763151741679</v>
      </c>
      <c r="F44" s="33">
        <f>IF(336486.38346="","-",336486.38346/7176590.69493*100)</f>
        <v>4.6886662172013702</v>
      </c>
      <c r="G44" s="33">
        <f>IF(OR(5842484.3398="",268941.93455="",258021.81573=""),"-",(258021.81573-268941.93455)/5842484.3398*100)</f>
        <v>-0.18690882482320562</v>
      </c>
      <c r="H44" s="33">
        <f>IF(OR(5415988.29784="",336486.38346="",258021.81573=""),"-",(336486.38346-258021.81573)/5415988.29784*100)</f>
        <v>1.4487580735965244</v>
      </c>
    </row>
    <row r="45" spans="1:8" s="7" customFormat="1" ht="39.75" customHeight="1" x14ac:dyDescent="0.25">
      <c r="A45" s="22" t="s">
        <v>259</v>
      </c>
      <c r="B45" s="23" t="s">
        <v>161</v>
      </c>
      <c r="C45" s="19">
        <v>140733.41422000001</v>
      </c>
      <c r="D45" s="33">
        <f>IF(OR(114099.381="",140733.41422=""),"-",140733.41422/114099.381*100)</f>
        <v>123.34283760925926</v>
      </c>
      <c r="E45" s="33">
        <f>IF(114099.381="","-",114099.381/5415988.29784*100)</f>
        <v>2.1067139499822223</v>
      </c>
      <c r="F45" s="33">
        <f>IF(140733.41422="","-",140733.41422/7176590.69493*100)</f>
        <v>1.961006558719073</v>
      </c>
      <c r="G45" s="33">
        <f>IF(OR(5842484.3398="",116176.29565="",114099.381=""),"-",(114099.381-116176.29565)/5842484.3398*100)</f>
        <v>-3.5548484672037702E-2</v>
      </c>
      <c r="H45" s="33">
        <f>IF(OR(5415988.29784="",140733.41422="",114099.381=""),"-",(140733.41422-114099.381)/5415988.29784*100)</f>
        <v>0.49176681623596147</v>
      </c>
    </row>
    <row r="46" spans="1:8" s="7" customFormat="1" x14ac:dyDescent="0.25">
      <c r="A46" s="22" t="s">
        <v>260</v>
      </c>
      <c r="B46" s="23" t="s">
        <v>162</v>
      </c>
      <c r="C46" s="19">
        <v>88123.182190000007</v>
      </c>
      <c r="D46" s="33">
        <f>IF(OR(72625.95801="",88123.18219=""),"-",88123.18219/72625.95801*100)</f>
        <v>121.33840930245101</v>
      </c>
      <c r="E46" s="33">
        <f>IF(72625.95801="","-",72625.95801/5415988.29784*100)</f>
        <v>1.3409548547024119</v>
      </c>
      <c r="F46" s="33">
        <f>IF(88123.18219="","-",88123.18219/7176590.69493*100)</f>
        <v>1.227925430556543</v>
      </c>
      <c r="G46" s="33">
        <f>IF(OR(5842484.3398="",84632.03372="",72625.95801=""),"-",(72625.95801-84632.03372)/5842484.3398*100)</f>
        <v>-0.20549607002303058</v>
      </c>
      <c r="H46" s="33">
        <f>IF(OR(5415988.29784="",88123.18219="",72625.95801=""),"-",(88123.18219-72625.95801)/5415988.29784*100)</f>
        <v>0.28613843545748791</v>
      </c>
    </row>
    <row r="47" spans="1:8" s="7" customFormat="1" x14ac:dyDescent="0.25">
      <c r="A47" s="22" t="s">
        <v>261</v>
      </c>
      <c r="B47" s="23" t="s">
        <v>26</v>
      </c>
      <c r="C47" s="19">
        <v>73139.862030000004</v>
      </c>
      <c r="D47" s="33" t="s">
        <v>218</v>
      </c>
      <c r="E47" s="33">
        <f>IF(47325.8952="","-",47325.8952/5415988.29784*100)</f>
        <v>0.87381826912134342</v>
      </c>
      <c r="F47" s="33">
        <f>IF(73139.86203="","-",73139.86203/7176590.69493*100)</f>
        <v>1.0191449553012777</v>
      </c>
      <c r="G47" s="33">
        <f>IF(OR(5842484.3398="",53011.65669="",47325.8952=""),"-",(47325.8952-53011.65669)/5842484.3398*100)</f>
        <v>-9.731753068241239E-2</v>
      </c>
      <c r="H47" s="33">
        <f>IF(OR(5415988.29784="",73139.86203="",47325.8952=""),"-",(73139.86203-47325.8952)/5415988.29784*100)</f>
        <v>0.47662523274459639</v>
      </c>
    </row>
    <row r="48" spans="1:8" s="7" customFormat="1" x14ac:dyDescent="0.25">
      <c r="A48" s="22" t="s">
        <v>262</v>
      </c>
      <c r="B48" s="23" t="s">
        <v>27</v>
      </c>
      <c r="C48" s="19">
        <v>157958.022</v>
      </c>
      <c r="D48" s="33">
        <f>IF(OR(123213.96852="",157958.022=""),"-",157958.022/123213.96852*100)</f>
        <v>128.19814498090804</v>
      </c>
      <c r="E48" s="33">
        <f>IF(123213.96852="","-",123213.96852/5415988.29784*100)</f>
        <v>2.2750043342807826</v>
      </c>
      <c r="F48" s="33">
        <f>IF(157958.022="","-",157958.022/7176590.69493*100)</f>
        <v>2.201017568294533</v>
      </c>
      <c r="G48" s="33">
        <f>IF(OR(5842484.3398="",115233.91564="",123213.96852=""),"-",(123213.96852-115233.91564)/5842484.3398*100)</f>
        <v>0.13658663705161359</v>
      </c>
      <c r="H48" s="33">
        <f>IF(OR(5415988.29784="",157958.022="",123213.96852=""),"-",(157958.022-123213.96852)/5415988.29784*100)</f>
        <v>0.64150902050243719</v>
      </c>
    </row>
    <row r="49" spans="1:8" s="7" customFormat="1" x14ac:dyDescent="0.25">
      <c r="A49" s="22" t="s">
        <v>263</v>
      </c>
      <c r="B49" s="23" t="s">
        <v>163</v>
      </c>
      <c r="C49" s="19">
        <v>154155.76955</v>
      </c>
      <c r="D49" s="33">
        <f>IF(OR(133133.08121="",154155.76955=""),"-",154155.76955/133133.08121*100)</f>
        <v>115.79073221240893</v>
      </c>
      <c r="E49" s="33">
        <f>IF(133133.08121="","-",133133.08121/5415988.29784*100)</f>
        <v>2.4581493513029935</v>
      </c>
      <c r="F49" s="33">
        <f>IF(154155.76955="","-",154155.76955/7176590.69493*100)</f>
        <v>2.1480362487288769</v>
      </c>
      <c r="G49" s="33">
        <f>IF(OR(5842484.3398="",124633.01588="",133133.08121=""),"-",(133133.08121-124633.01588)/5842484.3398*100)</f>
        <v>0.14548717353157634</v>
      </c>
      <c r="H49" s="33">
        <f>IF(OR(5415988.29784="",154155.76955="",133133.08121=""),"-",(154155.76955-133133.08121)/5415988.29784*100)</f>
        <v>0.38815978144532265</v>
      </c>
    </row>
    <row r="50" spans="1:8" s="7" customFormat="1" ht="25.5" x14ac:dyDescent="0.25">
      <c r="A50" s="20" t="s">
        <v>264</v>
      </c>
      <c r="B50" s="21" t="s">
        <v>356</v>
      </c>
      <c r="C50" s="18">
        <v>1314642.94998</v>
      </c>
      <c r="D50" s="31">
        <f>IF(1065792.39011="","-",1314642.94998/1065792.39011*100)</f>
        <v>123.34887752804428</v>
      </c>
      <c r="E50" s="31">
        <f>IF(1065792.39011="","-",1065792.39011/5415988.29784*100)</f>
        <v>19.678631701162619</v>
      </c>
      <c r="F50" s="31">
        <f>IF(1314642.94998="","-",1314642.94998/7176590.69493*100)</f>
        <v>18.318488623138943</v>
      </c>
      <c r="G50" s="31">
        <f>IF(5842484.3398="","-",(1065792.39011-1132644.35643)/5842484.3398*100)</f>
        <v>-1.1442386908013238</v>
      </c>
      <c r="H50" s="31">
        <f>IF(5415988.29784="","-",(1314642.94998-1065792.39011)/5415988.29784*100)</f>
        <v>4.5947396150993605</v>
      </c>
    </row>
    <row r="51" spans="1:8" s="7" customFormat="1" x14ac:dyDescent="0.25">
      <c r="A51" s="22" t="s">
        <v>265</v>
      </c>
      <c r="B51" s="23" t="s">
        <v>164</v>
      </c>
      <c r="C51" s="19">
        <v>55153.725279999999</v>
      </c>
      <c r="D51" s="33">
        <f>IF(OR(48160.38203="",55153.72528=""),"-",55153.72528/48160.38203*100)</f>
        <v>114.52094637796625</v>
      </c>
      <c r="E51" s="33">
        <f>IF(48160.38203="","-",48160.38203/5415988.29784*100)</f>
        <v>0.88922610946569591</v>
      </c>
      <c r="F51" s="33">
        <f>IF(55153.72528="","-",55153.72528/7176590.69493*100)</f>
        <v>0.76852265406419362</v>
      </c>
      <c r="G51" s="33">
        <f>IF(OR(5842484.3398="",55121.64689="",48160.38203=""),"-",(48160.38203-55121.64689)/5842484.3398*100)</f>
        <v>-0.11914905466804042</v>
      </c>
      <c r="H51" s="33">
        <f>IF(OR(5415988.29784="",55153.72528="",48160.38203=""),"-",(55153.72528-48160.38203)/5415988.29784*100)</f>
        <v>0.12912404653438925</v>
      </c>
    </row>
    <row r="52" spans="1:8" s="7" customFormat="1" x14ac:dyDescent="0.25">
      <c r="A52" s="22" t="s">
        <v>266</v>
      </c>
      <c r="B52" s="23" t="s">
        <v>28</v>
      </c>
      <c r="C52" s="19">
        <v>76234.158899999995</v>
      </c>
      <c r="D52" s="33">
        <f>IF(OR(60628.04558="",76234.1589=""),"-",76234.1589/60628.04558*100)</f>
        <v>125.74074946784719</v>
      </c>
      <c r="E52" s="33">
        <f>IF(60628.04558="","-",60628.04558/5415988.29784*100)</f>
        <v>1.1194271893862775</v>
      </c>
      <c r="F52" s="33">
        <f>IF(76234.1589="","-",76234.1589/7176590.69493*100)</f>
        <v>1.0622614851625389</v>
      </c>
      <c r="G52" s="33">
        <f>IF(OR(5842484.3398="",67887.79415="",60628.04558=""),"-",(60628.04558-67887.79415)/5842484.3398*100)</f>
        <v>-0.12425790379180578</v>
      </c>
      <c r="H52" s="33">
        <f>IF(OR(5415988.29784="",76234.1589="",60628.04558=""),"-",(76234.1589-60628.04558)/5415988.29784*100)</f>
        <v>0.28814894829488485</v>
      </c>
    </row>
    <row r="53" spans="1:8" s="7" customFormat="1" x14ac:dyDescent="0.25">
      <c r="A53" s="22" t="s">
        <v>267</v>
      </c>
      <c r="B53" s="23" t="s">
        <v>165</v>
      </c>
      <c r="C53" s="19">
        <v>115728.36754000001</v>
      </c>
      <c r="D53" s="33">
        <f>IF(OR(90824.17749="",115728.36754=""),"-",115728.36754/90824.17749*100)</f>
        <v>127.42022084674758</v>
      </c>
      <c r="E53" s="33">
        <f>IF(90824.17749="","-",90824.17749/5415988.29784*100)</f>
        <v>1.6769640644574959</v>
      </c>
      <c r="F53" s="33">
        <f>IF(115728.36754="","-",115728.36754/7176590.69493*100)</f>
        <v>1.6125814116967527</v>
      </c>
      <c r="G53" s="33">
        <f>IF(OR(5842484.3398="",91687.72401="",90824.17749=""),"-",(90824.17749-91687.72401)/5842484.3398*100)</f>
        <v>-1.4780467858807551E-2</v>
      </c>
      <c r="H53" s="33">
        <f>IF(OR(5415988.29784="",115728.36754="",90824.17749=""),"-",(115728.36754-90824.17749)/5415988.29784*100)</f>
        <v>0.45982724999483976</v>
      </c>
    </row>
    <row r="54" spans="1:8" s="7" customFormat="1" ht="25.5" x14ac:dyDescent="0.25">
      <c r="A54" s="22" t="s">
        <v>268</v>
      </c>
      <c r="B54" s="23" t="s">
        <v>166</v>
      </c>
      <c r="C54" s="19">
        <v>113894.73251</v>
      </c>
      <c r="D54" s="33">
        <f>IF(OR(93604.56607="",113894.73251=""),"-",113894.73251/93604.56607*100)</f>
        <v>121.67647080894159</v>
      </c>
      <c r="E54" s="33">
        <f>IF(93604.56607="","-",93604.56607/5415988.29784*100)</f>
        <v>1.7283007444335006</v>
      </c>
      <c r="F54" s="33">
        <f>IF(113894.73251="","-",113894.73251/7176590.69493*100)</f>
        <v>1.5870311872524998</v>
      </c>
      <c r="G54" s="33">
        <f>IF(OR(5842484.3398="",105614.17104="",93604.56607=""),"-",(93604.56607-105614.17104)/5842484.3398*100)</f>
        <v>-0.20555647686016926</v>
      </c>
      <c r="H54" s="33">
        <f>IF(OR(5415988.29784="",113894.73251="",93604.56607=""),"-",(113894.73251-93604.56607)/5415988.29784*100)</f>
        <v>0.37463460635784807</v>
      </c>
    </row>
    <row r="55" spans="1:8" s="7" customFormat="1" ht="27" customHeight="1" x14ac:dyDescent="0.25">
      <c r="A55" s="22" t="s">
        <v>269</v>
      </c>
      <c r="B55" s="23" t="s">
        <v>167</v>
      </c>
      <c r="C55" s="19">
        <v>321638.03902999999</v>
      </c>
      <c r="D55" s="33">
        <f>IF(OR(261362.05249="",321638.03903=""),"-",321638.03903/261362.05249*100)</f>
        <v>123.06225634737322</v>
      </c>
      <c r="E55" s="33">
        <f>IF(261362.05249="","-",261362.05249/5415988.29784*100)</f>
        <v>4.82574994843021</v>
      </c>
      <c r="F55" s="33">
        <f>IF(321638.03903="","-",321638.03903/7176590.69493*100)</f>
        <v>4.4817665198215293</v>
      </c>
      <c r="G55" s="33">
        <f>IF(OR(5842484.3398="",271171.33055="",261362.05249=""),"-",(261362.05249-271171.33055)/5842484.3398*100)</f>
        <v>-0.16789566714244378</v>
      </c>
      <c r="H55" s="33">
        <f>IF(OR(5415988.29784="",321638.03903="",261362.05249=""),"-",(321638.03903-261362.05249)/5415988.29784*100)</f>
        <v>1.1129268237902066</v>
      </c>
    </row>
    <row r="56" spans="1:8" s="7" customFormat="1" ht="16.5" customHeight="1" x14ac:dyDescent="0.25">
      <c r="A56" s="22" t="s">
        <v>270</v>
      </c>
      <c r="B56" s="23" t="s">
        <v>29</v>
      </c>
      <c r="C56" s="19">
        <v>164550.04545999999</v>
      </c>
      <c r="D56" s="33">
        <f>IF(OR(139176.35584="",164550.04546=""),"-",164550.04546/139176.35584*100)</f>
        <v>118.23132202798161</v>
      </c>
      <c r="E56" s="33">
        <f>IF(139176.35584="","-",139176.35584/5415988.29784*100)</f>
        <v>2.5697314725644111</v>
      </c>
      <c r="F56" s="33">
        <f>IF(164550.04546="","-",164550.04546/7176590.69493*100)</f>
        <v>2.2928720956073003</v>
      </c>
      <c r="G56" s="33">
        <f>IF(OR(5842484.3398="",130890.49728="",139176.35584=""),"-",(139176.35584-130890.49728)/5842484.3398*100)</f>
        <v>0.14182080906157207</v>
      </c>
      <c r="H56" s="33">
        <f>IF(OR(5415988.29784="",164550.04546="",139176.35584=""),"-",(164550.04546-139176.35584)/5415988.29784*100)</f>
        <v>0.46849602001761165</v>
      </c>
    </row>
    <row r="57" spans="1:8" s="7" customFormat="1" ht="16.5" customHeight="1" x14ac:dyDescent="0.25">
      <c r="A57" s="22" t="s">
        <v>271</v>
      </c>
      <c r="B57" s="23" t="s">
        <v>168</v>
      </c>
      <c r="C57" s="19">
        <v>176874.04798</v>
      </c>
      <c r="D57" s="33">
        <f>IF(OR(133031.75697="",176874.04798=""),"-",176874.04798/133031.75697*100)</f>
        <v>132.95625947410957</v>
      </c>
      <c r="E57" s="33">
        <f>IF(133031.75697="","-",133031.75697/5415988.29784*100)</f>
        <v>2.4562785156507001</v>
      </c>
      <c r="F57" s="33">
        <f>IF(176874.04798="","-",176874.04798/7176590.69493*100)</f>
        <v>2.4645971255537127</v>
      </c>
      <c r="G57" s="33">
        <f>IF(OR(5842484.3398="",145317.49512="",133031.75697=""),"-",(133031.75697-145317.49512)/5842484.3398*100)</f>
        <v>-0.21028277416693231</v>
      </c>
      <c r="H57" s="33">
        <f>IF(OR(5415988.29784="",176874.04798="",133031.75697=""),"-",(176874.04798-133031.75697)/5415988.29784*100)</f>
        <v>0.80949752102465133</v>
      </c>
    </row>
    <row r="58" spans="1:8" s="7" customFormat="1" ht="15.75" customHeight="1" x14ac:dyDescent="0.25">
      <c r="A58" s="22" t="s">
        <v>272</v>
      </c>
      <c r="B58" s="23" t="s">
        <v>30</v>
      </c>
      <c r="C58" s="19">
        <v>73483.651320000004</v>
      </c>
      <c r="D58" s="33">
        <f>IF(OR(65444.0417="",73483.65132=""),"-",73483.65132/65444.0417*100)</f>
        <v>112.28470829606478</v>
      </c>
      <c r="E58" s="33">
        <f>IF(65444.0417="","-",65444.0417/5415988.29784*100)</f>
        <v>1.2083490233186127</v>
      </c>
      <c r="F58" s="33">
        <f>IF(73483.65132="","-",73483.65132/7176590.69493*100)</f>
        <v>1.0239353816278463</v>
      </c>
      <c r="G58" s="33">
        <f>IF(OR(5842484.3398="",91454.16511="",65444.0417=""),"-",(65444.0417-91454.16511)/5842484.3398*100)</f>
        <v>-0.4451894416355488</v>
      </c>
      <c r="H58" s="33">
        <f>IF(OR(5415988.29784="",73483.65132="",65444.0417=""),"-",(73483.65132-65444.0417)/5415988.29784*100)</f>
        <v>0.14844215271303951</v>
      </c>
    </row>
    <row r="59" spans="1:8" s="7" customFormat="1" x14ac:dyDescent="0.25">
      <c r="A59" s="22" t="s">
        <v>273</v>
      </c>
      <c r="B59" s="23" t="s">
        <v>31</v>
      </c>
      <c r="C59" s="19">
        <v>217086.18195999999</v>
      </c>
      <c r="D59" s="33">
        <f>IF(OR(173561.01194="",217086.18196=""),"-",217086.18196/173561.01194*100)</f>
        <v>125.07773464414154</v>
      </c>
      <c r="E59" s="33">
        <f>IF(173561.01194="","-",173561.01194/5415988.29784*100)</f>
        <v>3.2046046334557152</v>
      </c>
      <c r="F59" s="33">
        <f>IF(217086.18196="","-",217086.18196/7176590.69493*100)</f>
        <v>3.0249207623525676</v>
      </c>
      <c r="G59" s="33">
        <f>IF(OR(5842484.3398="",173499.53228="",173561.01194=""),"-",(173561.01194-173499.53228)/5842484.3398*100)</f>
        <v>1.0522862608492204E-3</v>
      </c>
      <c r="H59" s="33">
        <f>IF(OR(5415988.29784="",217086.18196="",173561.01194=""),"-",(217086.18196-173561.01194)/5415988.29784*100)</f>
        <v>0.80364224637188864</v>
      </c>
    </row>
    <row r="60" spans="1:8" s="7" customFormat="1" ht="25.5" x14ac:dyDescent="0.25">
      <c r="A60" s="20" t="s">
        <v>274</v>
      </c>
      <c r="B60" s="21" t="s">
        <v>169</v>
      </c>
      <c r="C60" s="18">
        <v>1823302.3714000001</v>
      </c>
      <c r="D60" s="31">
        <f>IF(1419914.64371="","-",1823302.3714/1419914.64371*100)</f>
        <v>128.4092941415137</v>
      </c>
      <c r="E60" s="31">
        <f>IF(1419914.64371="","-",1419914.64371/5415988.29784*100)</f>
        <v>26.217092165363233</v>
      </c>
      <c r="F60" s="31">
        <f>IF(1823302.3714="","-",1823302.3714/7176590.69493*100)</f>
        <v>25.406247184865883</v>
      </c>
      <c r="G60" s="31">
        <f>IF(5842484.3398="","-",(1419914.64371-1425713.71873)/5842484.3398*100)</f>
        <v>-9.9257005799670131E-2</v>
      </c>
      <c r="H60" s="31">
        <f>IF(5415988.29784="","-",(1823302.3714-1419914.64371)/5415988.29784*100)</f>
        <v>7.4480908286097822</v>
      </c>
    </row>
    <row r="61" spans="1:8" s="7" customFormat="1" ht="25.5" x14ac:dyDescent="0.25">
      <c r="A61" s="22" t="s">
        <v>275</v>
      </c>
      <c r="B61" s="23" t="s">
        <v>170</v>
      </c>
      <c r="C61" s="19">
        <v>27052.875059999998</v>
      </c>
      <c r="D61" s="33">
        <f>IF(OR(20407.21285="",27052.87506=""),"-",27052.87506/20407.21285*100)</f>
        <v>132.56526140462142</v>
      </c>
      <c r="E61" s="33">
        <f>IF(20407.21285="","-",20407.21285/5415988.29784*100)</f>
        <v>0.37679573381166254</v>
      </c>
      <c r="F61" s="33">
        <f>IF(27052.87506="","-",27052.87506/7176590.69493*100)</f>
        <v>0.3769599829500081</v>
      </c>
      <c r="G61" s="33">
        <f>IF(OR(5842484.3398="",21396.41852="",20407.21285=""),"-",(20407.21285-21396.41852)/5842484.3398*100)</f>
        <v>-1.6931250688364905E-2</v>
      </c>
      <c r="H61" s="33">
        <f>IF(OR(5415988.29784="",27052.87506="",20407.21285=""),"-",(27052.87506-20407.21285)/5415988.29784*100)</f>
        <v>0.12270451567722952</v>
      </c>
    </row>
    <row r="62" spans="1:8" s="7" customFormat="1" ht="27" customHeight="1" x14ac:dyDescent="0.25">
      <c r="A62" s="22" t="s">
        <v>276</v>
      </c>
      <c r="B62" s="23" t="s">
        <v>171</v>
      </c>
      <c r="C62" s="19">
        <v>248348.49054</v>
      </c>
      <c r="D62" s="33">
        <f>IF(OR(165936.49137="",248348.49054=""),"-",248348.49054/165936.49137*100)</f>
        <v>149.66478349011268</v>
      </c>
      <c r="E62" s="33">
        <f>IF(165936.49137="","-",165936.49137/5415988.29784*100)</f>
        <v>3.0638266230408706</v>
      </c>
      <c r="F62" s="33">
        <f>IF(248348.49054="","-",248348.49054/7176590.69493*100)</f>
        <v>3.4605358044934786</v>
      </c>
      <c r="G62" s="33">
        <f>IF(OR(5842484.3398="",190940.80754="",165936.49137=""),"-",(165936.49137-190940.80754)/5842484.3398*100)</f>
        <v>-0.42797403836697234</v>
      </c>
      <c r="H62" s="33">
        <f>IF(OR(5415988.29784="",248348.49054="",165936.49137=""),"-",(248348.49054-165936.49137)/5415988.29784*100)</f>
        <v>1.5216428588456787</v>
      </c>
    </row>
    <row r="63" spans="1:8" s="7" customFormat="1" ht="25.5" x14ac:dyDescent="0.25">
      <c r="A63" s="22" t="s">
        <v>277</v>
      </c>
      <c r="B63" s="23" t="s">
        <v>172</v>
      </c>
      <c r="C63" s="19">
        <v>17537.485680000002</v>
      </c>
      <c r="D63" s="33">
        <f>IF(OR(14603.23176="",17537.48568=""),"-",17537.48568/14603.23176*100)</f>
        <v>120.09318189441652</v>
      </c>
      <c r="E63" s="33">
        <f>IF(14603.23176="","-",14603.23176/5415988.29784*100)</f>
        <v>0.26963189277613558</v>
      </c>
      <c r="F63" s="33">
        <f>IF(17537.48568="","-",17537.48568/7176590.69493*100)</f>
        <v>0.2443707106271171</v>
      </c>
      <c r="G63" s="33">
        <f>IF(OR(5842484.3398="",11249.22903="",14603.23176=""),"-",(14603.23176-11249.22903)/5842484.3398*100)</f>
        <v>5.7407132564343585E-2</v>
      </c>
      <c r="H63" s="33">
        <f>IF(OR(5415988.29784="",17537.48568="",14603.23176=""),"-",(17537.48568-14603.23176)/5415988.29784*100)</f>
        <v>5.4177626660867007E-2</v>
      </c>
    </row>
    <row r="64" spans="1:8" s="7" customFormat="1" ht="27.75" customHeight="1" x14ac:dyDescent="0.25">
      <c r="A64" s="22" t="s">
        <v>278</v>
      </c>
      <c r="B64" s="23" t="s">
        <v>173</v>
      </c>
      <c r="C64" s="19">
        <v>251384.74097000001</v>
      </c>
      <c r="D64" s="33">
        <f>IF(OR(203430.90294="",251384.74097=""),"-",251384.74097/203430.90294*100)</f>
        <v>123.57254347150175</v>
      </c>
      <c r="E64" s="33">
        <f>IF(203430.90294="","-",203430.90294/5415988.29784*100)</f>
        <v>3.7561178450317581</v>
      </c>
      <c r="F64" s="33">
        <f>IF(251384.74097="","-",251384.74097/7176590.69493*100)</f>
        <v>3.5028435040554031</v>
      </c>
      <c r="G64" s="33">
        <f>IF(OR(5842484.3398="",190362.53856="",203430.90294=""),"-",(203430.90294-190362.53856)/5842484.3398*100)</f>
        <v>0.22367820981523368</v>
      </c>
      <c r="H64" s="33">
        <f>IF(OR(5415988.29784="",251384.74097="",203430.90294=""),"-",(251384.74097-203430.90294)/5415988.29784*100)</f>
        <v>0.88541251186094549</v>
      </c>
    </row>
    <row r="65" spans="1:11" s="7" customFormat="1" ht="27" customHeight="1" x14ac:dyDescent="0.25">
      <c r="A65" s="22" t="s">
        <v>279</v>
      </c>
      <c r="B65" s="23" t="s">
        <v>174</v>
      </c>
      <c r="C65" s="19">
        <v>78483.852450000006</v>
      </c>
      <c r="D65" s="33">
        <f>IF(OR(62811.95051="",78483.85245=""),"-",78483.85245/62811.95051*100)</f>
        <v>124.95050991531454</v>
      </c>
      <c r="E65" s="33">
        <f>IF(62811.95051="","-",62811.95051/5415988.29784*100)</f>
        <v>1.1597504842292701</v>
      </c>
      <c r="F65" s="33">
        <f>IF(78483.85245="","-",78483.85245/7176590.69493*100)</f>
        <v>1.0936091493339029</v>
      </c>
      <c r="G65" s="33">
        <f>IF(OR(5842484.3398="",50155.978="",62811.95051=""),"-",(62811.95051-50155.978)/5842484.3398*100)</f>
        <v>0.21661970788326049</v>
      </c>
      <c r="H65" s="33">
        <f>IF(OR(5415988.29784="",78483.85245="",62811.95051=""),"-",(78483.85245-62811.95051)/5415988.29784*100)</f>
        <v>0.28936365956053228</v>
      </c>
    </row>
    <row r="66" spans="1:11" s="7" customFormat="1" ht="41.25" customHeight="1" x14ac:dyDescent="0.25">
      <c r="A66" s="22" t="s">
        <v>280</v>
      </c>
      <c r="B66" s="23" t="s">
        <v>175</v>
      </c>
      <c r="C66" s="19">
        <v>195500.74303000001</v>
      </c>
      <c r="D66" s="33">
        <f>IF(OR(175528.10574="",195500.74303=""),"-",195500.74303/175528.10574*100)</f>
        <v>111.3785978637429</v>
      </c>
      <c r="E66" s="33">
        <f>IF(175528.10574="","-",175528.10574/5415988.29784*100)</f>
        <v>3.2409247599372395</v>
      </c>
      <c r="F66" s="33">
        <f>IF(195500.74303="","-",195500.74303/7176590.69493*100)</f>
        <v>2.7241450897863544</v>
      </c>
      <c r="G66" s="33">
        <f>IF(OR(5842484.3398="",170557.35047="",175528.10574=""),"-",(175528.10574-170557.35047)/5842484.3398*100)</f>
        <v>8.5079479565539629E-2</v>
      </c>
      <c r="H66" s="33">
        <f>IF(OR(5415988.29784="",195500.74303="",175528.10574=""),"-",(195500.74303-175528.10574)/5415988.29784*100)</f>
        <v>0.36877179549973332</v>
      </c>
    </row>
    <row r="67" spans="1:11" s="7" customFormat="1" ht="51" x14ac:dyDescent="0.25">
      <c r="A67" s="22" t="s">
        <v>281</v>
      </c>
      <c r="B67" s="23" t="s">
        <v>176</v>
      </c>
      <c r="C67" s="19">
        <v>538525.27832000004</v>
      </c>
      <c r="D67" s="33">
        <f>IF(OR(426929.56077="",538525.27832=""),"-",538525.27832/426929.56077*100)</f>
        <v>126.13914045884493</v>
      </c>
      <c r="E67" s="33">
        <f>IF(426929.56077="","-",426929.56077/5415988.29784*100)</f>
        <v>7.8827637227404583</v>
      </c>
      <c r="F67" s="33">
        <f>IF(538525.27832="","-",538525.27832/7176590.69493*100)</f>
        <v>7.5039151766095351</v>
      </c>
      <c r="G67" s="33">
        <f>IF(OR(5842484.3398="",446735.74734="",426929.56077=""),"-",(426929.56077-446735.74734)/5842484.3398*100)</f>
        <v>-0.33900281828873546</v>
      </c>
      <c r="H67" s="33">
        <f>IF(OR(5415988.29784="",538525.27832="",426929.56077=""),"-",(538525.27832-426929.56077)/5415988.29784*100)</f>
        <v>2.0604866815260028</v>
      </c>
    </row>
    <row r="68" spans="1:11" s="7" customFormat="1" ht="25.5" x14ac:dyDescent="0.25">
      <c r="A68" s="22" t="s">
        <v>282</v>
      </c>
      <c r="B68" s="23" t="s">
        <v>177</v>
      </c>
      <c r="C68" s="19">
        <v>461115.19166000001</v>
      </c>
      <c r="D68" s="33" t="s">
        <v>218</v>
      </c>
      <c r="E68" s="33">
        <f>IF(297732.33823="","-",297732.33823/5415988.29784*100)</f>
        <v>5.4972854787877097</v>
      </c>
      <c r="F68" s="33">
        <f>IF(461115.19166="","-",461115.19166/7176590.69493*100)</f>
        <v>6.42526808705645</v>
      </c>
      <c r="G68" s="33">
        <f>IF(OR(5842484.3398="",335358.54439="",297732.33823=""),"-",(297732.33823-335358.54439)/5842484.3398*100)</f>
        <v>-0.64401038961600399</v>
      </c>
      <c r="H68" s="33">
        <f>IF(OR(5415988.29784="",461115.19166="",297732.33823=""),"-",(461115.19166-297732.33823)/5415988.29784*100)</f>
        <v>3.0166766330562464</v>
      </c>
    </row>
    <row r="69" spans="1:11" s="7" customFormat="1" x14ac:dyDescent="0.25">
      <c r="A69" s="22" t="s">
        <v>283</v>
      </c>
      <c r="B69" s="23" t="s">
        <v>32</v>
      </c>
      <c r="C69" s="19">
        <v>5353.7136899999996</v>
      </c>
      <c r="D69" s="33">
        <f>IF(OR(52534.84954="",5353.71369=""),"-",5353.71369/52534.84954*100)</f>
        <v>10.190785234711075</v>
      </c>
      <c r="E69" s="33">
        <f>IF(52534.84954="","-",52534.84954/5415988.29784*100)</f>
        <v>0.96999562500812464</v>
      </c>
      <c r="F69" s="33">
        <f>IF(5353.71369="","-",5353.71369/7176590.69493*100)</f>
        <v>7.4599679953633188E-2</v>
      </c>
      <c r="G69" s="33">
        <f>IF(OR(5842484.3398="",8957.10488="",52534.84954=""),"-",(52534.84954-8957.10488)/5842484.3398*100)</f>
        <v>0.74587696133203085</v>
      </c>
      <c r="H69" s="33">
        <f>IF(OR(5415988.29784="",5353.71369="",52534.84954=""),"-",(5353.71369-52534.84954)/5415988.29784*100)</f>
        <v>-0.87114545407745336</v>
      </c>
    </row>
    <row r="70" spans="1:11" s="7" customFormat="1" x14ac:dyDescent="0.25">
      <c r="A70" s="20" t="s">
        <v>284</v>
      </c>
      <c r="B70" s="21" t="s">
        <v>33</v>
      </c>
      <c r="C70" s="18">
        <v>830194.91514000006</v>
      </c>
      <c r="D70" s="31">
        <f>IF(604985.59707="","-",830194.91514/604985.59707*100)</f>
        <v>137.22556688303143</v>
      </c>
      <c r="E70" s="31">
        <f>IF(604985.59707="","-",604985.59707/5415988.29784*100)</f>
        <v>11.170363815432907</v>
      </c>
      <c r="F70" s="31">
        <f>IF(830194.91514="","-",830194.91514/7176590.69493*100)</f>
        <v>11.568096195405188</v>
      </c>
      <c r="G70" s="31">
        <f>IF(5842484.3398="","-",(604985.59707-630111.40342)/5842484.3398*100)</f>
        <v>-0.43005346507886527</v>
      </c>
      <c r="H70" s="31">
        <f>IF(5415988.29784="","-",(830194.91514-604985.59707)/5415988.29784*100)</f>
        <v>4.1582312531919214</v>
      </c>
    </row>
    <row r="71" spans="1:11" ht="38.25" x14ac:dyDescent="0.25">
      <c r="A71" s="22" t="s">
        <v>285</v>
      </c>
      <c r="B71" s="23" t="s">
        <v>203</v>
      </c>
      <c r="C71" s="19">
        <v>76781.929740000007</v>
      </c>
      <c r="D71" s="33">
        <f>IF(OR(56118.0824="",76781.92974=""),"-",76781.92974/56118.0824*100)</f>
        <v>136.82208382088268</v>
      </c>
      <c r="E71" s="33">
        <f>IF(56118.0824="","-",56118.0824/5415988.29784*100)</f>
        <v>1.0361559020055668</v>
      </c>
      <c r="F71" s="33">
        <f>IF(76781.92974="","-",76781.92974/7176590.69493*100)</f>
        <v>1.0698942297802165</v>
      </c>
      <c r="G71" s="33">
        <f>IF(OR(5842484.3398="",52980.74586="",56118.0824=""),"-",(56118.0824-52980.74586)/5842484.3398*100)</f>
        <v>5.3698672645605995E-2</v>
      </c>
      <c r="H71" s="33">
        <f>IF(OR(5415988.29784="",76781.92974="",56118.0824=""),"-",(76781.92974-56118.0824)/5415988.29784*100)</f>
        <v>0.38153419475151279</v>
      </c>
    </row>
    <row r="72" spans="1:11" x14ac:dyDescent="0.25">
      <c r="A72" s="22" t="s">
        <v>286</v>
      </c>
      <c r="B72" s="23" t="s">
        <v>178</v>
      </c>
      <c r="C72" s="19">
        <v>79135.193190000005</v>
      </c>
      <c r="D72" s="33">
        <f>IF(OR(57427.48198="",79135.19319=""),"-",79135.19319/57427.48198*100)</f>
        <v>137.80021422071064</v>
      </c>
      <c r="E72" s="33">
        <f>IF(57427.48198="","-",57427.48198/5415988.29784*100)</f>
        <v>1.060332460520699</v>
      </c>
      <c r="F72" s="33">
        <f>IF(79135.19319="","-",79135.19319/7176590.69493*100)</f>
        <v>1.102685056929694</v>
      </c>
      <c r="G72" s="33">
        <f>IF(OR(5842484.3398="",58540.51486="",57427.48198=""),"-",(57427.48198-58540.51486)/5842484.3398*100)</f>
        <v>-1.9050678020954823E-2</v>
      </c>
      <c r="H72" s="33">
        <f>IF(OR(5415988.29784="",79135.19319="",57427.48198=""),"-",(79135.19319-57427.48198)/5415988.29784*100)</f>
        <v>0.40080794152855648</v>
      </c>
    </row>
    <row r="73" spans="1:11" x14ac:dyDescent="0.25">
      <c r="A73" s="22" t="s">
        <v>287</v>
      </c>
      <c r="B73" s="23" t="s">
        <v>179</v>
      </c>
      <c r="C73" s="19">
        <v>12545.75568</v>
      </c>
      <c r="D73" s="33">
        <f>IF(OR(9207.51616="",12545.75568=""),"-",12545.75568/9207.51616*100)</f>
        <v>136.25559230080137</v>
      </c>
      <c r="E73" s="33">
        <f>IF(9207.51616="","-",9207.51616/5415988.29784*100)</f>
        <v>0.17000620484486892</v>
      </c>
      <c r="F73" s="33">
        <f>IF(12545.75568="","-",12545.75568/7176590.69493*100)</f>
        <v>0.17481498128161496</v>
      </c>
      <c r="G73" s="33">
        <f>IF(OR(5842484.3398="",9491.04277="",9207.51616=""),"-",(9207.51616-9491.04277)/5842484.3398*100)</f>
        <v>-4.8528433027807908E-3</v>
      </c>
      <c r="H73" s="33">
        <f>IF(OR(5415988.29784="",12545.75568="",9207.51616=""),"-",(12545.75568-9207.51616)/5415988.29784*100)</f>
        <v>6.1636756514620882E-2</v>
      </c>
    </row>
    <row r="74" spans="1:11" x14ac:dyDescent="0.25">
      <c r="A74" s="22" t="s">
        <v>288</v>
      </c>
      <c r="B74" s="23" t="s">
        <v>180</v>
      </c>
      <c r="C74" s="19">
        <v>200369.01422000001</v>
      </c>
      <c r="D74" s="33">
        <f>IF(OR(138522.66542="",200369.01422=""),"-",200369.01422/138522.66542*100)</f>
        <v>144.64709700212757</v>
      </c>
      <c r="E74" s="33">
        <f>IF(138522.66542="","-",138522.66542/5415988.29784*100)</f>
        <v>2.5576618301639518</v>
      </c>
      <c r="F74" s="33">
        <f>IF(200369.01422="","-",200369.01422/7176590.69493*100)</f>
        <v>2.7919805202427583</v>
      </c>
      <c r="G74" s="33">
        <f>IF(OR(5842484.3398="",141168.97188="",138522.66542=""),"-",(138522.66542-141168.97188)/5842484.3398*100)</f>
        <v>-4.5294198599265409E-2</v>
      </c>
      <c r="H74" s="33">
        <f>IF(OR(5415988.29784="",200369.01422="",138522.66542=""),"-",(200369.01422-138522.66542)/5415988.29784*100)</f>
        <v>1.1419217582996906</v>
      </c>
    </row>
    <row r="75" spans="1:11" x14ac:dyDescent="0.25">
      <c r="A75" s="22" t="s">
        <v>289</v>
      </c>
      <c r="B75" s="23" t="s">
        <v>181</v>
      </c>
      <c r="C75" s="19">
        <v>51446.601029999998</v>
      </c>
      <c r="D75" s="33">
        <f>IF(OR(39513.67574="",51446.60103=""),"-",51446.60103/39513.67574*100)</f>
        <v>130.19948174024267</v>
      </c>
      <c r="E75" s="33">
        <f>IF(39513.67574="","-",39513.67574/5415988.29784*100)</f>
        <v>0.72957461440156379</v>
      </c>
      <c r="F75" s="33">
        <f>IF(51446.60103="","-",51446.60103/7176590.69493*100)</f>
        <v>0.71686686919939779</v>
      </c>
      <c r="G75" s="33">
        <f>IF(OR(5842484.3398="",45678.80646="",39513.67574=""),"-",(39513.67574-45678.80646)/5842484.3398*100)</f>
        <v>-0.10552241754422992</v>
      </c>
      <c r="H75" s="33">
        <f>IF(OR(5415988.29784="",51446.60103="",39513.67574=""),"-",(51446.60103-39513.67574)/5415988.29784*100)</f>
        <v>0.22032775245764616</v>
      </c>
    </row>
    <row r="76" spans="1:11" ht="25.5" x14ac:dyDescent="0.25">
      <c r="A76" s="22" t="s">
        <v>290</v>
      </c>
      <c r="B76" s="23" t="s">
        <v>204</v>
      </c>
      <c r="C76" s="19">
        <v>90537.064429999999</v>
      </c>
      <c r="D76" s="33">
        <f>IF(OR(62466.82587="",90537.06443=""),"-",90537.06443/62466.82587*100)</f>
        <v>144.93623322308244</v>
      </c>
      <c r="E76" s="33">
        <f>IF(62466.82587="","-",62466.82587/5415988.29784*100)</f>
        <v>1.1533781543603587</v>
      </c>
      <c r="F76" s="33">
        <f>IF(90537.06443="","-",90537.06443/7176590.69493*100)</f>
        <v>1.261560931626784</v>
      </c>
      <c r="G76" s="33">
        <f>IF(OR(5842484.3398="",64921.79201="",62466.82587=""),"-",(62466.82587-64921.79201)/5842484.3398*100)</f>
        <v>-4.2019216436342814E-2</v>
      </c>
      <c r="H76" s="33">
        <f>IF(OR(5415988.29784="",90537.06443="",62466.82587=""),"-",(90537.06443-62466.82587)/5415988.29784*100)</f>
        <v>0.51828469738745453</v>
      </c>
    </row>
    <row r="77" spans="1:11" ht="25.5" x14ac:dyDescent="0.25">
      <c r="A77" s="22" t="s">
        <v>291</v>
      </c>
      <c r="B77" s="23" t="s">
        <v>182</v>
      </c>
      <c r="C77" s="19">
        <v>17059.28341</v>
      </c>
      <c r="D77" s="33" t="s">
        <v>218</v>
      </c>
      <c r="E77" s="33">
        <f>IF(11173.92497="","-",11173.92497/5415988.29784*100)</f>
        <v>0.20631368377321599</v>
      </c>
      <c r="F77" s="33">
        <f>IF(17059.28341="","-",17059.28341/7176590.69493*100)</f>
        <v>0.23770734789224862</v>
      </c>
      <c r="G77" s="33">
        <f>IF(OR(5842484.3398="",12162.97288="",11173.92497=""),"-",(11173.92497-12162.97288)/5842484.3398*100)</f>
        <v>-1.6928550467177741E-2</v>
      </c>
      <c r="H77" s="33">
        <f>IF(OR(5415988.29784="",17059.28341="",11173.92497=""),"-",(17059.28341-11173.92497)/5415988.29784*100)</f>
        <v>0.10866638028644178</v>
      </c>
    </row>
    <row r="78" spans="1:11" x14ac:dyDescent="0.25">
      <c r="A78" s="22" t="s">
        <v>292</v>
      </c>
      <c r="B78" s="23" t="s">
        <v>34</v>
      </c>
      <c r="C78" s="19">
        <v>302320.07344000001</v>
      </c>
      <c r="D78" s="33">
        <f>IF(OR(230555.42453="",302320.07344=""),"-",302320.07344/230555.42453*100)</f>
        <v>131.12685336131051</v>
      </c>
      <c r="E78" s="33">
        <f>IF(230555.42453="","-",230555.42453/5415988.29784*100)</f>
        <v>4.2569409653626824</v>
      </c>
      <c r="F78" s="33">
        <f>IF(302320.07344="","-",302320.07344/7176590.69493*100)</f>
        <v>4.2125862584524727</v>
      </c>
      <c r="G78" s="33">
        <f>IF(OR(5842484.3398="",245166.5567="",230555.42453=""),"-",(230555.42453-245166.5567)/5842484.3398*100)</f>
        <v>-0.25008423335372032</v>
      </c>
      <c r="H78" s="33">
        <f>IF(OR(5415988.29784="",302320.07344="",230555.42453=""),"-",(302320.07344-230555.42453)/5415988.29784*100)</f>
        <v>1.325051771965998</v>
      </c>
    </row>
    <row r="79" spans="1:11" ht="25.5" x14ac:dyDescent="0.25">
      <c r="A79" s="26" t="s">
        <v>296</v>
      </c>
      <c r="B79" s="39" t="s">
        <v>183</v>
      </c>
      <c r="C79" s="40">
        <v>946.60540000000003</v>
      </c>
      <c r="D79" s="68">
        <f>IF(838.36695="","-",946.6054/838.36695*100)</f>
        <v>112.91062940875712</v>
      </c>
      <c r="E79" s="68">
        <f>IF(838.36695="","-",838.36695/5415988.29784*100)</f>
        <v>1.5479482301214662E-2</v>
      </c>
      <c r="F79" s="68">
        <f>IF(946.6054="","-",946.6054/7176590.69493*100)</f>
        <v>1.319018236150408E-2</v>
      </c>
      <c r="G79" s="68">
        <f>IF(5842484.3398="","-",(838.36695-834.0205)/5842484.3398*100)</f>
        <v>7.4393866499414393E-5</v>
      </c>
      <c r="H79" s="68">
        <f>IF(5415988.29784="","-",(946.6054-838.36695)/5415988.29784*100)</f>
        <v>1.9984985943039724E-3</v>
      </c>
    </row>
    <row r="80" spans="1:11" x14ac:dyDescent="0.25">
      <c r="A80" s="58" t="s">
        <v>299</v>
      </c>
      <c r="B80" s="71"/>
      <c r="C80" s="41"/>
      <c r="D80" s="56"/>
      <c r="E80" s="56"/>
      <c r="F80" s="56"/>
      <c r="G80" s="56"/>
      <c r="H80" s="56"/>
      <c r="I80" s="1"/>
      <c r="J80" s="1"/>
      <c r="K80" s="1"/>
    </row>
    <row r="81" spans="1:5" x14ac:dyDescent="0.25">
      <c r="A81" s="100" t="s">
        <v>340</v>
      </c>
      <c r="B81" s="100"/>
      <c r="C81" s="100"/>
      <c r="D81" s="100"/>
      <c r="E81" s="100"/>
    </row>
  </sheetData>
  <mergeCells count="8">
    <mergeCell ref="A81:E81"/>
    <mergeCell ref="A4:A5"/>
    <mergeCell ref="B1:H1"/>
    <mergeCell ref="B2:H2"/>
    <mergeCell ref="B4:B5"/>
    <mergeCell ref="C4:D4"/>
    <mergeCell ref="E4:F4"/>
    <mergeCell ref="G4:H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2"/>
  <sheetViews>
    <sheetView zoomScale="99" zoomScaleNormal="99" workbookViewId="0">
      <selection activeCell="C21" sqref="C21"/>
    </sheetView>
  </sheetViews>
  <sheetFormatPr defaultRowHeight="15.75" x14ac:dyDescent="0.25"/>
  <cols>
    <col min="1" max="1" width="7.625" customWidth="1"/>
    <col min="2" max="2" width="35.625" customWidth="1"/>
    <col min="3" max="4" width="15.125" customWidth="1"/>
    <col min="5" max="5" width="13.75" customWidth="1"/>
    <col min="6" max="6" width="12.25" bestFit="1" customWidth="1"/>
    <col min="7" max="7" width="12.125" bestFit="1" customWidth="1"/>
  </cols>
  <sheetData>
    <row r="1" spans="1:9" x14ac:dyDescent="0.25">
      <c r="B1" s="110" t="s">
        <v>137</v>
      </c>
      <c r="C1" s="110"/>
      <c r="D1" s="110"/>
      <c r="E1" s="110"/>
    </row>
    <row r="2" spans="1:9" x14ac:dyDescent="0.25">
      <c r="B2" s="110" t="s">
        <v>298</v>
      </c>
      <c r="C2" s="110"/>
      <c r="D2" s="110"/>
      <c r="E2" s="110"/>
    </row>
    <row r="3" spans="1:9" x14ac:dyDescent="0.25">
      <c r="B3" s="5"/>
    </row>
    <row r="4" spans="1:9" ht="38.25" customHeight="1" x14ac:dyDescent="0.25">
      <c r="A4" s="85" t="s">
        <v>297</v>
      </c>
      <c r="B4" s="74"/>
      <c r="C4" s="85" t="s">
        <v>412</v>
      </c>
      <c r="D4" s="84" t="s">
        <v>409</v>
      </c>
      <c r="E4" s="84" t="s">
        <v>423</v>
      </c>
      <c r="F4" s="1"/>
    </row>
    <row r="5" spans="1:9" ht="28.5" x14ac:dyDescent="0.25">
      <c r="A5" s="24"/>
      <c r="B5" s="38" t="s">
        <v>308</v>
      </c>
      <c r="C5" s="95">
        <v>-2948882.2181600002</v>
      </c>
      <c r="D5" s="97">
        <v>-4032144.5367800002</v>
      </c>
      <c r="E5" s="29">
        <f>IF(-2948882.21816="","-",-4032144.53678/-2948882.21816*100)</f>
        <v>136.73467566622304</v>
      </c>
      <c r="G5" s="15"/>
    </row>
    <row r="6" spans="1:9" x14ac:dyDescent="0.25">
      <c r="A6" s="24"/>
      <c r="B6" s="27" t="s">
        <v>125</v>
      </c>
      <c r="C6" s="92"/>
      <c r="D6" s="92"/>
      <c r="E6" s="96"/>
    </row>
    <row r="7" spans="1:9" x14ac:dyDescent="0.25">
      <c r="A7" s="20" t="s">
        <v>224</v>
      </c>
      <c r="B7" s="21" t="s">
        <v>184</v>
      </c>
      <c r="C7" s="31">
        <v>-132584.92717000001</v>
      </c>
      <c r="D7" s="31">
        <v>41557.320379999997</v>
      </c>
      <c r="E7" s="31" t="s">
        <v>21</v>
      </c>
      <c r="F7" s="15"/>
    </row>
    <row r="8" spans="1:9" x14ac:dyDescent="0.25">
      <c r="A8" s="22" t="s">
        <v>225</v>
      </c>
      <c r="B8" s="23" t="s">
        <v>22</v>
      </c>
      <c r="C8" s="33">
        <v>3700.8691100000001</v>
      </c>
      <c r="D8" s="33">
        <v>1564.59321</v>
      </c>
      <c r="E8" s="33">
        <f>IF(OR(3700.86911="",1564.59321="",3700.86911=0,1564.59321=0),"-",1564.59321/3700.86911*100)</f>
        <v>42.276372481597981</v>
      </c>
    </row>
    <row r="9" spans="1:9" x14ac:dyDescent="0.25">
      <c r="A9" s="22" t="s">
        <v>226</v>
      </c>
      <c r="B9" s="23" t="s">
        <v>185</v>
      </c>
      <c r="C9" s="33">
        <v>-35359.339890000003</v>
      </c>
      <c r="D9" s="33">
        <v>-56437.751459999999</v>
      </c>
      <c r="E9" s="33" t="s">
        <v>102</v>
      </c>
    </row>
    <row r="10" spans="1:9" x14ac:dyDescent="0.25">
      <c r="A10" s="22" t="s">
        <v>227</v>
      </c>
      <c r="B10" s="23" t="s">
        <v>186</v>
      </c>
      <c r="C10" s="33">
        <v>-67399.065730000002</v>
      </c>
      <c r="D10" s="33">
        <v>-83426.678820000001</v>
      </c>
      <c r="E10" s="33">
        <f>IF(OR(-67399.06573="",-83426.67882="",-67399.06573=0,-83426.67882=0),"-",-83426.67882/-67399.06573*100)</f>
        <v>123.78017101039124</v>
      </c>
    </row>
    <row r="11" spans="1:9" x14ac:dyDescent="0.25">
      <c r="A11" s="22" t="s">
        <v>228</v>
      </c>
      <c r="B11" s="23" t="s">
        <v>187</v>
      </c>
      <c r="C11" s="33">
        <v>-60414.387419999999</v>
      </c>
      <c r="D11" s="33">
        <v>-77011.328880000001</v>
      </c>
      <c r="E11" s="33">
        <f>IF(OR(-60414.38742="",-77011.32888="",-60414.38742=0,-77011.32888=0),"-",-77011.32888/-60414.38742*100)</f>
        <v>127.47183604563975</v>
      </c>
    </row>
    <row r="12" spans="1:9" x14ac:dyDescent="0.25">
      <c r="A12" s="22" t="s">
        <v>229</v>
      </c>
      <c r="B12" s="23" t="s">
        <v>188</v>
      </c>
      <c r="C12" s="33">
        <v>34949.426079999997</v>
      </c>
      <c r="D12" s="33">
        <v>286236.89302000002</v>
      </c>
      <c r="E12" s="33" t="s">
        <v>406</v>
      </c>
    </row>
    <row r="13" spans="1:9" x14ac:dyDescent="0.25">
      <c r="A13" s="22" t="s">
        <v>230</v>
      </c>
      <c r="B13" s="23" t="s">
        <v>189</v>
      </c>
      <c r="C13" s="33">
        <v>132883.90192</v>
      </c>
      <c r="D13" s="33">
        <v>140324.68964</v>
      </c>
      <c r="E13" s="33">
        <f>IF(OR(132883.90192="",140324.68964="",132883.90192=0,140324.68964=0),"-",140324.68964/132883.90192*100)</f>
        <v>105.59946510637501</v>
      </c>
    </row>
    <row r="14" spans="1:9" x14ac:dyDescent="0.25">
      <c r="A14" s="22" t="s">
        <v>231</v>
      </c>
      <c r="B14" s="23" t="s">
        <v>147</v>
      </c>
      <c r="C14" s="33">
        <v>-1418.06978</v>
      </c>
      <c r="D14" s="33">
        <v>13612.684370000001</v>
      </c>
      <c r="E14" s="33" t="s">
        <v>21</v>
      </c>
    </row>
    <row r="15" spans="1:9" ht="25.5" x14ac:dyDescent="0.25">
      <c r="A15" s="22" t="s">
        <v>232</v>
      </c>
      <c r="B15" s="23" t="s">
        <v>190</v>
      </c>
      <c r="C15" s="33">
        <v>-51541.142749999999</v>
      </c>
      <c r="D15" s="33">
        <v>-59466.526619999997</v>
      </c>
      <c r="E15" s="33">
        <f>IF(OR(-51541.14275="",-59466.52662="",-51541.14275=0,-59466.52662=0),"-",-59466.52662/-51541.14275*100)</f>
        <v>115.37681053841204</v>
      </c>
    </row>
    <row r="16" spans="1:9" ht="25.5" x14ac:dyDescent="0.25">
      <c r="A16" s="22" t="s">
        <v>233</v>
      </c>
      <c r="B16" s="23" t="s">
        <v>148</v>
      </c>
      <c r="C16" s="33">
        <v>-6718.55987</v>
      </c>
      <c r="D16" s="33">
        <v>-17979.929510000002</v>
      </c>
      <c r="E16" s="33" t="s">
        <v>302</v>
      </c>
      <c r="I16" t="s">
        <v>422</v>
      </c>
    </row>
    <row r="17" spans="1:5" x14ac:dyDescent="0.25">
      <c r="A17" s="22" t="s">
        <v>234</v>
      </c>
      <c r="B17" s="23" t="s">
        <v>191</v>
      </c>
      <c r="C17" s="33">
        <v>-81268.558839999998</v>
      </c>
      <c r="D17" s="33">
        <v>-105859.32457</v>
      </c>
      <c r="E17" s="33">
        <f>IF(OR(-81268.55884="",-105859.32457="",-81268.55884=0,-105859.32457=0),"-",-105859.32457/-81268.55884*100)</f>
        <v>130.2586462477006</v>
      </c>
    </row>
    <row r="18" spans="1:5" x14ac:dyDescent="0.25">
      <c r="A18" s="20" t="s">
        <v>235</v>
      </c>
      <c r="B18" s="21" t="s">
        <v>192</v>
      </c>
      <c r="C18" s="31">
        <v>81091.784969999993</v>
      </c>
      <c r="D18" s="31">
        <v>77706.504300000001</v>
      </c>
      <c r="E18" s="31">
        <f>IF(81091.78497="","-",77706.5043/81091.78497*100)</f>
        <v>95.825371619021112</v>
      </c>
    </row>
    <row r="19" spans="1:5" x14ac:dyDescent="0.25">
      <c r="A19" s="22" t="s">
        <v>236</v>
      </c>
      <c r="B19" s="23" t="s">
        <v>193</v>
      </c>
      <c r="C19" s="33">
        <v>124472.06892999999</v>
      </c>
      <c r="D19" s="33">
        <v>119205.13489</v>
      </c>
      <c r="E19" s="33">
        <f>IF(OR(124472.06893="",119205.13489="",124472.06893=0,119205.13489=0),"-",119205.13489/124472.06893*100)</f>
        <v>95.768581590009575</v>
      </c>
    </row>
    <row r="20" spans="1:5" x14ac:dyDescent="0.25">
      <c r="A20" s="22" t="s">
        <v>237</v>
      </c>
      <c r="B20" s="23" t="s">
        <v>194</v>
      </c>
      <c r="C20" s="33">
        <v>-43380.283960000001</v>
      </c>
      <c r="D20" s="33">
        <v>-41498.630590000001</v>
      </c>
      <c r="E20" s="33">
        <f>IF(OR(-43380.28396="",-41498.63059="",-43380.28396=0,-41498.63059=0),"-",-41498.63059/-43380.28396*100)</f>
        <v>95.662422653261032</v>
      </c>
    </row>
    <row r="21" spans="1:5" ht="25.5" x14ac:dyDescent="0.25">
      <c r="A21" s="20" t="s">
        <v>238</v>
      </c>
      <c r="B21" s="21" t="s">
        <v>23</v>
      </c>
      <c r="C21" s="31">
        <v>129589.85049</v>
      </c>
      <c r="D21" s="31">
        <v>178933.32847000001</v>
      </c>
      <c r="E21" s="31">
        <f>IF(129589.85049="","-",178933.32847/129589.85049*100)</f>
        <v>138.07665322046779</v>
      </c>
    </row>
    <row r="22" spans="1:5" x14ac:dyDescent="0.25">
      <c r="A22" s="22" t="s">
        <v>239</v>
      </c>
      <c r="B22" s="23" t="s">
        <v>201</v>
      </c>
      <c r="C22" s="33">
        <v>1206.21046</v>
      </c>
      <c r="D22" s="33">
        <v>1151.6613600000001</v>
      </c>
      <c r="E22" s="33">
        <f>IF(OR(1206.21046="",1151.66136="",1206.21046=0,1151.66136=0),"-",1151.66136/1206.21046*100)</f>
        <v>95.477646579188175</v>
      </c>
    </row>
    <row r="23" spans="1:5" x14ac:dyDescent="0.25">
      <c r="A23" s="22" t="s">
        <v>240</v>
      </c>
      <c r="B23" s="23" t="s">
        <v>195</v>
      </c>
      <c r="C23" s="33">
        <v>187865.68471999999</v>
      </c>
      <c r="D23" s="33">
        <v>208508.10485</v>
      </c>
      <c r="E23" s="33">
        <f>IF(OR(187865.68472="",208508.10485="",187865.68472=0,208508.10485=0),"-",208508.10485/187865.68472*100)</f>
        <v>110.9878609075234</v>
      </c>
    </row>
    <row r="24" spans="1:5" ht="17.25" customHeight="1" x14ac:dyDescent="0.25">
      <c r="A24" s="22" t="s">
        <v>294</v>
      </c>
      <c r="B24" s="23" t="s">
        <v>196</v>
      </c>
      <c r="C24" s="33">
        <v>-1389.9951100000001</v>
      </c>
      <c r="D24" s="33">
        <v>-2887.2639100000001</v>
      </c>
      <c r="E24" s="33" t="s">
        <v>93</v>
      </c>
    </row>
    <row r="25" spans="1:5" x14ac:dyDescent="0.25">
      <c r="A25" s="22" t="s">
        <v>241</v>
      </c>
      <c r="B25" s="23" t="s">
        <v>197</v>
      </c>
      <c r="C25" s="33">
        <v>-37926.647510000003</v>
      </c>
      <c r="D25" s="33">
        <v>-54671.076780000003</v>
      </c>
      <c r="E25" s="33">
        <f>IF(OR(-37926.64751="",-54671.07678="",-37926.64751=0,-54671.07678=0),"-",-54671.07678/-37926.64751*100)</f>
        <v>144.14951061937401</v>
      </c>
    </row>
    <row r="26" spans="1:5" x14ac:dyDescent="0.25">
      <c r="A26" s="22" t="s">
        <v>242</v>
      </c>
      <c r="B26" s="23" t="s">
        <v>149</v>
      </c>
      <c r="C26" s="33">
        <v>1571.2595799999999</v>
      </c>
      <c r="D26" s="33">
        <v>4699.7452400000002</v>
      </c>
      <c r="E26" s="33" t="s">
        <v>315</v>
      </c>
    </row>
    <row r="27" spans="1:5" ht="38.25" x14ac:dyDescent="0.25">
      <c r="A27" s="22" t="s">
        <v>243</v>
      </c>
      <c r="B27" s="23" t="s">
        <v>150</v>
      </c>
      <c r="C27" s="33">
        <v>-8034.4006900000004</v>
      </c>
      <c r="D27" s="33">
        <v>-10248.482840000001</v>
      </c>
      <c r="E27" s="33">
        <f>IF(OR(-8034.40069="",-10248.48284="",-8034.40069=0,-10248.48284=0),"-",-10248.48284/-8034.40069*100)</f>
        <v>127.55752713149784</v>
      </c>
    </row>
    <row r="28" spans="1:5" ht="25.5" x14ac:dyDescent="0.25">
      <c r="A28" s="22" t="s">
        <v>244</v>
      </c>
      <c r="B28" s="23" t="s">
        <v>151</v>
      </c>
      <c r="C28" s="33">
        <v>-9713.2103800000004</v>
      </c>
      <c r="D28" s="33">
        <v>-12011.90202</v>
      </c>
      <c r="E28" s="33">
        <f>IF(OR(-9713.21038="",-12011.90202="",-9713.21038=0,-12011.90202=0),"-",-12011.90202/-9713.21038*100)</f>
        <v>123.66562187032541</v>
      </c>
    </row>
    <row r="29" spans="1:5" x14ac:dyDescent="0.25">
      <c r="A29" s="22" t="s">
        <v>245</v>
      </c>
      <c r="B29" s="23" t="s">
        <v>152</v>
      </c>
      <c r="C29" s="33">
        <v>25194.27593</v>
      </c>
      <c r="D29" s="33">
        <v>85814.848979999995</v>
      </c>
      <c r="E29" s="33" t="s">
        <v>355</v>
      </c>
    </row>
    <row r="30" spans="1:5" x14ac:dyDescent="0.25">
      <c r="A30" s="22" t="s">
        <v>246</v>
      </c>
      <c r="B30" s="23" t="s">
        <v>153</v>
      </c>
      <c r="C30" s="33">
        <v>-29183.326509999999</v>
      </c>
      <c r="D30" s="33">
        <v>-41422.306409999997</v>
      </c>
      <c r="E30" s="33">
        <f>IF(OR(-29183.32651="",-41422.30641="",-29183.32651=0,-41422.30641=0),"-",-41422.30641/-29183.32651*100)</f>
        <v>141.93826189007677</v>
      </c>
    </row>
    <row r="31" spans="1:5" ht="25.5" x14ac:dyDescent="0.25">
      <c r="A31" s="20" t="s">
        <v>247</v>
      </c>
      <c r="B31" s="21" t="s">
        <v>154</v>
      </c>
      <c r="C31" s="31">
        <v>-575647.59314000001</v>
      </c>
      <c r="D31" s="31">
        <v>-1056324.6319299999</v>
      </c>
      <c r="E31" s="31" t="s">
        <v>207</v>
      </c>
    </row>
    <row r="32" spans="1:5" x14ac:dyDescent="0.25">
      <c r="A32" s="22" t="s">
        <v>248</v>
      </c>
      <c r="B32" s="23" t="s">
        <v>198</v>
      </c>
      <c r="C32" s="33">
        <v>-15278.97133</v>
      </c>
      <c r="D32" s="33">
        <v>-17550.70493</v>
      </c>
      <c r="E32" s="33">
        <f>IF(OR(-15278.97133="",-17550.70493="",-15278.97133=0,-17550.70493=0),"-",-17550.70493/-15278.97133*100)</f>
        <v>114.86836745049381</v>
      </c>
    </row>
    <row r="33" spans="1:5" x14ac:dyDescent="0.25">
      <c r="A33" s="22" t="s">
        <v>249</v>
      </c>
      <c r="B33" s="23" t="s">
        <v>155</v>
      </c>
      <c r="C33" s="33">
        <v>-365096.58824999997</v>
      </c>
      <c r="D33" s="33">
        <v>-613702.12254999997</v>
      </c>
      <c r="E33" s="33" t="s">
        <v>101</v>
      </c>
    </row>
    <row r="34" spans="1:5" x14ac:dyDescent="0.25">
      <c r="A34" s="22" t="s">
        <v>295</v>
      </c>
      <c r="B34" s="23" t="s">
        <v>199</v>
      </c>
      <c r="C34" s="33">
        <v>-185718.30703</v>
      </c>
      <c r="D34" s="33">
        <v>-417336.63296999998</v>
      </c>
      <c r="E34" s="33" t="s">
        <v>206</v>
      </c>
    </row>
    <row r="35" spans="1:5" x14ac:dyDescent="0.25">
      <c r="A35" s="22" t="s">
        <v>304</v>
      </c>
      <c r="B35" s="23" t="s">
        <v>307</v>
      </c>
      <c r="C35" s="33">
        <v>-9553.7265299999999</v>
      </c>
      <c r="D35" s="33">
        <v>-7735.17148</v>
      </c>
      <c r="E35" s="33">
        <f>IF(OR(-9553.72653="",-7735.17148="",-9553.72653=0,-7735.17148=0),"-",-7735.17148/-9553.72653*100)</f>
        <v>80.964966452729314</v>
      </c>
    </row>
    <row r="36" spans="1:5" ht="25.5" x14ac:dyDescent="0.25">
      <c r="A36" s="20" t="s">
        <v>250</v>
      </c>
      <c r="B36" s="21" t="s">
        <v>156</v>
      </c>
      <c r="C36" s="31">
        <v>91353.065960000007</v>
      </c>
      <c r="D36" s="31">
        <v>106469.27718</v>
      </c>
      <c r="E36" s="31">
        <f>IF(91353.06596="","-",106469.27718/91353.06596*100)</f>
        <v>116.54702123147001</v>
      </c>
    </row>
    <row r="37" spans="1:5" x14ac:dyDescent="0.25">
      <c r="A37" s="22" t="s">
        <v>251</v>
      </c>
      <c r="B37" s="23" t="s">
        <v>202</v>
      </c>
      <c r="C37" s="33">
        <v>-1797.9319499999999</v>
      </c>
      <c r="D37" s="33">
        <v>-2203.3456900000001</v>
      </c>
      <c r="E37" s="33">
        <f>IF(OR(-1797.93195="",-2203.34569="",-1797.93195=0,-2203.34569=0),"-",-2203.34569/-1797.93195*100)</f>
        <v>122.54889235379571</v>
      </c>
    </row>
    <row r="38" spans="1:5" ht="14.25" customHeight="1" x14ac:dyDescent="0.25">
      <c r="A38" s="22" t="s">
        <v>252</v>
      </c>
      <c r="B38" s="23" t="s">
        <v>157</v>
      </c>
      <c r="C38" s="33">
        <v>94856.007190000004</v>
      </c>
      <c r="D38" s="33">
        <v>110967.46214</v>
      </c>
      <c r="E38" s="33">
        <f>IF(OR(94856.00719="",110967.46214="",94856.00719=0,110967.46214=0),"-",110967.46214/94856.00719*100)</f>
        <v>116.98517092093932</v>
      </c>
    </row>
    <row r="39" spans="1:5" ht="51" x14ac:dyDescent="0.25">
      <c r="A39" s="22" t="s">
        <v>253</v>
      </c>
      <c r="B39" s="23" t="s">
        <v>200</v>
      </c>
      <c r="C39" s="33">
        <v>-1705.00928</v>
      </c>
      <c r="D39" s="33">
        <v>-2294.8392699999999</v>
      </c>
      <c r="E39" s="33">
        <f>IF(OR(-1705.00928="",-2294.83927="",-1705.00928=0,-2294.83927=0),"-",-2294.83927/-1705.00928*100)</f>
        <v>134.59394602239348</v>
      </c>
    </row>
    <row r="40" spans="1:5" ht="15" customHeight="1" x14ac:dyDescent="0.25">
      <c r="A40" s="20" t="s">
        <v>254</v>
      </c>
      <c r="B40" s="21" t="s">
        <v>158</v>
      </c>
      <c r="C40" s="31">
        <v>-692511.01307999995</v>
      </c>
      <c r="D40" s="31">
        <v>-881231.26869000006</v>
      </c>
      <c r="E40" s="31">
        <f>IF(-692511.01308="","-",-881231.26869/-692511.01308*100)</f>
        <v>127.25158907880052</v>
      </c>
    </row>
    <row r="41" spans="1:5" x14ac:dyDescent="0.25">
      <c r="A41" s="22" t="s">
        <v>255</v>
      </c>
      <c r="B41" s="23" t="s">
        <v>24</v>
      </c>
      <c r="C41" s="33">
        <v>36403.867539999999</v>
      </c>
      <c r="D41" s="33">
        <v>20993.39891</v>
      </c>
      <c r="E41" s="33">
        <f>IF(OR(36403.86754="",20993.39891="",36403.86754=0,20993.39891=0),"-",20993.39891/36403.86754*100)</f>
        <v>57.668045536460596</v>
      </c>
    </row>
    <row r="42" spans="1:5" x14ac:dyDescent="0.25">
      <c r="A42" s="22" t="s">
        <v>256</v>
      </c>
      <c r="B42" s="23" t="s">
        <v>25</v>
      </c>
      <c r="C42" s="33">
        <v>-14207.955679999999</v>
      </c>
      <c r="D42" s="33">
        <v>-15179.07296</v>
      </c>
      <c r="E42" s="33">
        <f>IF(OR(-14207.95568="",-15179.07296="",-14207.95568=0,-15179.07296=0),"-",-15179.07296/-14207.95568*100)</f>
        <v>106.83502469934507</v>
      </c>
    </row>
    <row r="43" spans="1:5" x14ac:dyDescent="0.25">
      <c r="A43" s="22" t="s">
        <v>257</v>
      </c>
      <c r="B43" s="23" t="s">
        <v>159</v>
      </c>
      <c r="C43" s="33">
        <v>-42065.2448</v>
      </c>
      <c r="D43" s="33">
        <v>-48150.745759999998</v>
      </c>
      <c r="E43" s="33">
        <f>IF(OR(-42065.2448="",-48150.74576="",-42065.2448=0,-48150.74576=0),"-",-48150.74576/-42065.2448*100)</f>
        <v>114.46681456136444</v>
      </c>
    </row>
    <row r="44" spans="1:5" x14ac:dyDescent="0.25">
      <c r="A44" s="22" t="s">
        <v>258</v>
      </c>
      <c r="B44" s="23" t="s">
        <v>160</v>
      </c>
      <c r="C44" s="33">
        <v>-201453.64426</v>
      </c>
      <c r="D44" s="33">
        <v>-250113.31184000001</v>
      </c>
      <c r="E44" s="33">
        <f>IF(OR(-201453.64426="",-250113.31184="",-201453.64426=0,-250113.31184=0),"-",-250113.31184/-201453.64426*100)</f>
        <v>124.15427517270371</v>
      </c>
    </row>
    <row r="45" spans="1:5" ht="38.25" x14ac:dyDescent="0.25">
      <c r="A45" s="22" t="s">
        <v>259</v>
      </c>
      <c r="B45" s="23" t="s">
        <v>161</v>
      </c>
      <c r="C45" s="33">
        <v>-102584.67585</v>
      </c>
      <c r="D45" s="33">
        <v>-127564.66323000001</v>
      </c>
      <c r="E45" s="33">
        <f>IF(OR(-102584.67585="",-127564.66323="",-102584.67585=0,-127564.66323=0),"-",-127564.66323/-102584.67585*100)</f>
        <v>124.35060321926241</v>
      </c>
    </row>
    <row r="46" spans="1:5" x14ac:dyDescent="0.25">
      <c r="A46" s="22" t="s">
        <v>260</v>
      </c>
      <c r="B46" s="23" t="s">
        <v>162</v>
      </c>
      <c r="C46" s="33">
        <v>-72588.649619999997</v>
      </c>
      <c r="D46" s="33">
        <v>-87946.735320000007</v>
      </c>
      <c r="E46" s="33">
        <f>IF(OR(-72588.64962="",-87946.73532="",-72588.64962=0,-87946.73532=0),"-",-87946.73532/-72588.64962*100)</f>
        <v>121.15769583867349</v>
      </c>
    </row>
    <row r="47" spans="1:5" x14ac:dyDescent="0.25">
      <c r="A47" s="22" t="s">
        <v>261</v>
      </c>
      <c r="B47" s="23" t="s">
        <v>26</v>
      </c>
      <c r="C47" s="33">
        <v>-45327.145190000003</v>
      </c>
      <c r="D47" s="33">
        <v>-70083.720520000003</v>
      </c>
      <c r="E47" s="33" t="s">
        <v>218</v>
      </c>
    </row>
    <row r="48" spans="1:5" x14ac:dyDescent="0.25">
      <c r="A48" s="22" t="s">
        <v>262</v>
      </c>
      <c r="B48" s="23" t="s">
        <v>27</v>
      </c>
      <c r="C48" s="33">
        <v>-120614.07212</v>
      </c>
      <c r="D48" s="33">
        <v>-154301.93771999999</v>
      </c>
      <c r="E48" s="33">
        <f>IF(OR(-120614.07212="",-154301.93772="",-120614.07212=0,-154301.93772=0),"-",-154301.93772/-120614.07212*100)</f>
        <v>127.93029454016246</v>
      </c>
    </row>
    <row r="49" spans="1:5" x14ac:dyDescent="0.25">
      <c r="A49" s="22" t="s">
        <v>263</v>
      </c>
      <c r="B49" s="23" t="s">
        <v>163</v>
      </c>
      <c r="C49" s="33">
        <v>-130073.49310000001</v>
      </c>
      <c r="D49" s="33">
        <v>-148884.48024999999</v>
      </c>
      <c r="E49" s="33">
        <f>IF(OR(-130073.4931="",-148884.48025="",-130073.4931=0,-148884.48025=0),"-",-148884.48025/-130073.4931*100)</f>
        <v>114.46181439560338</v>
      </c>
    </row>
    <row r="50" spans="1:5" ht="25.5" x14ac:dyDescent="0.25">
      <c r="A50" s="20" t="s">
        <v>264</v>
      </c>
      <c r="B50" s="21" t="s">
        <v>356</v>
      </c>
      <c r="C50" s="31">
        <v>-892287.04168999998</v>
      </c>
      <c r="D50" s="31">
        <v>-1071250.9482499999</v>
      </c>
      <c r="E50" s="31">
        <f>IF(-892287.04169="","-",-1071250.94825/-892287.04169*100)</f>
        <v>120.05676404546239</v>
      </c>
    </row>
    <row r="51" spans="1:5" x14ac:dyDescent="0.25">
      <c r="A51" s="22" t="s">
        <v>265</v>
      </c>
      <c r="B51" s="23" t="s">
        <v>164</v>
      </c>
      <c r="C51" s="33">
        <v>-47323.74639</v>
      </c>
      <c r="D51" s="33">
        <v>-54108.561600000001</v>
      </c>
      <c r="E51" s="33">
        <f>IF(OR(-47323.74639="",-54108.5616="",-47323.74639=0,-54108.5616=0),"-",-54108.5616/-47323.74639*100)</f>
        <v>114.33702047611705</v>
      </c>
    </row>
    <row r="52" spans="1:5" x14ac:dyDescent="0.25">
      <c r="A52" s="22" t="s">
        <v>266</v>
      </c>
      <c r="B52" s="23" t="s">
        <v>28</v>
      </c>
      <c r="C52" s="33">
        <v>-58371.982170000003</v>
      </c>
      <c r="D52" s="33">
        <v>-74900.973729999998</v>
      </c>
      <c r="E52" s="33">
        <f>IF(OR(-58371.98217="",-74900.97373="",-58371.98217=0,-74900.97373=0),"-",-74900.97373/-58371.98217*100)</f>
        <v>128.31665286243268</v>
      </c>
    </row>
    <row r="53" spans="1:5" x14ac:dyDescent="0.25">
      <c r="A53" s="22" t="s">
        <v>267</v>
      </c>
      <c r="B53" s="23" t="s">
        <v>165</v>
      </c>
      <c r="C53" s="33">
        <v>-71474.75374</v>
      </c>
      <c r="D53" s="33">
        <v>-90179.244229999997</v>
      </c>
      <c r="E53" s="33">
        <f>IF(OR(-71474.75374="",-90179.24423="",-71474.75374=0,-90179.24423=0),"-",-90179.24423/-71474.75374*100)</f>
        <v>126.16936682012275</v>
      </c>
    </row>
    <row r="54" spans="1:5" ht="25.5" x14ac:dyDescent="0.25">
      <c r="A54" s="22" t="s">
        <v>268</v>
      </c>
      <c r="B54" s="23" t="s">
        <v>166</v>
      </c>
      <c r="C54" s="33">
        <v>-84617.661330000003</v>
      </c>
      <c r="D54" s="33">
        <v>-102315.40064000001</v>
      </c>
      <c r="E54" s="33">
        <f>IF(OR(-84617.66133="",-102315.40064="",-84617.66133=0,-102315.40064=0),"-",-102315.40064/-84617.66133*100)</f>
        <v>120.91494734294379</v>
      </c>
    </row>
    <row r="55" spans="1:5" ht="25.5" x14ac:dyDescent="0.25">
      <c r="A55" s="22" t="s">
        <v>269</v>
      </c>
      <c r="B55" s="23" t="s">
        <v>167</v>
      </c>
      <c r="C55" s="33">
        <v>-199073.98415</v>
      </c>
      <c r="D55" s="33">
        <v>-240942.62942000001</v>
      </c>
      <c r="E55" s="33">
        <f>IF(OR(-199073.98415="",-240942.62942="",-199073.98415=0,-240942.62942=0),"-",-240942.62942/-199073.98415*100)</f>
        <v>121.03170107775232</v>
      </c>
    </row>
    <row r="56" spans="1:5" x14ac:dyDescent="0.25">
      <c r="A56" s="22" t="s">
        <v>270</v>
      </c>
      <c r="B56" s="23" t="s">
        <v>29</v>
      </c>
      <c r="C56" s="33">
        <v>-89102.013059999997</v>
      </c>
      <c r="D56" s="33">
        <v>-97738.835430000006</v>
      </c>
      <c r="E56" s="33">
        <f>IF(OR(-89102.01306="",-97738.83543="",-89102.01306=0,-97738.83543=0),"-",-97738.83543/-89102.01306*100)</f>
        <v>109.69318433264139</v>
      </c>
    </row>
    <row r="57" spans="1:5" x14ac:dyDescent="0.25">
      <c r="A57" s="22" t="s">
        <v>271</v>
      </c>
      <c r="B57" s="23" t="s">
        <v>168</v>
      </c>
      <c r="C57" s="33">
        <v>-131564.29655</v>
      </c>
      <c r="D57" s="33">
        <v>-164052.3977</v>
      </c>
      <c r="E57" s="33">
        <f>IF(OR(-131564.29655="",-164052.3977="",-131564.29655=0,-164052.3977=0),"-",-164052.3977/-131564.29655*100)</f>
        <v>124.69370642486821</v>
      </c>
    </row>
    <row r="58" spans="1:5" x14ac:dyDescent="0.25">
      <c r="A58" s="22" t="s">
        <v>272</v>
      </c>
      <c r="B58" s="23" t="s">
        <v>30</v>
      </c>
      <c r="C58" s="33">
        <v>-63276.378100000002</v>
      </c>
      <c r="D58" s="33">
        <v>-71500.107510000002</v>
      </c>
      <c r="E58" s="33">
        <f>IF(OR(-63276.3781="",-71500.10751="",-63276.3781=0,-71500.10751=0),"-",-71500.10751/-63276.3781*100)</f>
        <v>112.99652359527197</v>
      </c>
    </row>
    <row r="59" spans="1:5" x14ac:dyDescent="0.25">
      <c r="A59" s="22" t="s">
        <v>273</v>
      </c>
      <c r="B59" s="23" t="s">
        <v>31</v>
      </c>
      <c r="C59" s="33">
        <v>-147482.2262</v>
      </c>
      <c r="D59" s="33">
        <v>-175512.79798999999</v>
      </c>
      <c r="E59" s="33">
        <f>IF(OR(-147482.2262="",-175512.79799="",-147482.2262=0,-175512.79799=0),"-",-175512.79799/-147482.2262*100)</f>
        <v>119.00606772234903</v>
      </c>
    </row>
    <row r="60" spans="1:5" x14ac:dyDescent="0.25">
      <c r="A60" s="20" t="s">
        <v>274</v>
      </c>
      <c r="B60" s="21" t="s">
        <v>169</v>
      </c>
      <c r="C60" s="31">
        <v>-871058.10883000004</v>
      </c>
      <c r="D60" s="31">
        <v>-1188075.57287</v>
      </c>
      <c r="E60" s="31">
        <f>IF(-871058.10883="","-",-1188075.57287/-871058.10883*100)</f>
        <v>136.39452532803074</v>
      </c>
    </row>
    <row r="61" spans="1:5" ht="16.5" customHeight="1" x14ac:dyDescent="0.25">
      <c r="A61" s="22" t="s">
        <v>275</v>
      </c>
      <c r="B61" s="23" t="s">
        <v>170</v>
      </c>
      <c r="C61" s="33">
        <v>-18472.617770000001</v>
      </c>
      <c r="D61" s="33">
        <v>-24748.91562</v>
      </c>
      <c r="E61" s="33">
        <f>IF(OR(-18472.61777="",-24748.91562="",-18472.61777=0,-24748.91562=0),"-",-24748.91562/-18472.61777*100)</f>
        <v>133.97622323021736</v>
      </c>
    </row>
    <row r="62" spans="1:5" ht="25.5" x14ac:dyDescent="0.25">
      <c r="A62" s="22" t="s">
        <v>276</v>
      </c>
      <c r="B62" s="23" t="s">
        <v>171</v>
      </c>
      <c r="C62" s="33">
        <v>-151106.32915000001</v>
      </c>
      <c r="D62" s="33">
        <v>-234775.89266000001</v>
      </c>
      <c r="E62" s="33" t="s">
        <v>102</v>
      </c>
    </row>
    <row r="63" spans="1:5" x14ac:dyDescent="0.25">
      <c r="A63" s="22" t="s">
        <v>277</v>
      </c>
      <c r="B63" s="23" t="s">
        <v>172</v>
      </c>
      <c r="C63" s="33">
        <v>-11617.47587</v>
      </c>
      <c r="D63" s="33">
        <v>-13355.989250000001</v>
      </c>
      <c r="E63" s="33">
        <f>IF(OR(-11617.47587="",-13355.98925="",-11617.47587=0,-13355.98925=0),"-",-13355.98925/-11617.47587*100)</f>
        <v>114.96463947465037</v>
      </c>
    </row>
    <row r="64" spans="1:5" ht="25.5" x14ac:dyDescent="0.25">
      <c r="A64" s="22" t="s">
        <v>278</v>
      </c>
      <c r="B64" s="23" t="s">
        <v>173</v>
      </c>
      <c r="C64" s="33">
        <v>-183273.72472</v>
      </c>
      <c r="D64" s="33">
        <v>-226176.47232</v>
      </c>
      <c r="E64" s="33">
        <f>IF(OR(-183273.72472="",-226176.47232="",-183273.72472=0,-226176.47232=0),"-",-226176.47232/-183273.72472*100)</f>
        <v>123.40910987952338</v>
      </c>
    </row>
    <row r="65" spans="1:5" ht="27.75" customHeight="1" x14ac:dyDescent="0.25">
      <c r="A65" s="22" t="s">
        <v>279</v>
      </c>
      <c r="B65" s="23" t="s">
        <v>174</v>
      </c>
      <c r="C65" s="33">
        <v>-60664.392469999999</v>
      </c>
      <c r="D65" s="33">
        <v>-76544.807589999997</v>
      </c>
      <c r="E65" s="33">
        <f>IF(OR(-60664.39247="",-76544.80759="",-60664.39247=0,-76544.80759=0),"-",-76544.80759/-60664.39247*100)</f>
        <v>126.17748974879002</v>
      </c>
    </row>
    <row r="66" spans="1:5" ht="29.25" customHeight="1" x14ac:dyDescent="0.25">
      <c r="A66" s="22" t="s">
        <v>280</v>
      </c>
      <c r="B66" s="23" t="s">
        <v>175</v>
      </c>
      <c r="C66" s="33">
        <v>-173016.12736000001</v>
      </c>
      <c r="D66" s="33">
        <v>-192801.03576</v>
      </c>
      <c r="E66" s="33">
        <f>IF(OR(-173016.12736="",-192801.03576="",-173016.12736=0,-192801.03576=0),"-",-192801.03576/-173016.12736*100)</f>
        <v>111.43529721875748</v>
      </c>
    </row>
    <row r="67" spans="1:5" ht="15" customHeight="1" x14ac:dyDescent="0.25">
      <c r="A67" s="22" t="s">
        <v>281</v>
      </c>
      <c r="B67" s="23" t="s">
        <v>176</v>
      </c>
      <c r="C67" s="33">
        <v>47737.573360000002</v>
      </c>
      <c r="D67" s="33">
        <v>-16439.273679999998</v>
      </c>
      <c r="E67" s="33" t="s">
        <v>21</v>
      </c>
    </row>
    <row r="68" spans="1:5" x14ac:dyDescent="0.25">
      <c r="A68" s="22" t="s">
        <v>282</v>
      </c>
      <c r="B68" s="23" t="s">
        <v>177</v>
      </c>
      <c r="C68" s="33">
        <v>-268677.04518000002</v>
      </c>
      <c r="D68" s="33">
        <v>-399125.97856000002</v>
      </c>
      <c r="E68" s="33">
        <f>IF(OR(-268677.04518="",-399125.97856="",-268677.04518=0,-399125.97856=0),"-",-399125.97856/-268677.04518*100)</f>
        <v>148.55231800416959</v>
      </c>
    </row>
    <row r="69" spans="1:5" x14ac:dyDescent="0.25">
      <c r="A69" s="22" t="s">
        <v>283</v>
      </c>
      <c r="B69" s="23" t="s">
        <v>32</v>
      </c>
      <c r="C69" s="33">
        <v>-51967.969669999999</v>
      </c>
      <c r="D69" s="33">
        <v>-4107.2074300000004</v>
      </c>
      <c r="E69" s="33">
        <f>IF(OR(-51967.96967="",-4107.20743="",-51967.96967=0,-4107.20743=0),"-",-4107.20743/-51967.96967*100)</f>
        <v>7.9033440330284908</v>
      </c>
    </row>
    <row r="70" spans="1:5" x14ac:dyDescent="0.25">
      <c r="A70" s="20" t="s">
        <v>284</v>
      </c>
      <c r="B70" s="21" t="s">
        <v>33</v>
      </c>
      <c r="C70" s="31">
        <v>-86602.9715</v>
      </c>
      <c r="D70" s="31">
        <v>-239851.76704000001</v>
      </c>
      <c r="E70" s="31" t="s">
        <v>349</v>
      </c>
    </row>
    <row r="71" spans="1:5" ht="25.5" x14ac:dyDescent="0.25">
      <c r="A71" s="22" t="s">
        <v>285</v>
      </c>
      <c r="B71" s="23" t="s">
        <v>203</v>
      </c>
      <c r="C71" s="33">
        <v>-44379.530610000002</v>
      </c>
      <c r="D71" s="33">
        <v>-61547.294779999997</v>
      </c>
      <c r="E71" s="33">
        <f>IF(OR(-44379.53061="",-61547.29478="",-44379.53061=0,-61547.29478=0),"-",-61547.29478/-44379.53061*100)</f>
        <v>138.68396969059333</v>
      </c>
    </row>
    <row r="72" spans="1:5" x14ac:dyDescent="0.25">
      <c r="A72" s="22" t="s">
        <v>286</v>
      </c>
      <c r="B72" s="23" t="s">
        <v>178</v>
      </c>
      <c r="C72" s="33">
        <v>81954.539610000007</v>
      </c>
      <c r="D72" s="33">
        <v>78080.297449999998</v>
      </c>
      <c r="E72" s="33">
        <f>IF(OR(81954.53961="",78080.29745="",81954.53961=0,78080.29745=0),"-",78080.29745/81954.53961*100)</f>
        <v>95.272693644017153</v>
      </c>
    </row>
    <row r="73" spans="1:5" x14ac:dyDescent="0.25">
      <c r="A73" s="22" t="s">
        <v>287</v>
      </c>
      <c r="B73" s="23" t="s">
        <v>179</v>
      </c>
      <c r="C73" s="33">
        <v>2779.1021700000001</v>
      </c>
      <c r="D73" s="33">
        <v>1910.51992</v>
      </c>
      <c r="E73" s="33">
        <f>IF(OR(2779.10217="",1910.51992="",2779.10217=0,1910.51992=0),"-",1910.51992/2779.10217*100)</f>
        <v>68.745940348065716</v>
      </c>
    </row>
    <row r="74" spans="1:5" x14ac:dyDescent="0.25">
      <c r="A74" s="22" t="s">
        <v>288</v>
      </c>
      <c r="B74" s="23" t="s">
        <v>180</v>
      </c>
      <c r="C74" s="33">
        <v>102168.59484000001</v>
      </c>
      <c r="D74" s="33">
        <v>75556.991760000004</v>
      </c>
      <c r="E74" s="33">
        <f>IF(OR(102168.59484="",75556.99176="",102168.59484=0,75556.99176=0),"-",75556.99176/102168.59484*100)</f>
        <v>73.953245494200232</v>
      </c>
    </row>
    <row r="75" spans="1:5" x14ac:dyDescent="0.25">
      <c r="A75" s="22" t="s">
        <v>289</v>
      </c>
      <c r="B75" s="23" t="s">
        <v>181</v>
      </c>
      <c r="C75" s="33">
        <v>-6119.4969899999996</v>
      </c>
      <c r="D75" s="33">
        <v>-14316.96977</v>
      </c>
      <c r="E75" s="33" t="s">
        <v>217</v>
      </c>
    </row>
    <row r="76" spans="1:5" ht="25.5" x14ac:dyDescent="0.25">
      <c r="A76" s="22" t="s">
        <v>290</v>
      </c>
      <c r="B76" s="23" t="s">
        <v>204</v>
      </c>
      <c r="C76" s="33">
        <v>-38065.714229999998</v>
      </c>
      <c r="D76" s="33">
        <v>-67582.006240000002</v>
      </c>
      <c r="E76" s="33" t="s">
        <v>207</v>
      </c>
    </row>
    <row r="77" spans="1:5" ht="25.5" x14ac:dyDescent="0.25">
      <c r="A77" s="22" t="s">
        <v>291</v>
      </c>
      <c r="B77" s="23" t="s">
        <v>182</v>
      </c>
      <c r="C77" s="33">
        <v>-8296.3506500000003</v>
      </c>
      <c r="D77" s="33">
        <v>-13126.20189</v>
      </c>
      <c r="E77" s="33" t="s">
        <v>102</v>
      </c>
    </row>
    <row r="78" spans="1:5" x14ac:dyDescent="0.25">
      <c r="A78" s="57" t="s">
        <v>292</v>
      </c>
      <c r="B78" s="23" t="s">
        <v>34</v>
      </c>
      <c r="C78" s="33">
        <v>-176644.11564</v>
      </c>
      <c r="D78" s="33">
        <v>-238827.10349000001</v>
      </c>
      <c r="E78" s="33">
        <f>IF(OR(-176644.11564="",-238827.10349="",-176644.11564=0,-238827.10349=0),"-",-238827.10349/-176644.11564*100)</f>
        <v>135.20241114441009</v>
      </c>
    </row>
    <row r="79" spans="1:5" x14ac:dyDescent="0.25">
      <c r="A79" s="26" t="s">
        <v>296</v>
      </c>
      <c r="B79" s="39" t="s">
        <v>183</v>
      </c>
      <c r="C79" s="68">
        <v>-225.26417000000001</v>
      </c>
      <c r="D79" s="68">
        <v>-76.778329999999997</v>
      </c>
      <c r="E79" s="68">
        <f>IF(-225.26417="","-",-76.77833/-225.26417*100)</f>
        <v>34.083684946434225</v>
      </c>
    </row>
    <row r="80" spans="1:5" x14ac:dyDescent="0.25">
      <c r="A80" s="58" t="s">
        <v>299</v>
      </c>
      <c r="B80" s="59"/>
      <c r="C80" s="33"/>
      <c r="D80" s="33"/>
      <c r="E80" s="75"/>
    </row>
    <row r="81" spans="3:5" x14ac:dyDescent="0.25">
      <c r="C81" s="33"/>
      <c r="D81" s="33"/>
      <c r="E81" s="75"/>
    </row>
    <row r="82" spans="3:5" x14ac:dyDescent="0.25">
      <c r="C82" s="33"/>
      <c r="D82" s="33"/>
      <c r="E82" s="75"/>
    </row>
  </sheetData>
  <mergeCells count="2">
    <mergeCell ref="B1:E1"/>
    <mergeCell ref="B2:E2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Utilizator</cp:lastModifiedBy>
  <cp:lastPrinted>2022-02-15T14:42:04Z</cp:lastPrinted>
  <dcterms:created xsi:type="dcterms:W3CDTF">2016-09-01T07:59:47Z</dcterms:created>
  <dcterms:modified xsi:type="dcterms:W3CDTF">2022-02-15T21:25:59Z</dcterms:modified>
</cp:coreProperties>
</file>