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2020_Date_Operative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52511" iterate="1"/>
</workbook>
</file>

<file path=xl/calcChain.xml><?xml version="1.0" encoding="utf-8"?>
<calcChain xmlns="http://schemas.openxmlformats.org/spreadsheetml/2006/main">
  <c r="D150" i="3" l="1"/>
  <c r="D149" i="3"/>
  <c r="D148" i="3"/>
  <c r="D147" i="3"/>
  <c r="D145" i="3"/>
  <c r="D143" i="3"/>
  <c r="D140" i="3"/>
  <c r="D139" i="3"/>
  <c r="D138" i="3"/>
  <c r="D137" i="3"/>
  <c r="D135" i="3"/>
  <c r="D133" i="3"/>
  <c r="D131" i="3"/>
  <c r="D130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3" i="3"/>
  <c r="D112" i="3"/>
  <c r="D110" i="3"/>
  <c r="D109" i="3"/>
  <c r="D106" i="3"/>
  <c r="D104" i="3"/>
  <c r="D103" i="3"/>
  <c r="D102" i="3"/>
  <c r="D97" i="3"/>
  <c r="D96" i="3"/>
  <c r="D95" i="3"/>
  <c r="D94" i="3"/>
  <c r="D93" i="3"/>
  <c r="D92" i="3"/>
  <c r="D91" i="3"/>
  <c r="D90" i="3"/>
  <c r="D88" i="3"/>
  <c r="D86" i="3"/>
  <c r="D83" i="3"/>
  <c r="D81" i="3"/>
  <c r="D78" i="3"/>
  <c r="D77" i="3"/>
  <c r="D76" i="3"/>
  <c r="D75" i="3"/>
  <c r="D73" i="3"/>
  <c r="D72" i="3"/>
  <c r="D71" i="3"/>
  <c r="D70" i="3"/>
  <c r="D69" i="3"/>
  <c r="D68" i="3"/>
  <c r="D67" i="3"/>
  <c r="D65" i="3"/>
  <c r="D64" i="3"/>
  <c r="D63" i="3"/>
  <c r="D62" i="3"/>
  <c r="D61" i="3"/>
  <c r="D60" i="3"/>
  <c r="D58" i="3"/>
  <c r="D57" i="3"/>
  <c r="D55" i="3"/>
  <c r="D54" i="3"/>
  <c r="D52" i="3"/>
  <c r="D51" i="3"/>
  <c r="D50" i="3"/>
  <c r="D49" i="3"/>
  <c r="D48" i="3"/>
  <c r="D47" i="3"/>
  <c r="D46" i="3"/>
  <c r="D45" i="3"/>
  <c r="D44" i="3"/>
  <c r="B44" i="3"/>
  <c r="D43" i="3"/>
  <c r="B43" i="3"/>
  <c r="B42" i="3"/>
  <c r="D41" i="3"/>
  <c r="B41" i="3"/>
  <c r="B40" i="3"/>
  <c r="D39" i="3"/>
  <c r="B39" i="3"/>
  <c r="B38" i="3"/>
  <c r="D37" i="3"/>
  <c r="B37" i="3"/>
  <c r="D36" i="3"/>
  <c r="B36" i="3"/>
  <c r="D35" i="3"/>
  <c r="B35" i="3"/>
  <c r="D34" i="3"/>
  <c r="D32" i="3"/>
  <c r="D31" i="3"/>
  <c r="D28" i="3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4" i="3"/>
  <c r="E39" i="8" l="1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E20" i="8"/>
  <c r="D20" i="8"/>
  <c r="E19" i="8"/>
  <c r="D19" i="8"/>
  <c r="E18" i="8"/>
  <c r="D18" i="8"/>
  <c r="E17" i="8"/>
  <c r="D17" i="8"/>
  <c r="E16" i="8"/>
  <c r="D16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D38" i="7" l="1"/>
  <c r="E37" i="7"/>
  <c r="D37" i="7"/>
  <c r="E36" i="7"/>
  <c r="D36" i="7"/>
  <c r="E35" i="7"/>
  <c r="D35" i="7"/>
  <c r="E34" i="7"/>
  <c r="D34" i="7"/>
  <c r="E33" i="7"/>
  <c r="D33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78" i="4" l="1"/>
  <c r="D77" i="4"/>
  <c r="D76" i="4"/>
  <c r="D75" i="4"/>
  <c r="D74" i="4"/>
  <c r="D73" i="4"/>
  <c r="D72" i="4"/>
  <c r="D71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39" i="4"/>
  <c r="D37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3" i="4"/>
  <c r="D12" i="4"/>
  <c r="D11" i="4"/>
  <c r="D10" i="4"/>
  <c r="D9" i="4"/>
  <c r="D8" i="4"/>
  <c r="D5" i="4"/>
  <c r="G80" i="6" l="1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71" i="6"/>
  <c r="F71" i="6"/>
  <c r="E71" i="6"/>
  <c r="D71" i="6"/>
  <c r="C71" i="6"/>
  <c r="G70" i="6"/>
  <c r="F70" i="6"/>
  <c r="E70" i="6"/>
  <c r="D70" i="6"/>
  <c r="G69" i="6"/>
  <c r="F69" i="6"/>
  <c r="E69" i="6"/>
  <c r="D69" i="6"/>
  <c r="C69" i="6"/>
  <c r="G68" i="6"/>
  <c r="F68" i="6"/>
  <c r="E68" i="6"/>
  <c r="D68" i="6"/>
  <c r="C68" i="6"/>
  <c r="G67" i="6"/>
  <c r="F67" i="6"/>
  <c r="E67" i="6"/>
  <c r="D67" i="6"/>
  <c r="C67" i="6"/>
  <c r="G66" i="6"/>
  <c r="F66" i="6"/>
  <c r="E66" i="6"/>
  <c r="D66" i="6"/>
  <c r="C66" i="6"/>
  <c r="G65" i="6"/>
  <c r="F65" i="6"/>
  <c r="E65" i="6"/>
  <c r="D65" i="6"/>
  <c r="C65" i="6"/>
  <c r="G64" i="6"/>
  <c r="F64" i="6"/>
  <c r="E64" i="6"/>
  <c r="D64" i="6"/>
  <c r="C64" i="6"/>
  <c r="G63" i="6"/>
  <c r="F63" i="6"/>
  <c r="E63" i="6"/>
  <c r="D63" i="6"/>
  <c r="C63" i="6"/>
  <c r="G62" i="6"/>
  <c r="F62" i="6"/>
  <c r="E62" i="6"/>
  <c r="D62" i="6"/>
  <c r="C62" i="6"/>
  <c r="G61" i="6"/>
  <c r="F61" i="6"/>
  <c r="E61" i="6"/>
  <c r="D61" i="6"/>
  <c r="C61" i="6"/>
  <c r="G60" i="6"/>
  <c r="F60" i="6"/>
  <c r="E60" i="6"/>
  <c r="D60" i="6"/>
  <c r="C60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5" i="6"/>
  <c r="F55" i="6"/>
  <c r="E55" i="6"/>
  <c r="D55" i="6"/>
  <c r="C55" i="6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8" i="6"/>
  <c r="F48" i="6"/>
  <c r="E48" i="6"/>
  <c r="D48" i="6"/>
  <c r="C48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G6" i="6"/>
  <c r="F6" i="6"/>
  <c r="C6" i="6"/>
  <c r="C25" i="5" l="1"/>
  <c r="D25" i="5"/>
  <c r="E25" i="5"/>
  <c r="F25" i="5"/>
  <c r="G25" i="5"/>
  <c r="C38" i="5"/>
  <c r="D38" i="5"/>
  <c r="E38" i="5"/>
  <c r="F38" i="5"/>
  <c r="G38" i="5"/>
  <c r="G80" i="5"/>
  <c r="F80" i="5"/>
  <c r="E80" i="5"/>
  <c r="D80" i="5"/>
  <c r="C80" i="5"/>
  <c r="G79" i="5"/>
  <c r="F79" i="5"/>
  <c r="E79" i="5"/>
  <c r="D79" i="5"/>
  <c r="C79" i="5"/>
  <c r="G78" i="5"/>
  <c r="F78" i="5"/>
  <c r="E78" i="5"/>
  <c r="D78" i="5"/>
  <c r="C78" i="5"/>
  <c r="G77" i="5"/>
  <c r="F77" i="5"/>
  <c r="E77" i="5"/>
  <c r="D77" i="5"/>
  <c r="C77" i="5"/>
  <c r="G76" i="5"/>
  <c r="F76" i="5"/>
  <c r="E76" i="5"/>
  <c r="D76" i="5"/>
  <c r="C76" i="5"/>
  <c r="G75" i="5"/>
  <c r="F75" i="5"/>
  <c r="E75" i="5"/>
  <c r="D75" i="5"/>
  <c r="C75" i="5"/>
  <c r="G74" i="5"/>
  <c r="F74" i="5"/>
  <c r="E74" i="5"/>
  <c r="D74" i="5"/>
  <c r="C74" i="5"/>
  <c r="G73" i="5"/>
  <c r="F73" i="5"/>
  <c r="E73" i="5"/>
  <c r="D73" i="5"/>
  <c r="C73" i="5"/>
  <c r="G72" i="5"/>
  <c r="F72" i="5"/>
  <c r="E72" i="5"/>
  <c r="D72" i="5"/>
  <c r="C72" i="5"/>
  <c r="G71" i="5"/>
  <c r="F71" i="5"/>
  <c r="E71" i="5"/>
  <c r="D71" i="5"/>
  <c r="C71" i="5"/>
  <c r="G70" i="5"/>
  <c r="F70" i="5"/>
  <c r="E70" i="5"/>
  <c r="D70" i="5"/>
  <c r="G69" i="5"/>
  <c r="F69" i="5"/>
  <c r="E69" i="5"/>
  <c r="D69" i="5"/>
  <c r="C69" i="5"/>
  <c r="G68" i="5"/>
  <c r="F68" i="5"/>
  <c r="E68" i="5"/>
  <c r="D68" i="5"/>
  <c r="C68" i="5"/>
  <c r="G67" i="5"/>
  <c r="F67" i="5"/>
  <c r="E67" i="5"/>
  <c r="D67" i="5"/>
  <c r="C67" i="5"/>
  <c r="G66" i="5"/>
  <c r="F66" i="5"/>
  <c r="E66" i="5"/>
  <c r="D66" i="5"/>
  <c r="G65" i="5"/>
  <c r="F65" i="5"/>
  <c r="E65" i="5"/>
  <c r="D65" i="5"/>
  <c r="C65" i="5"/>
  <c r="G64" i="5"/>
  <c r="F64" i="5"/>
  <c r="E64" i="5"/>
  <c r="D64" i="5"/>
  <c r="C64" i="5"/>
  <c r="G63" i="5"/>
  <c r="F63" i="5"/>
  <c r="E63" i="5"/>
  <c r="D63" i="5"/>
  <c r="C63" i="5"/>
  <c r="G62" i="5"/>
  <c r="F62" i="5"/>
  <c r="E62" i="5"/>
  <c r="D62" i="5"/>
  <c r="C62" i="5"/>
  <c r="G61" i="5"/>
  <c r="F61" i="5"/>
  <c r="E61" i="5"/>
  <c r="D61" i="5"/>
  <c r="C61" i="5"/>
  <c r="G60" i="5"/>
  <c r="F60" i="5"/>
  <c r="E60" i="5"/>
  <c r="D60" i="5"/>
  <c r="C60" i="5"/>
  <c r="G59" i="5"/>
  <c r="F59" i="5"/>
  <c r="E59" i="5"/>
  <c r="D59" i="5"/>
  <c r="C59" i="5"/>
  <c r="G58" i="5"/>
  <c r="F58" i="5"/>
  <c r="E58" i="5"/>
  <c r="D58" i="5"/>
  <c r="C58" i="5"/>
  <c r="G57" i="5"/>
  <c r="F57" i="5"/>
  <c r="E57" i="5"/>
  <c r="D57" i="5"/>
  <c r="C57" i="5"/>
  <c r="G56" i="5"/>
  <c r="F56" i="5"/>
  <c r="E56" i="5"/>
  <c r="D56" i="5"/>
  <c r="C56" i="5"/>
  <c r="G55" i="5"/>
  <c r="F55" i="5"/>
  <c r="E55" i="5"/>
  <c r="D55" i="5"/>
  <c r="C55" i="5"/>
  <c r="G54" i="5"/>
  <c r="F54" i="5"/>
  <c r="E54" i="5"/>
  <c r="D54" i="5"/>
  <c r="C54" i="5"/>
  <c r="G53" i="5"/>
  <c r="F53" i="5"/>
  <c r="E53" i="5"/>
  <c r="D53" i="5"/>
  <c r="C53" i="5"/>
  <c r="G52" i="5"/>
  <c r="F52" i="5"/>
  <c r="E52" i="5"/>
  <c r="D52" i="5"/>
  <c r="C52" i="5"/>
  <c r="G51" i="5"/>
  <c r="F51" i="5"/>
  <c r="E51" i="5"/>
  <c r="D51" i="5"/>
  <c r="C51" i="5"/>
  <c r="G50" i="5"/>
  <c r="F50" i="5"/>
  <c r="E50" i="5"/>
  <c r="D50" i="5"/>
  <c r="C50" i="5"/>
  <c r="G49" i="5"/>
  <c r="F49" i="5"/>
  <c r="E49" i="5"/>
  <c r="D49" i="5"/>
  <c r="C49" i="5"/>
  <c r="G48" i="5"/>
  <c r="F48" i="5"/>
  <c r="E48" i="5"/>
  <c r="D48" i="5"/>
  <c r="C48" i="5"/>
  <c r="G47" i="5"/>
  <c r="F47" i="5"/>
  <c r="E47" i="5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E44" i="5"/>
  <c r="D44" i="5"/>
  <c r="C44" i="5"/>
  <c r="G43" i="5"/>
  <c r="F43" i="5"/>
  <c r="E43" i="5"/>
  <c r="D43" i="5"/>
  <c r="C43" i="5"/>
  <c r="G42" i="5"/>
  <c r="F42" i="5"/>
  <c r="E42" i="5"/>
  <c r="D42" i="5"/>
  <c r="G41" i="5"/>
  <c r="F41" i="5"/>
  <c r="E41" i="5"/>
  <c r="D41" i="5"/>
  <c r="C41" i="5"/>
  <c r="G40" i="5"/>
  <c r="F40" i="5"/>
  <c r="E40" i="5"/>
  <c r="D40" i="5"/>
  <c r="C40" i="5"/>
  <c r="G39" i="5"/>
  <c r="F39" i="5"/>
  <c r="E39" i="5"/>
  <c r="D39" i="5"/>
  <c r="C39" i="5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G34" i="5"/>
  <c r="F34" i="5"/>
  <c r="E34" i="5"/>
  <c r="D34" i="5"/>
  <c r="C34" i="5"/>
  <c r="G33" i="5"/>
  <c r="F33" i="5"/>
  <c r="E33" i="5"/>
  <c r="D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G8" i="5"/>
  <c r="F8" i="5"/>
  <c r="E8" i="5"/>
  <c r="D8" i="5"/>
  <c r="C8" i="5"/>
  <c r="G6" i="5"/>
  <c r="F6" i="5"/>
  <c r="C6" i="5"/>
  <c r="G122" i="2" l="1"/>
  <c r="F122" i="2"/>
  <c r="E122" i="2"/>
  <c r="D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C110" i="2"/>
  <c r="G109" i="2"/>
  <c r="F109" i="2"/>
  <c r="E109" i="2"/>
  <c r="D109" i="2"/>
  <c r="G108" i="2"/>
  <c r="F108" i="2"/>
  <c r="E108" i="2"/>
  <c r="D108" i="2"/>
  <c r="C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G44" i="2"/>
  <c r="F44" i="2"/>
  <c r="E44" i="2"/>
  <c r="D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5" i="2"/>
  <c r="F5" i="2"/>
  <c r="C5" i="2"/>
  <c r="G112" i="1" l="1"/>
  <c r="F112" i="1"/>
  <c r="E112" i="1"/>
  <c r="D112" i="1"/>
  <c r="C112" i="1"/>
  <c r="G111" i="1"/>
  <c r="F111" i="1"/>
  <c r="E111" i="1"/>
  <c r="D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G98" i="1"/>
  <c r="F98" i="1"/>
  <c r="E98" i="1"/>
  <c r="D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C77" i="1"/>
  <c r="G76" i="1"/>
  <c r="F76" i="1"/>
  <c r="E76" i="1"/>
  <c r="D76" i="1"/>
  <c r="G75" i="1"/>
  <c r="F75" i="1"/>
  <c r="E75" i="1"/>
  <c r="D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B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G31" i="1"/>
  <c r="F31" i="1"/>
  <c r="E31" i="1"/>
  <c r="D31" i="1"/>
  <c r="C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G26" i="1"/>
  <c r="F26" i="1"/>
  <c r="E26" i="1"/>
  <c r="D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5" i="1"/>
  <c r="F5" i="1"/>
  <c r="C5" i="1"/>
</calcChain>
</file>

<file path=xl/sharedStrings.xml><?xml version="1.0" encoding="utf-8"?>
<sst xmlns="http://schemas.openxmlformats.org/spreadsheetml/2006/main" count="812" uniqueCount="302">
  <si>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</si>
  <si>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</si>
  <si>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</si>
  <si>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</si>
  <si>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</si>
  <si>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</si>
  <si>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</si>
  <si>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</si>
  <si>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</si>
  <si>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</si>
  <si>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</si>
  <si>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</si>
  <si>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</si>
  <si>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</si>
  <si>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</si>
  <si>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</si>
  <si>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</si>
  <si>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</si>
  <si>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</si>
  <si>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</si>
  <si>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</si>
  <si>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</si>
  <si>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</si>
  <si>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</si>
  <si>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</si>
  <si>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</si>
  <si>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</si>
  <si>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</si>
  <si>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</si>
  <si>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</si>
  <si>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</si>
  <si>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</si>
  <si>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</si>
  <si>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</si>
  <si>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</si>
  <si>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</si>
  <si>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</si>
  <si>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</si>
  <si>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</si>
  <si>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</si>
  <si>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</si>
  <si>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</si>
  <si>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</si>
  <si>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</si>
  <si>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</si>
  <si>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</si>
  <si>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</si>
  <si>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</si>
  <si>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</si>
  <si>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</si>
  <si>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</si>
  <si>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</si>
  <si>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</si>
  <si>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</si>
  <si>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</si>
  <si>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</si>
  <si>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</si>
  <si>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</si>
  <si>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</si>
  <si>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</si>
  <si>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</si>
  <si>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</si>
  <si>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</si>
  <si>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</si>
  <si>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</si>
  <si>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</si>
  <si>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</si>
  <si>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</si>
  <si>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</si>
  <si>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</si>
  <si>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</si>
  <si>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</si>
  <si>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</si>
  <si>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</si>
  <si>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</si>
  <si>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</si>
  <si>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</si>
  <si>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</si>
  <si>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</si>
  <si>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</si>
  <si>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</si>
  <si>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</si>
  <si>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</si>
  <si>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</si>
  <si>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</si>
  <si>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</si>
  <si>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</si>
  <si>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</si>
  <si>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</si>
  <si>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</si>
  <si>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</si>
  <si>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</si>
  <si>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</si>
  <si>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</si>
  <si>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</si>
  <si>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</si>
  <si>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</si>
  <si>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</si>
  <si>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</si>
  <si>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</si>
  <si>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</si>
  <si>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</si>
  <si>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</si>
  <si>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</si>
  <si>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</si>
  <si>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</si>
  <si>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</si>
  <si>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</si>
  <si>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</si>
  <si>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</si>
  <si>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</si>
  <si>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</si>
  <si>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</si>
  <si>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</si>
  <si>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</si>
  <si>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</si>
  <si>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</si>
  <si>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</si>
  <si>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</si>
  <si>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</si>
  <si>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</si>
  <si>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</si>
  <si>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</si>
  <si>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</si>
  <si>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</si>
  <si>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</si>
  <si>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</si>
  <si>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</si>
  <si>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</si>
  <si>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</si>
  <si>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</si>
  <si>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</si>
  <si>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</si>
  <si>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</si>
  <si>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</si>
  <si>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</si>
  <si>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</si>
  <si>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</si>
  <si>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</si>
  <si>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</si>
  <si>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</si>
  <si>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</si>
  <si>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</si>
  <si>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</si>
  <si>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Insulele Feroe</t>
  </si>
  <si>
    <t>Antigua şi Barbuda</t>
  </si>
  <si>
    <t>Insulele Folkland</t>
  </si>
  <si>
    <t>Laos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</si>
  <si>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</si>
  <si>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</si>
  <si>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</si>
  <si>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</si>
  <si>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</si>
  <si>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</si>
  <si>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</si>
  <si>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</si>
  <si>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</si>
  <si>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</si>
  <si>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</si>
  <si>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</si>
  <si>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</si>
  <si>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</si>
  <si>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</si>
  <si>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</si>
  <si>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</si>
  <si>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</si>
  <si>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</si>
  <si>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</si>
  <si>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</si>
  <si>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</si>
  <si>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</si>
  <si>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</si>
  <si>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Mauritius</t>
  </si>
  <si>
    <t>Kosovo</t>
  </si>
  <si>
    <t>Ghana</t>
  </si>
  <si>
    <t>Montenegro</t>
  </si>
  <si>
    <t>Paraguay</t>
  </si>
  <si>
    <t>Guatemala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</si>
  <si>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</si>
  <si>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</si>
  <si>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</si>
  <si>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</si>
  <si>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</si>
  <si>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</si>
  <si>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</si>
  <si>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</si>
  <si>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</si>
  <si>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</si>
  <si>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</si>
  <si>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</si>
  <si>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</si>
  <si>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</si>
  <si>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</si>
  <si>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</si>
  <si>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</si>
  <si>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</si>
  <si>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</si>
  <si>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</si>
  <si>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</si>
  <si>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</si>
  <si>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</si>
  <si>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</si>
  <si>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</si>
  <si>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</si>
  <si>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</si>
  <si>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</si>
  <si>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</si>
  <si>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</si>
  <si>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</si>
  <si>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</si>
  <si>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</si>
  <si>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</si>
  <si>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</si>
  <si>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</si>
  <si>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</si>
  <si>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</si>
  <si>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</si>
  <si>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</si>
  <si>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</si>
  <si>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</si>
  <si>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</si>
  <si>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</si>
  <si>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</si>
  <si>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</si>
  <si>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</si>
  <si>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</si>
  <si>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</si>
  <si>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</si>
  <si>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</si>
  <si>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</si>
  <si>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</si>
  <si>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</si>
  <si>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</si>
  <si>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</si>
  <si>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</si>
  <si>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</si>
  <si>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</si>
  <si>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</si>
  <si>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</si>
  <si>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</si>
  <si>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</si>
  <si>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moduri de transport a mărfurilor și grupe de ţări 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</si>
  <si>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moduri de transport a mărfurilor și grupe de ţări </t>
    </r>
  </si>
  <si>
    <t>Țările CSI - total</t>
  </si>
  <si>
    <t>Republica Dominicană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</si>
  <si>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</si>
  <si>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</si>
  <si>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</si>
  <si>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</si>
  <si>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</si>
  <si>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Nepal</t>
  </si>
  <si>
    <t>Algeria</t>
  </si>
  <si>
    <t>BALANŢA COMERCIALĂ – total, mii dolari SUA</t>
  </si>
  <si>
    <t>Bosnia şi Hertegovina</t>
  </si>
  <si>
    <t>de 2,5 ori</t>
  </si>
  <si>
    <t>de 5,7 ori</t>
  </si>
  <si>
    <t>Celelalte țări ale lumii</t>
  </si>
  <si>
    <t>Ţările Uniunii Europene (UE 27) - total</t>
  </si>
  <si>
    <t>Bolivia</t>
  </si>
  <si>
    <t>Congo</t>
  </si>
  <si>
    <t>Angola</t>
  </si>
  <si>
    <t>de 2,4 ori</t>
  </si>
  <si>
    <t>Libia</t>
  </si>
  <si>
    <t>Honduras</t>
  </si>
  <si>
    <t>Nicaragua</t>
  </si>
  <si>
    <t>El Salvador</t>
  </si>
  <si>
    <t>Coreea de Nord</t>
  </si>
  <si>
    <t>Barbados</t>
  </si>
  <si>
    <t>de 5,2 ori</t>
  </si>
  <si>
    <t>Kuwait</t>
  </si>
  <si>
    <t>de 4,8 ori</t>
  </si>
  <si>
    <t>de 3,9 ori</t>
  </si>
  <si>
    <t>de 23,8 ori</t>
  </si>
  <si>
    <t>de 5,9 ori</t>
  </si>
  <si>
    <t>de 6,0 ori</t>
  </si>
  <si>
    <t>în % faţă de 2019¹</t>
  </si>
  <si>
    <t>2020                              în % faţă de            2019¹</t>
  </si>
  <si>
    <t>mii dolari SUA</t>
  </si>
  <si>
    <t>de 3,6 ori</t>
  </si>
  <si>
    <t>de 66,7 ori</t>
  </si>
  <si>
    <t>de 5,8 ori</t>
  </si>
  <si>
    <t>Insulele Georgia si Sandwich de Sud</t>
  </si>
  <si>
    <t>de 5,0 ori</t>
  </si>
  <si>
    <t>de 4,7 ori</t>
  </si>
  <si>
    <t>de 2,8 ori</t>
  </si>
  <si>
    <t>de 29,4 ori</t>
  </si>
  <si>
    <t>de 13,9 ori</t>
  </si>
  <si>
    <t>de 34,6 ori</t>
  </si>
  <si>
    <t>Franța</t>
  </si>
  <si>
    <t>Croația</t>
  </si>
  <si>
    <t>Federația Rusă</t>
  </si>
  <si>
    <t>Regatul Unit al Marii Britanii și Irlandei de Nord</t>
  </si>
  <si>
    <t>Insulele Georgia și Sandwich de Sud</t>
  </si>
  <si>
    <t>Bosnia și Hertegovina</t>
  </si>
  <si>
    <t>Antigua și Barbuda</t>
  </si>
  <si>
    <t>Trinidad Tobago</t>
  </si>
  <si>
    <t>Gabon</t>
  </si>
  <si>
    <t>Somalia</t>
  </si>
  <si>
    <t>Elveția</t>
  </si>
  <si>
    <t>de 26,1 ori</t>
  </si>
  <si>
    <t>de 8,1 ori</t>
  </si>
  <si>
    <t>de 4,3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</si>
</sst>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30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0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/>
    <xf numFmtId="4" fontId="26" fillId="0" borderId="0" xfId="0" applyNumberFormat="1" applyFont="1" applyAlignment="1">
      <alignment horizontal="right" vertical="top"/>
    </xf>
    <xf numFmtId="4" fontId="24" fillId="0" borderId="0" xfId="0" applyNumberFormat="1" applyFont="1" applyFill="1" applyAlignment="1" applyProtection="1">
      <alignment horizontal="right" vertical="top" inden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4" fontId="26" fillId="0" borderId="0" xfId="0" applyNumberFormat="1" applyFont="1" applyAlignment="1">
      <alignment horizontal="right" vertical="top" indent="2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Fill="1" applyAlignment="1" applyProtection="1">
      <alignment horizontal="right" vertical="top" wrapText="1" indent="1"/>
    </xf>
    <xf numFmtId="4" fontId="24" fillId="0" borderId="0" xfId="0" applyNumberFormat="1" applyFont="1" applyFill="1" applyBorder="1" applyAlignment="1" applyProtection="1">
      <alignment horizontal="right" vertical="top" wrapText="1" indent="1"/>
    </xf>
    <xf numFmtId="4" fontId="24" fillId="0" borderId="0" xfId="0" applyNumberFormat="1" applyFont="1" applyFill="1" applyBorder="1" applyAlignment="1" applyProtection="1">
      <alignment horizontal="right" vertical="top" indent="1"/>
    </xf>
    <xf numFmtId="0" fontId="3" fillId="0" borderId="1" xfId="0" applyFont="1" applyBorder="1" applyAlignment="1">
      <alignment horizontal="center" wrapText="1"/>
    </xf>
    <xf numFmtId="4" fontId="28" fillId="0" borderId="0" xfId="0" applyNumberFormat="1" applyFont="1" applyAlignment="1">
      <alignment horizontal="right" vertical="top" wrapText="1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 indent="1"/>
    </xf>
    <xf numFmtId="165" fontId="9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38" fontId="11" fillId="0" borderId="0" xfId="0" applyNumberFormat="1" applyFont="1" applyFill="1" applyBorder="1" applyAlignment="1" applyProtection="1">
      <alignment horizontal="left" vertical="top" wrapText="1"/>
    </xf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27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4" fontId="27" fillId="0" borderId="0" xfId="0" applyNumberFormat="1" applyFont="1" applyFill="1" applyAlignment="1" applyProtection="1">
      <alignment horizontal="right" vertical="top"/>
    </xf>
    <xf numFmtId="4" fontId="2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11" fillId="0" borderId="3" xfId="0" applyNumberFormat="1" applyFont="1" applyBorder="1" applyAlignment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wrapTex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Fill="1" applyBorder="1" applyAlignment="1" applyProtection="1">
      <alignment horizontal="right" vertical="top" wrapText="1"/>
    </xf>
    <xf numFmtId="4" fontId="9" fillId="0" borderId="0" xfId="0" applyNumberFormat="1" applyFont="1" applyBorder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25" fillId="0" borderId="0" xfId="0" applyNumberFormat="1" applyFont="1" applyAlignment="1">
      <alignment horizontal="right" vertical="top"/>
    </xf>
    <xf numFmtId="4" fontId="25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3"/>
  <sheetViews>
    <sheetView tabSelected="1" zoomScaleNormal="100" workbookViewId="0">
      <selection activeCell="K24" sqref="K24"/>
    </sheetView>
  </sheetViews>
  <sheetFormatPr defaultRowHeight="15.75" x14ac:dyDescent="0.25"/>
  <cols>
    <col min="1" max="1" width="28" style="9" customWidth="1"/>
    <col min="2" max="2" width="13.125" style="9" customWidth="1"/>
    <col min="3" max="3" width="11.2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91" t="s">
        <v>155</v>
      </c>
      <c r="B1" s="91"/>
      <c r="C1" s="91"/>
      <c r="D1" s="91"/>
      <c r="E1" s="91"/>
      <c r="F1" s="91"/>
      <c r="G1" s="91"/>
    </row>
    <row r="3" spans="1:7" ht="54" customHeight="1" x14ac:dyDescent="0.25">
      <c r="A3" s="92"/>
      <c r="B3" s="94">
        <v>2020</v>
      </c>
      <c r="C3" s="95"/>
      <c r="D3" s="94" t="s">
        <v>109</v>
      </c>
      <c r="E3" s="95"/>
      <c r="F3" s="96" t="s">
        <v>1</v>
      </c>
      <c r="G3" s="97"/>
    </row>
    <row r="4" spans="1:7" ht="28.5" customHeight="1" x14ac:dyDescent="0.25">
      <c r="A4" s="93"/>
      <c r="B4" s="41" t="s">
        <v>100</v>
      </c>
      <c r="C4" s="41" t="s">
        <v>275</v>
      </c>
      <c r="D4" s="22">
        <v>2019</v>
      </c>
      <c r="E4" s="22">
        <v>2020</v>
      </c>
      <c r="F4" s="22" t="s">
        <v>121</v>
      </c>
      <c r="G4" s="19" t="s">
        <v>139</v>
      </c>
    </row>
    <row r="5" spans="1:7" ht="15.75" customHeight="1" x14ac:dyDescent="0.25">
      <c r="A5" s="51" t="s">
        <v>101</v>
      </c>
      <c r="B5" s="52">
        <v>2485159.9447400002</v>
      </c>
      <c r="C5" s="53">
        <f>IF(2779164.46518="","-",2485159.94474/2779164.46518*100)</f>
        <v>89.421118320863471</v>
      </c>
      <c r="D5" s="53">
        <v>100</v>
      </c>
      <c r="E5" s="53">
        <v>100</v>
      </c>
      <c r="F5" s="53">
        <f>IF(2706173.30142="","-",(2779164.46518-2706173.30142)/2706173.30142*100)</f>
        <v>2.6972095143241392</v>
      </c>
      <c r="G5" s="53">
        <f>IF(2779164.46518="","-",(2485159.94474-2779164.46518)/2779164.46518*100)</f>
        <v>-10.578881679136527</v>
      </c>
    </row>
    <row r="6" spans="1:7" ht="15.75" customHeight="1" x14ac:dyDescent="0.25">
      <c r="A6" s="33" t="s">
        <v>136</v>
      </c>
      <c r="B6" s="28"/>
      <c r="C6" s="45"/>
      <c r="D6" s="45"/>
      <c r="E6" s="45"/>
      <c r="F6" s="45"/>
      <c r="G6" s="45"/>
    </row>
    <row r="7" spans="1:7" ht="15.75" customHeight="1" x14ac:dyDescent="0.25">
      <c r="A7" s="34" t="s">
        <v>165</v>
      </c>
      <c r="B7" s="54">
        <v>1658388.67407</v>
      </c>
      <c r="C7" s="55">
        <f>IF(1780612.26129="","-",1658388.67407/1780612.26129*100)</f>
        <v>93.135867371178676</v>
      </c>
      <c r="D7" s="55">
        <f>IF(1780612.26129="","-",1780612.26129/2779164.46518*100)</f>
        <v>64.070057155637755</v>
      </c>
      <c r="E7" s="55">
        <f>IF(1658388.67407="","-",1658388.67407/2485159.94474*100)</f>
        <v>66.731667616810171</v>
      </c>
      <c r="F7" s="55">
        <f>IF(2706173.30142="","-",(1780612.26129-1783044.51715)/2706173.30142*100)</f>
        <v>-8.9878052478148729E-2</v>
      </c>
      <c r="G7" s="55">
        <f>IF(2779164.46518="","-",(1658388.67407-1780612.26129)/2779164.46518*100)</f>
        <v>-4.3978536985246022</v>
      </c>
    </row>
    <row r="8" spans="1:7" ht="15.75" customHeight="1" x14ac:dyDescent="0.25">
      <c r="A8" s="56" t="s">
        <v>2</v>
      </c>
      <c r="B8" s="57">
        <v>706697.54758999997</v>
      </c>
      <c r="C8" s="58">
        <f>IF(OR(765414.78791="",706697.54759=""),"-",706697.54759/765414.78791*100)</f>
        <v>92.328703175394594</v>
      </c>
      <c r="D8" s="58">
        <f>IF(765414.78791="","-",765414.78791/2779164.46518*100)</f>
        <v>27.541183600317293</v>
      </c>
      <c r="E8" s="58">
        <f>IF(706697.54759="","-",706697.54759/2485159.94474*100)</f>
        <v>28.436702799985593</v>
      </c>
      <c r="F8" s="58">
        <f>IF(OR(2706173.30142="",792137.25516="",765414.78791=""),"-",(765414.78791-792137.25516)/2706173.30142*100)</f>
        <v>-0.98746326541533791</v>
      </c>
      <c r="G8" s="58">
        <f>IF(OR(2779164.46518="",706697.54759="",765414.78791=""),"-",(706697.54759-765414.78791)/2779164.46518*100)</f>
        <v>-2.112765942989884</v>
      </c>
    </row>
    <row r="9" spans="1:7" ht="15.75" customHeight="1" x14ac:dyDescent="0.25">
      <c r="A9" s="56" t="s">
        <v>4</v>
      </c>
      <c r="B9" s="57">
        <v>225608.56787999999</v>
      </c>
      <c r="C9" s="58">
        <f>IF(OR(245960.38245="",225608.56788=""),"-",225608.56788/245960.38245*100)</f>
        <v>91.725572074951046</v>
      </c>
      <c r="D9" s="58">
        <f>IF(245960.38245="","-",245960.38245/2779164.46518*100)</f>
        <v>8.8501557044077188</v>
      </c>
      <c r="E9" s="58">
        <f>IF(225608.56788="","-",225608.56788/2485159.94474*100)</f>
        <v>9.0782312968432848</v>
      </c>
      <c r="F9" s="58">
        <f>IF(OR(2706173.30142="",219902.73735="",245960.38245=""),"-",(245960.38245-219902.73735)/2706173.30142*100)</f>
        <v>0.96289639271538408</v>
      </c>
      <c r="G9" s="58">
        <f>IF(OR(2779164.46518="",225608.56788="",245960.38245=""),"-",(225608.56788-245960.38245)/2779164.46518*100)</f>
        <v>-0.73229975501582556</v>
      </c>
    </row>
    <row r="10" spans="1:7" ht="13.5" customHeight="1" x14ac:dyDescent="0.25">
      <c r="A10" s="56" t="s">
        <v>3</v>
      </c>
      <c r="B10" s="57">
        <v>213714.59426000001</v>
      </c>
      <c r="C10" s="58">
        <f>IF(OR(267051.6788="",213714.59426=""),"-",213714.59426/267051.6788*100)</f>
        <v>80.027429604760087</v>
      </c>
      <c r="D10" s="58">
        <f>IF(267051.6788="","-",267051.6788/2779164.46518*100)</f>
        <v>9.6090635205607988</v>
      </c>
      <c r="E10" s="58">
        <f>IF(213714.59426="","-",213714.59426/2485159.94474*100)</f>
        <v>8.599631372312297</v>
      </c>
      <c r="F10" s="58">
        <f>IF(OR(2706173.30142="",309606.99167="",267051.6788=""),"-",(267051.6788-309606.99167)/2706173.30142*100)</f>
        <v>-1.572527260086046</v>
      </c>
      <c r="G10" s="58">
        <f>IF(OR(2779164.46518="",213714.59426="",267051.6788=""),"-",(213714.59426-267051.6788)/2779164.46518*100)</f>
        <v>-1.9191769759673243</v>
      </c>
    </row>
    <row r="11" spans="1:7" ht="15.75" customHeight="1" x14ac:dyDescent="0.25">
      <c r="A11" s="56" t="s">
        <v>5</v>
      </c>
      <c r="B11" s="57">
        <v>109763.99893</v>
      </c>
      <c r="C11" s="58">
        <f>IF(OR(113039.83757="",109763.99893=""),"-",109763.99893/113039.83757*100)</f>
        <v>97.10204940981852</v>
      </c>
      <c r="D11" s="58">
        <f>IF(113039.83757="","-",113039.83757/2779164.46518*100)</f>
        <v>4.0674036742434634</v>
      </c>
      <c r="E11" s="58">
        <f>IF(109763.99893="","-",109763.99893/2485159.94474*100)</f>
        <v>4.416778049329281</v>
      </c>
      <c r="F11" s="58">
        <f>IF(OR(2706173.30142="",98055.76385="",113039.83757=""),"-",(113039.83757-98055.76385)/2706173.30142*100)</f>
        <v>0.55369970992387896</v>
      </c>
      <c r="G11" s="58">
        <f>IF(OR(2779164.46518="",109763.99893="",113039.83757=""),"-",(109763.99893-113039.83757)/2779164.46518*100)</f>
        <v>-0.11787134878280166</v>
      </c>
    </row>
    <row r="12" spans="1:7" s="14" customFormat="1" x14ac:dyDescent="0.25">
      <c r="A12" s="56" t="s">
        <v>7</v>
      </c>
      <c r="B12" s="57">
        <v>80461.432310000004</v>
      </c>
      <c r="C12" s="58">
        <f>IF(OR(64817.8432="",80461.43231=""),"-",80461.43231/64817.8432*100)</f>
        <v>124.13469553704618</v>
      </c>
      <c r="D12" s="58">
        <f>IF(64817.8432="","-",64817.8432/2779164.46518*100)</f>
        <v>2.3322780645801724</v>
      </c>
      <c r="E12" s="58">
        <f>IF(80461.43231="","-",80461.43231/2485159.94474*100)</f>
        <v>3.2376762099478449</v>
      </c>
      <c r="F12" s="58">
        <f>IF(OR(2706173.30142="",42723.27087="",64817.8432=""),"-",(64817.8432-42723.27087)/2706173.30142*100)</f>
        <v>0.81645075422207458</v>
      </c>
      <c r="G12" s="58">
        <f>IF(OR(2779164.46518="",80461.43231="",64817.8432=""),"-",(80461.43231-64817.8432)/2779164.46518*100)</f>
        <v>0.56288820996373823</v>
      </c>
    </row>
    <row r="13" spans="1:7" s="14" customFormat="1" x14ac:dyDescent="0.25">
      <c r="A13" s="56" t="s">
        <v>6</v>
      </c>
      <c r="B13" s="57">
        <v>58158.276160000001</v>
      </c>
      <c r="C13" s="58">
        <f>IF(OR(62957.59931="",58158.27616=""),"-",58158.27616/62957.59931*100)</f>
        <v>92.376896192676639</v>
      </c>
      <c r="D13" s="58">
        <f>IF(62957.59931="","-",62957.59931/2779164.46518*100)</f>
        <v>2.265342699174242</v>
      </c>
      <c r="E13" s="58">
        <f>IF(58158.27616="","-",58158.27616/2485159.94474*100)</f>
        <v>2.3402226598370746</v>
      </c>
      <c r="F13" s="58">
        <f>IF(OR(2706173.30142="",48413.00075="",62957.59931=""),"-",(62957.59931-48413.00075)/2706173.30142*100)</f>
        <v>0.53745998278706197</v>
      </c>
      <c r="G13" s="58">
        <f>IF(OR(2779164.46518="",58158.27616="",62957.59931=""),"-",(58158.27616-62957.59931)/2779164.46518*100)</f>
        <v>-0.17268942554967348</v>
      </c>
    </row>
    <row r="14" spans="1:7" s="14" customFormat="1" x14ac:dyDescent="0.25">
      <c r="A14" s="56" t="s">
        <v>10</v>
      </c>
      <c r="B14" s="57">
        <v>53958.124179999999</v>
      </c>
      <c r="C14" s="58">
        <f>IF(OR(37885.94716="",53958.12418=""),"-",53958.12418/37885.94716*100)</f>
        <v>142.42252926163874</v>
      </c>
      <c r="D14" s="58">
        <f>IF(37885.94716="","-",37885.94716/2779164.46518*100)</f>
        <v>1.3632135713690561</v>
      </c>
      <c r="E14" s="58">
        <f>IF(53958.12418="","-",53958.12418/2485159.94474*100)</f>
        <v>2.1712133375642808</v>
      </c>
      <c r="F14" s="58">
        <f>IF(OR(2706173.30142="",37495.8782="",37885.94716=""),"-",(37885.94716-37495.8782)/2706173.30142*100)</f>
        <v>1.4414042138222441E-2</v>
      </c>
      <c r="G14" s="58">
        <f>IF(OR(2779164.46518="",53958.12418="",37885.94716=""),"-",(53958.12418-37885.94716)/2779164.46518*100)</f>
        <v>0.57830967621266849</v>
      </c>
    </row>
    <row r="15" spans="1:7" s="14" customFormat="1" x14ac:dyDescent="0.25">
      <c r="A15" s="56" t="s">
        <v>41</v>
      </c>
      <c r="B15" s="57">
        <v>34662.539349999999</v>
      </c>
      <c r="C15" s="58">
        <f>IF(OR(38145.47781="",34662.53935=""),"-",34662.53935/38145.47781*100)</f>
        <v>90.869328004361947</v>
      </c>
      <c r="D15" s="58">
        <f>IF(38145.47781="","-",38145.47781/2779164.46518*100)</f>
        <v>1.3725520129493094</v>
      </c>
      <c r="E15" s="58">
        <f>IF(34662.53935="","-",34662.53935/2485159.94474*100)</f>
        <v>1.3947810249946075</v>
      </c>
      <c r="F15" s="58">
        <f>IF(OR(2706173.30142="",25558.1734="",38145.47781=""),"-",(38145.47781-25558.1734)/2706173.30142*100)</f>
        <v>0.46513297590346891</v>
      </c>
      <c r="G15" s="58">
        <f>IF(OR(2779164.46518="",34662.53935="",38145.47781=""),"-",(34662.53935-38145.47781)/2779164.46518*100)</f>
        <v>-0.12532322227192899</v>
      </c>
    </row>
    <row r="16" spans="1:7" s="14" customFormat="1" x14ac:dyDescent="0.25">
      <c r="A16" s="56" t="s">
        <v>123</v>
      </c>
      <c r="B16" s="57">
        <v>29629.168829999999</v>
      </c>
      <c r="C16" s="58">
        <f>IF(OR(36009.6745="",29629.16883=""),"-",29629.16883/36009.6745*100)</f>
        <v>82.281134837805865</v>
      </c>
      <c r="D16" s="58">
        <f>IF(36009.6745="","-",36009.6745/2779164.46518*100)</f>
        <v>1.2957014581599344</v>
      </c>
      <c r="E16" s="58">
        <f>IF(29629.16883="","-",29629.16883/2485159.94474*100)</f>
        <v>1.192243939578699</v>
      </c>
      <c r="F16" s="58">
        <f>IF(OR(2706173.30142="",48358.65056="",36009.6745=""),"-",(36009.6745-48358.65056)/2706173.30142*100)</f>
        <v>-0.45632613600615196</v>
      </c>
      <c r="G16" s="58">
        <f>IF(OR(2779164.46518="",29629.16883="",36009.6745=""),"-",(29629.16883-36009.6745)/2779164.46518*100)</f>
        <v>-0.22958359427594191</v>
      </c>
    </row>
    <row r="17" spans="1:7" s="14" customFormat="1" x14ac:dyDescent="0.25">
      <c r="A17" s="56" t="s">
        <v>43</v>
      </c>
      <c r="B17" s="57">
        <v>27269.749169999999</v>
      </c>
      <c r="C17" s="58" t="s">
        <v>261</v>
      </c>
      <c r="D17" s="58">
        <f>IF(11132.94197="","-",11132.94197/2779164.46518*100)</f>
        <v>0.40058593543073912</v>
      </c>
      <c r="E17" s="58">
        <f>IF(27269.74917="","-",27269.74917/2485159.94474*100)</f>
        <v>1.0973035851361665</v>
      </c>
      <c r="F17" s="58">
        <f>IF(OR(2706173.30142="",8233.02862="",11132.94197=""),"-",(11132.94197-8233.02862)/2706173.30142*100)</f>
        <v>0.10715918852936507</v>
      </c>
      <c r="G17" s="58">
        <f>IF(OR(2779164.46518="",27269.74917="",11132.94197=""),"-",(27269.74917-11132.94197)/2779164.46518*100)</f>
        <v>0.58063520177294936</v>
      </c>
    </row>
    <row r="18" spans="1:7" s="16" customFormat="1" x14ac:dyDescent="0.25">
      <c r="A18" s="56" t="s">
        <v>9</v>
      </c>
      <c r="B18" s="57">
        <v>27039.618269999999</v>
      </c>
      <c r="C18" s="58">
        <f>IF(OR(39276.09025="",27039.61827=""),"-",27039.61827/39276.09025*100)</f>
        <v>68.844984564114043</v>
      </c>
      <c r="D18" s="58">
        <f>IF(39276.09025="","-",39276.09025/2779164.46518*100)</f>
        <v>1.413233752161414</v>
      </c>
      <c r="E18" s="58">
        <f>IF(27039.61827="","-",27039.61827/2485159.94474*100)</f>
        <v>1.0880433803559033</v>
      </c>
      <c r="F18" s="58">
        <f>IF(OR(2706173.30142="",37443.4421="",39276.09025=""),"-",(39276.09025-37443.4421)/2706173.30142*100)</f>
        <v>6.7721019531098117E-2</v>
      </c>
      <c r="G18" s="58">
        <f>IF(OR(2779164.46518="",27039.61827="",39276.09025=""),"-",(27039.61827-39276.09025)/2779164.46518*100)</f>
        <v>-0.4402931936310388</v>
      </c>
    </row>
    <row r="19" spans="1:7" s="14" customFormat="1" x14ac:dyDescent="0.25">
      <c r="A19" s="56" t="s">
        <v>8</v>
      </c>
      <c r="B19" s="57">
        <v>22723.78932</v>
      </c>
      <c r="C19" s="58">
        <f>IF(OR(30987.65914="",22723.78932=""),"-",22723.78932/30987.65914*100)</f>
        <v>73.331738991111166</v>
      </c>
      <c r="D19" s="58">
        <f>IF(30987.65914="","-",30987.65914/2779164.46518*100)</f>
        <v>1.1149991131594654</v>
      </c>
      <c r="E19" s="58">
        <f>IF(22723.78932="","-",22723.78932/2485159.94474*100)</f>
        <v>0.91437934882607264</v>
      </c>
      <c r="F19" s="58">
        <f>IF(OR(2706173.30142="",39351.95228="",30987.65914=""),"-",(30987.65914-39351.95228)/2706173.30142*100)</f>
        <v>-0.3090819473982333</v>
      </c>
      <c r="G19" s="58">
        <f>IF(OR(2779164.46518="",22723.78932="",30987.65914=""),"-",(22723.78932-30987.65914)/2779164.46518*100)</f>
        <v>-0.29735087374416214</v>
      </c>
    </row>
    <row r="20" spans="1:7" s="14" customFormat="1" x14ac:dyDescent="0.25">
      <c r="A20" s="56" t="s">
        <v>42</v>
      </c>
      <c r="B20" s="57">
        <v>12523.742459999999</v>
      </c>
      <c r="C20" s="58">
        <f>IF(OR(13368.89815="",12523.74246=""),"-",12523.74246/13368.89815*100)</f>
        <v>93.67819486305234</v>
      </c>
      <c r="D20" s="58">
        <f>IF(13368.89815="","-",13368.89815/2779164.46518*100)</f>
        <v>0.48104019454401487</v>
      </c>
      <c r="E20" s="58">
        <f>IF(12523.74246="","-",12523.74246/2485159.94474*100)</f>
        <v>0.50394110393205471</v>
      </c>
      <c r="F20" s="58">
        <f>IF(OR(2706173.30142="",14754.73939="",13368.89815=""),"-",(13368.89815-14754.73939)/2706173.30142*100)</f>
        <v>-5.1210365547277127E-2</v>
      </c>
      <c r="G20" s="58">
        <f>IF(OR(2779164.46518="",12523.74246="",13368.89815=""),"-",(12523.74246-13368.89815)/2779164.46518*100)</f>
        <v>-3.0410423729466573E-2</v>
      </c>
    </row>
    <row r="21" spans="1:7" s="14" customFormat="1" x14ac:dyDescent="0.25">
      <c r="A21" s="56" t="s">
        <v>48</v>
      </c>
      <c r="B21" s="57">
        <v>10139.709419999999</v>
      </c>
      <c r="C21" s="58">
        <f>IF(OR(9666.2654="",10139.70942=""),"-",10139.70942/9666.2654*100)</f>
        <v>104.89790007214161</v>
      </c>
      <c r="D21" s="58">
        <f>IF(9666.2654="","-",9666.2654/2779164.46518*100)</f>
        <v>0.34781192409114725</v>
      </c>
      <c r="E21" s="58">
        <f>IF(10139.70942="","-",10139.70942/2485159.94474*100)</f>
        <v>0.40801033516821894</v>
      </c>
      <c r="F21" s="58">
        <f>IF(OR(2706173.30142="",10551.52967="",9666.2654=""),"-",(9666.2654-10551.52967)/2706173.30142*100)</f>
        <v>-3.2712770816838613E-2</v>
      </c>
      <c r="G21" s="58">
        <f>IF(OR(2779164.46518="",10139.70942="",9666.2654=""),"-",(10139.70942-9666.2654)/2779164.46518*100)</f>
        <v>1.7035480480977406E-2</v>
      </c>
    </row>
    <row r="22" spans="1:7" s="14" customFormat="1" x14ac:dyDescent="0.25">
      <c r="A22" s="56" t="s">
        <v>45</v>
      </c>
      <c r="B22" s="57">
        <v>10049.74265</v>
      </c>
      <c r="C22" s="58">
        <f>IF(OR(12513.70102="",10049.74265=""),"-",10049.74265/12513.70102*100)</f>
        <v>80.309914979892966</v>
      </c>
      <c r="D22" s="58">
        <f>IF(12513.70102="","-",12513.70102/2779164.46518*100)</f>
        <v>0.45026845934393156</v>
      </c>
      <c r="E22" s="58">
        <f>IF(10049.74265="","-",10049.74265/2485159.94474*100)</f>
        <v>0.40439017501754448</v>
      </c>
      <c r="F22" s="58">
        <f>IF(OR(2706173.30142="",17526.75276="",12513.70102=""),"-",(12513.70102-17526.75276)/2706173.30142*100)</f>
        <v>-0.1852450372402063</v>
      </c>
      <c r="G22" s="58">
        <f>IF(OR(2779164.46518="",10049.74265="",12513.70102=""),"-",(10049.74265-12513.70102)/2779164.46518*100)</f>
        <v>-8.8658242463546172E-2</v>
      </c>
    </row>
    <row r="23" spans="1:7" s="14" customFormat="1" x14ac:dyDescent="0.25">
      <c r="A23" s="56" t="s">
        <v>52</v>
      </c>
      <c r="B23" s="57">
        <v>9251.7158500000005</v>
      </c>
      <c r="C23" s="58">
        <f>IF(OR(8274.15075="",9251.71585=""),"-",9251.71585/8274.15075*100)</f>
        <v>111.81468805121781</v>
      </c>
      <c r="D23" s="58">
        <f>IF(8274.15075="","-",8274.15075/2779164.46518*100)</f>
        <v>0.29772080255293937</v>
      </c>
      <c r="E23" s="58">
        <f>IF(9251.71585="","-",9251.71585/2485159.94474*100)</f>
        <v>0.37227848732963242</v>
      </c>
      <c r="F23" s="58">
        <f>IF(OR(2706173.30142="",9375.33506="",8274.15075=""),"-",(8274.15075-9375.33506)/2706173.30142*100)</f>
        <v>-4.0691566553486373E-2</v>
      </c>
      <c r="G23" s="58">
        <f>IF(OR(2779164.46518="",9251.71585="",8274.15075=""),"-",(9251.71585-8274.15075)/2779164.46518*100)</f>
        <v>3.5174784085211928E-2</v>
      </c>
    </row>
    <row r="24" spans="1:7" s="14" customFormat="1" x14ac:dyDescent="0.25">
      <c r="A24" s="56" t="s">
        <v>44</v>
      </c>
      <c r="B24" s="57">
        <v>7698.8017799999998</v>
      </c>
      <c r="C24" s="58">
        <f>IF(OR(8472.4664="",7698.80178=""),"-",7698.80178/8472.4664*100)</f>
        <v>90.86848405795979</v>
      </c>
      <c r="D24" s="58">
        <f>IF(8472.4664="","-",8472.4664/2779164.46518*100)</f>
        <v>0.30485660370773549</v>
      </c>
      <c r="E24" s="58">
        <f>IF(7698.80178="","-",7698.80178/2485159.94474*100)</f>
        <v>0.30979099740823546</v>
      </c>
      <c r="F24" s="58">
        <f>IF(OR(2706173.30142="",9005.51064="",8472.4664=""),"-",(8472.4664-9005.51064)/2706173.30142*100)</f>
        <v>-1.9697343097735048E-2</v>
      </c>
      <c r="G24" s="58">
        <f>IF(OR(2779164.46518="",7698.80178="",8472.4664=""),"-",(7698.80178-8472.4664)/2779164.46518*100)</f>
        <v>-2.783802936793419E-2</v>
      </c>
    </row>
    <row r="25" spans="1:7" s="9" customFormat="1" x14ac:dyDescent="0.25">
      <c r="A25" s="56" t="s">
        <v>46</v>
      </c>
      <c r="B25" s="57">
        <v>7399.2091</v>
      </c>
      <c r="C25" s="58">
        <f>IF(OR(7489.29676="",7399.2091=""),"-",7399.2091/7489.29676*100)</f>
        <v>98.797114563797834</v>
      </c>
      <c r="D25" s="58">
        <f>IF(7489.29676="","-",7489.29676/2779164.46518*100)</f>
        <v>0.269480156854083</v>
      </c>
      <c r="E25" s="58">
        <f>IF(7399.2091="","-",7399.2091/2485159.94474*100)</f>
        <v>0.29773572987368074</v>
      </c>
      <c r="F25" s="58">
        <f>IF(OR(2706173.30142="",6643.55539="",7489.29676=""),"-",(7489.29676-6643.55539)/2706173.30142*100)</f>
        <v>3.1252298940212628E-2</v>
      </c>
      <c r="G25" s="58">
        <f>IF(OR(2779164.46518="",7399.2091="",7489.29676=""),"-",(7399.2091-7489.29676)/2779164.46518*100)</f>
        <v>-3.2415375602524972E-3</v>
      </c>
    </row>
    <row r="26" spans="1:7" s="9" customFormat="1" x14ac:dyDescent="0.25">
      <c r="A26" s="56" t="s">
        <v>47</v>
      </c>
      <c r="B26" s="57">
        <v>5809.4545600000001</v>
      </c>
      <c r="C26" s="58" t="s">
        <v>105</v>
      </c>
      <c r="D26" s="58">
        <f>IF(3655.91559="","-",3655.91559/2779164.46518*100)</f>
        <v>0.1315472918499343</v>
      </c>
      <c r="E26" s="58">
        <f>IF(5809.45456="","-",5809.45456/2485159.94474*100)</f>
        <v>0.23376582148348568</v>
      </c>
      <c r="F26" s="58">
        <f>IF(OR(2706173.30142="",3135.95604="",3655.91559=""),"-",(3655.91559-3135.95604)/2706173.30142*100)</f>
        <v>1.9213830456725135E-2</v>
      </c>
      <c r="G26" s="58">
        <f>IF(OR(2779164.46518="",5809.45456="",3655.91559=""),"-",(5809.45456-3655.91559)/2779164.46518*100)</f>
        <v>7.7488719972551912E-2</v>
      </c>
    </row>
    <row r="27" spans="1:7" s="14" customFormat="1" x14ac:dyDescent="0.25">
      <c r="A27" s="56" t="s">
        <v>124</v>
      </c>
      <c r="B27" s="57">
        <v>2360.3131400000002</v>
      </c>
      <c r="C27" s="58" t="s">
        <v>96</v>
      </c>
      <c r="D27" s="58">
        <f>IF(1150.08881="","-",1150.08881/2779164.46518*100)</f>
        <v>4.1382538687774688E-2</v>
      </c>
      <c r="E27" s="58">
        <f>IF(2360.31314="","-",2360.31314/2485159.94474*100)</f>
        <v>9.4976307058052892E-2</v>
      </c>
      <c r="F27" s="58">
        <f>IF(OR(2706173.30142="",986.10014="",1150.08881=""),"-",(1150.08881-986.10014)/2706173.30142*100)</f>
        <v>6.0597992713160983E-3</v>
      </c>
      <c r="G27" s="58">
        <f>IF(OR(2779164.46518="",2360.31314="",1150.08881=""),"-",(2360.31314-1150.08881)/2779164.46518*100)</f>
        <v>4.3546337223393398E-2</v>
      </c>
    </row>
    <row r="28" spans="1:7" s="14" customFormat="1" x14ac:dyDescent="0.25">
      <c r="A28" s="56" t="s">
        <v>50</v>
      </c>
      <c r="B28" s="57">
        <v>1276.4726000000001</v>
      </c>
      <c r="C28" s="58">
        <f>IF(OR(1036.58988="",1276.4726=""),"-",1276.4726/1036.58988*100)</f>
        <v>123.14152632861899</v>
      </c>
      <c r="D28" s="58">
        <f>IF(1036.58988="","-",1036.58988/2779164.46518*100)</f>
        <v>3.7298615932499793E-2</v>
      </c>
      <c r="E28" s="58">
        <f>IF(1276.4726="","-",1276.4726/2485159.94474*100)</f>
        <v>5.1363800656039703E-2</v>
      </c>
      <c r="F28" s="58">
        <f>IF(OR(2706173.30142="",388.59108="",1036.58988=""),"-",(1036.58988-388.59108)/2706173.30142*100)</f>
        <v>2.3945207044204379E-2</v>
      </c>
      <c r="G28" s="58">
        <f>IF(OR(2779164.46518="",1276.4726="",1036.58988=""),"-",(1276.4726-1036.58988)/2779164.46518*100)</f>
        <v>8.6314690262299185E-3</v>
      </c>
    </row>
    <row r="29" spans="1:7" s="9" customFormat="1" x14ac:dyDescent="0.25">
      <c r="A29" s="56" t="s">
        <v>49</v>
      </c>
      <c r="B29" s="57">
        <v>962.62751000000003</v>
      </c>
      <c r="C29" s="58">
        <f>IF(OR(791.22556="",962.62751=""),"-",962.62751/791.22556*100)</f>
        <v>121.66284289400357</v>
      </c>
      <c r="D29" s="58">
        <f>IF(791.22556="","-",791.22556/2779164.46518*100)</f>
        <v>2.8469907769519291E-2</v>
      </c>
      <c r="E29" s="58">
        <f>IF(962.62751="","-",962.62751/2485159.94474*100)</f>
        <v>3.8735032408576467E-2</v>
      </c>
      <c r="F29" s="58">
        <f>IF(OR(2706173.30142="",1611.76679="",791.22556=""),"-",(791.22556-1611.76679)/2706173.30142*100)</f>
        <v>-3.032108954624009E-2</v>
      </c>
      <c r="G29" s="58">
        <f>IF(OR(2779164.46518="",962.62751="",791.22556=""),"-",(962.62751-791.22556)/2779164.46518*100)</f>
        <v>6.1673913921786831E-3</v>
      </c>
    </row>
    <row r="30" spans="1:7" s="9" customFormat="1" x14ac:dyDescent="0.25">
      <c r="A30" s="56" t="s">
        <v>54</v>
      </c>
      <c r="B30" s="57">
        <v>516.18494999999996</v>
      </c>
      <c r="C30" s="58" t="s">
        <v>20</v>
      </c>
      <c r="D30" s="58">
        <f>IF(262.50602="","-",262.50602/2779164.46518*100)</f>
        <v>9.4455014551648019E-3</v>
      </c>
      <c r="E30" s="58">
        <f>IF(516.18495="","-",516.18495/2485159.94474*100)</f>
        <v>2.0770693294511623E-2</v>
      </c>
      <c r="F30" s="58">
        <f>IF(OR(2706173.30142="",330.22087="",262.50602=""),"-",(262.50602-330.22087)/2706173.30142*100)</f>
        <v>-2.5022362745382295E-3</v>
      </c>
      <c r="G30" s="58">
        <f>IF(OR(2779164.46518="",516.18495="",262.50602=""),"-",(516.18495-262.50602)/2779164.46518*100)</f>
        <v>9.1278847717840908E-3</v>
      </c>
    </row>
    <row r="31" spans="1:7" s="9" customFormat="1" x14ac:dyDescent="0.25">
      <c r="A31" s="56" t="s">
        <v>51</v>
      </c>
      <c r="B31" s="57">
        <v>446.00069000000002</v>
      </c>
      <c r="C31" s="58">
        <f>IF(OR(656.91533="",446.00069=""),"-",446.00069/656.91533*100)</f>
        <v>67.893177344483647</v>
      </c>
      <c r="D31" s="58">
        <f>IF(656.91533="","-",656.91533/2779164.46518*100)</f>
        <v>2.363715203725639E-2</v>
      </c>
      <c r="E31" s="58">
        <f>IF(446.00069="","-",446.00069/2485159.94474*100)</f>
        <v>1.7946558769546764E-2</v>
      </c>
      <c r="F31" s="58">
        <f>IF(OR(2706173.30142="",755.52356="",656.91533=""),"-",(656.91533-755.52356)/2706173.30142*100)</f>
        <v>-3.6438253953749973E-3</v>
      </c>
      <c r="G31" s="58">
        <f>IF(OR(2779164.46518="",446.00069="",656.91533=""),"-",(446.00069-656.91533)/2779164.46518*100)</f>
        <v>-7.5891384854166804E-3</v>
      </c>
    </row>
    <row r="32" spans="1:7" s="9" customFormat="1" x14ac:dyDescent="0.25">
      <c r="A32" s="56" t="s">
        <v>53</v>
      </c>
      <c r="B32" s="57">
        <v>228.54121000000001</v>
      </c>
      <c r="C32" s="58" t="s">
        <v>278</v>
      </c>
      <c r="D32" s="58">
        <f>IF(64.00147="","-",64.00147/2779164.46518*100)</f>
        <v>2.30290329348518E-3</v>
      </c>
      <c r="E32" s="58">
        <f>IF(228.54121="","-",228.54121/2485159.94474*100)</f>
        <v>9.1962374688889566E-3</v>
      </c>
      <c r="F32" s="58">
        <f>IF(OR(2706173.30142="",8.35426="",64.00147=""),"-",(64.00147-8.35426)/2706173.30142*100)</f>
        <v>2.0563062229163394E-3</v>
      </c>
      <c r="G32" s="58">
        <f>IF(OR(2779164.46518="",228.54121="",64.00147=""),"-",(228.54121-64.00147)/2779164.46518*100)</f>
        <v>5.9204750946375952E-3</v>
      </c>
    </row>
    <row r="33" spans="1:7" s="9" customFormat="1" x14ac:dyDescent="0.25">
      <c r="A33" s="56" t="s">
        <v>55</v>
      </c>
      <c r="B33" s="57">
        <v>31.767520000000001</v>
      </c>
      <c r="C33" s="58">
        <f>IF(OR(69.23089="",31.76752=""),"-",31.76752/69.23089*100)</f>
        <v>45.886337731610844</v>
      </c>
      <c r="D33" s="58">
        <f>IF(69.23089="","-",69.23089/2779164.46518*100)</f>
        <v>2.4910684800194464E-3</v>
      </c>
      <c r="E33" s="58">
        <f>IF(31.76752="","-",31.76752/2485159.94474*100)</f>
        <v>1.2782887502769385E-3</v>
      </c>
      <c r="F33" s="58">
        <f>IF(OR(2706173.30142="",98.41519="",69.23089=""),"-",(69.23089-98.41519)/2706173.30142*100)</f>
        <v>-1.0784342593538347E-3</v>
      </c>
      <c r="G33" s="58">
        <f>IF(OR(2779164.46518="",31.76752="",69.23089=""),"-",(31.76752-69.23089)/2779164.46518*100)</f>
        <v>-1.3480083841520183E-3</v>
      </c>
    </row>
    <row r="34" spans="1:7" s="9" customFormat="1" x14ac:dyDescent="0.25">
      <c r="A34" s="56" t="s">
        <v>56</v>
      </c>
      <c r="B34" s="57">
        <v>6.9843799999999998</v>
      </c>
      <c r="C34" s="58">
        <f>IF(OR(461.08919="",6.98438=""),"-",6.98438/461.08919*100)</f>
        <v>1.5147568304518264</v>
      </c>
      <c r="D34" s="58">
        <f>IF(461.08919="","-",461.08919/2779164.46518*100)</f>
        <v>1.659092852463254E-2</v>
      </c>
      <c r="E34" s="58">
        <f>IF(6.98438="","-",6.98438/2485159.94474*100)</f>
        <v>2.8104348031131299E-4</v>
      </c>
      <c r="F34" s="58">
        <f>IF(OR(2706173.30142="",592.0215="",461.08919=""),"-",(461.08919-592.0215)/2706173.30142*100)</f>
        <v>-4.8382825272607769E-3</v>
      </c>
      <c r="G34" s="58">
        <f>IF(OR(2779164.46518="",6.98438="",461.08919=""),"-",(6.98438-461.08919)/2779164.46518*100)</f>
        <v>-1.6339616301570287E-2</v>
      </c>
    </row>
    <row r="35" spans="1:7" s="9" customFormat="1" x14ac:dyDescent="0.25">
      <c r="A35" s="34" t="s">
        <v>167</v>
      </c>
      <c r="B35" s="54">
        <v>376976.71730000002</v>
      </c>
      <c r="C35" s="55">
        <f>IF(434949.50526="","-",376976.7173/434949.50526*100)</f>
        <v>86.671375123108703</v>
      </c>
      <c r="D35" s="55">
        <f>IF(434949.50526="","-",434949.50526/2779164.46518*100)</f>
        <v>15.650369408124586</v>
      </c>
      <c r="E35" s="55">
        <f>IF(376976.7173="","-",376976.7173/2485159.94474*100)</f>
        <v>15.169112881361835</v>
      </c>
      <c r="F35" s="55">
        <f>IF(2706173.30142="","-",(434949.50526-415922.25392)/2706173.30142*100)</f>
        <v>0.70310542676686372</v>
      </c>
      <c r="G35" s="55">
        <f>IF(2779164.46518="","-",(376976.7173-434949.50526)/2779164.46518*100)</f>
        <v>-2.0859790302566794</v>
      </c>
    </row>
    <row r="36" spans="1:7" s="9" customFormat="1" x14ac:dyDescent="0.25">
      <c r="A36" s="56" t="s">
        <v>125</v>
      </c>
      <c r="B36" s="57">
        <v>216846.95376999999</v>
      </c>
      <c r="C36" s="58">
        <f>IF(OR(249858.71118="",216846.95377=""),"-",216846.95377/249858.71118*100)</f>
        <v>86.78783010842551</v>
      </c>
      <c r="D36" s="58">
        <f>IF(249858.71118="","-",249858.71118/2779164.46518*100)</f>
        <v>8.9904255149512089</v>
      </c>
      <c r="E36" s="58">
        <f>IF(216846.95377="","-",216846.95377/2485159.94474*100)</f>
        <v>8.7256739442050986</v>
      </c>
      <c r="F36" s="58">
        <f>IF(OR(2706173.30142="",218571.09808="",249858.71118=""),"-",(249858.71118-218571.09808)/2706173.30142*100)</f>
        <v>1.156157038560043</v>
      </c>
      <c r="G36" s="58">
        <f>IF(OR(2779164.46518="",216846.95377="",249858.71118=""),"-",(216846.95377-249858.71118)/2779164.46518*100)</f>
        <v>-1.1878302930108142</v>
      </c>
    </row>
    <row r="37" spans="1:7" s="9" customFormat="1" ht="14.25" customHeight="1" x14ac:dyDescent="0.25">
      <c r="A37" s="56" t="s">
        <v>12</v>
      </c>
      <c r="B37" s="57">
        <v>69485.329289999994</v>
      </c>
      <c r="C37" s="58">
        <f>IF(OR(80160.14641="",69485.32929=""),"-",69485.32929/80160.14641*100)</f>
        <v>86.68313669812818</v>
      </c>
      <c r="D37" s="58">
        <f>IF(80160.14641="","-",80160.14641/2779164.46518*100)</f>
        <v>2.8843253939924072</v>
      </c>
      <c r="E37" s="58">
        <f>IF(69485.32929="","-",69485.32929/2485159.94474*100)</f>
        <v>2.796010350845632</v>
      </c>
      <c r="F37" s="58">
        <f>IF(OR(2706173.30142="",80275.94023="",80160.14641=""),"-",(80160.14641-80275.94023)/2706173.30142*100)</f>
        <v>-4.2788767422704101E-3</v>
      </c>
      <c r="G37" s="58">
        <f>IF(OR(2779164.46518="",69485.32929="",80160.14641=""),"-",(69485.32929-80160.14641)/2779164.46518*100)</f>
        <v>-0.38410166989914446</v>
      </c>
    </row>
    <row r="38" spans="1:7" s="15" customFormat="1" ht="14.25" customHeight="1" x14ac:dyDescent="0.2">
      <c r="A38" s="56" t="s">
        <v>11</v>
      </c>
      <c r="B38" s="57">
        <v>65878.278449999998</v>
      </c>
      <c r="C38" s="58">
        <f>IF(OR(80423.39978="",65878.27845=""),"-",65878.27845/80423.39978*100)</f>
        <v>81.91431676627883</v>
      </c>
      <c r="D38" s="58">
        <f>IF(80423.39978="","-",80423.39978/2779164.46518*100)</f>
        <v>2.8937977866232965</v>
      </c>
      <c r="E38" s="58">
        <f>IF(65878.27845="","-",65878.27845/2485159.94474*100)</f>
        <v>2.6508667415727336</v>
      </c>
      <c r="F38" s="58">
        <f>IF(OR(2706173.30142="",87234.06028="",80423.39978=""),"-",(80423.39978-87234.06028)/2706173.30142*100)</f>
        <v>-0.25167126201512174</v>
      </c>
      <c r="G38" s="58">
        <f>IF(OR(2779164.46518="",65878.27845="",80423.39978=""),"-",(65878.27845-80423.39978)/2779164.46518*100)</f>
        <v>-0.52336310111312379</v>
      </c>
    </row>
    <row r="39" spans="1:7" s="15" customFormat="1" ht="14.25" customHeight="1" x14ac:dyDescent="0.2">
      <c r="A39" s="56" t="s">
        <v>13</v>
      </c>
      <c r="B39" s="57">
        <v>13841.562529999999</v>
      </c>
      <c r="C39" s="58">
        <f>IF(OR(9951.72678="",13841.56253=""),"-",13841.56253/9951.72678*100)</f>
        <v>139.08704324376555</v>
      </c>
      <c r="D39" s="58">
        <f>IF(9951.72678="","-",9951.72678/2779164.46518*100)</f>
        <v>0.35808340617061868</v>
      </c>
      <c r="E39" s="58">
        <f>IF(13841.56253="","-",13841.56253/2485159.94474*100)</f>
        <v>0.55696867959330143</v>
      </c>
      <c r="F39" s="58">
        <f>IF(OR(2706173.30142="",16118.54397="",9951.72678=""),"-",(9951.72678-16118.54397)/2706173.30142*100)</f>
        <v>-0.22787961091642245</v>
      </c>
      <c r="G39" s="58">
        <f>IF(OR(2779164.46518="",13841.56253="",9951.72678=""),"-",(13841.56253-9951.72678)/2779164.46518*100)</f>
        <v>0.13996421581865839</v>
      </c>
    </row>
    <row r="40" spans="1:7" s="15" customFormat="1" ht="14.25" customHeight="1" x14ac:dyDescent="0.2">
      <c r="A40" s="56" t="s">
        <v>15</v>
      </c>
      <c r="B40" s="57">
        <v>4855.3037599999998</v>
      </c>
      <c r="C40" s="58">
        <f>IF(OR(3580.63222="",4855.30376=""),"-",4855.30376/3580.63222*100)</f>
        <v>135.59906356425512</v>
      </c>
      <c r="D40" s="58">
        <f>IF(3580.63222="","-",3580.63222/2779164.46518*100)</f>
        <v>0.12883844280759726</v>
      </c>
      <c r="E40" s="58">
        <f>IF(4855.30376="","-",4855.30376/2485159.94474*100)</f>
        <v>0.19537188221130639</v>
      </c>
      <c r="F40" s="58">
        <f>IF(OR(2706173.30142="",3913.20599="",3580.63222=""),"-",(3580.63222-3913.20599)/2706173.30142*100)</f>
        <v>-1.2289448344845091E-2</v>
      </c>
      <c r="G40" s="58">
        <f>IF(OR(2779164.46518="",4855.30376="",3580.63222=""),"-",(4855.30376-3580.63222)/2779164.46518*100)</f>
        <v>4.5865279150273039E-2</v>
      </c>
    </row>
    <row r="41" spans="1:7" s="13" customFormat="1" ht="14.25" customHeight="1" x14ac:dyDescent="0.2">
      <c r="A41" s="56" t="s">
        <v>14</v>
      </c>
      <c r="B41" s="57">
        <v>3071.78188</v>
      </c>
      <c r="C41" s="58">
        <f>IF(OR(5008.53334="",3071.78188=""),"-",3071.78188/5008.53334*100)</f>
        <v>61.330966002913748</v>
      </c>
      <c r="D41" s="58">
        <f>IF(5008.53334="","-",5008.53334/2779164.46518*100)</f>
        <v>0.18021723445127633</v>
      </c>
      <c r="E41" s="58">
        <f>IF(3071.78188="","-",3071.78188/2485159.94474*100)</f>
        <v>0.12360499719551744</v>
      </c>
      <c r="F41" s="58">
        <f>IF(OR(2706173.30142="",5341.97176="",5008.53334=""),"-",(5008.53334-5341.97176)/2706173.30142*100)</f>
        <v>-1.2321399365851277E-2</v>
      </c>
      <c r="G41" s="58">
        <f>IF(OR(2779164.46518="",3071.78188="",5008.53334=""),"-",(3071.78188-5008.53334)/2779164.46518*100)</f>
        <v>-6.9688263658572697E-2</v>
      </c>
    </row>
    <row r="42" spans="1:7" s="15" customFormat="1" ht="14.25" customHeight="1" x14ac:dyDescent="0.2">
      <c r="A42" s="56" t="s">
        <v>17</v>
      </c>
      <c r="B42" s="57">
        <v>1288.47579</v>
      </c>
      <c r="C42" s="58">
        <f>IF(OR(3554.56727="",1288.47579=""),"-",1288.47579/3554.56727*100)</f>
        <v>36.248457044955572</v>
      </c>
      <c r="D42" s="58">
        <f>IF(3554.56727="","-",3554.56727/2779164.46518*100)</f>
        <v>0.12790057279930639</v>
      </c>
      <c r="E42" s="58">
        <f>IF(1288.47579="","-",1288.47579/2485159.94474*100)</f>
        <v>5.1846795323059233E-2</v>
      </c>
      <c r="F42" s="58">
        <f>IF(OR(2706173.30142="",2327.34721="",3554.56727=""),"-",(3554.56727-2327.34721)/2706173.30142*100)</f>
        <v>4.5348908710171873E-2</v>
      </c>
      <c r="G42" s="58">
        <f>IF(OR(2779164.46518="",1288.47579="",3554.56727=""),"-",(1288.47579-3554.56727)/2779164.46518*100)</f>
        <v>-8.1538588607897686E-2</v>
      </c>
    </row>
    <row r="43" spans="1:7" s="13" customFormat="1" ht="14.25" customHeight="1" x14ac:dyDescent="0.2">
      <c r="A43" s="56" t="s">
        <v>127</v>
      </c>
      <c r="B43" s="57">
        <v>716.01463999999999</v>
      </c>
      <c r="C43" s="58">
        <f>IF(OR(1395.20772="",716.01464=""),"-",716.01464/1395.20772*100)</f>
        <v>51.319572686997446</v>
      </c>
      <c r="D43" s="58">
        <f>IF(1395.20772="","-",1395.20772/2779164.46518*100)</f>
        <v>5.0202416498932742E-2</v>
      </c>
      <c r="E43" s="58">
        <f>IF(716.01464="","-",716.01464/2485159.94474*100)</f>
        <v>2.8811611965478955E-2</v>
      </c>
      <c r="F43" s="58">
        <f>IF(OR(2706173.30142="",1230.88088="",1395.20772=""),"-",(1395.20772-1230.88088)/2706173.30142*100)</f>
        <v>6.0722955146210915E-3</v>
      </c>
      <c r="G43" s="58">
        <f>IF(OR(2779164.46518="",716.01464="",1395.20772=""),"-",(716.01464-1395.20772)/2779164.46518*100)</f>
        <v>-2.4438750873133748E-2</v>
      </c>
    </row>
    <row r="44" spans="1:7" s="13" customFormat="1" ht="14.25" customHeight="1" x14ac:dyDescent="0.2">
      <c r="A44" s="56" t="s">
        <v>16</v>
      </c>
      <c r="B44" s="57">
        <v>698.57461999999998</v>
      </c>
      <c r="C44" s="58">
        <f>IF(OR(840.19358="",698.57462=""),"-",698.57462/840.19358*100)</f>
        <v>83.14448439370365</v>
      </c>
      <c r="D44" s="58">
        <f>IF(840.19358="","-",840.19358/2779164.46518*100)</f>
        <v>3.023187690137592E-2</v>
      </c>
      <c r="E44" s="58">
        <f>IF(698.57462="","-",698.57462/2485159.94474*100)</f>
        <v>2.8109845464014412E-2</v>
      </c>
      <c r="F44" s="58">
        <f>IF(OR(2706173.30142="",554.38407="",840.19358=""),"-",(840.19358-554.38407)/2706173.30142*100)</f>
        <v>1.0561389762068392E-2</v>
      </c>
      <c r="G44" s="58">
        <f>IF(OR(2779164.46518="",698.57462="",840.19358=""),"-",(698.57462-840.19358)/2779164.46518*100)</f>
        <v>-5.0957387291877196E-3</v>
      </c>
    </row>
    <row r="45" spans="1:7" s="13" customFormat="1" ht="14.25" customHeight="1" x14ac:dyDescent="0.2">
      <c r="A45" s="56" t="s">
        <v>18</v>
      </c>
      <c r="B45" s="57">
        <v>294.44256999999999</v>
      </c>
      <c r="C45" s="58" t="s">
        <v>104</v>
      </c>
      <c r="D45" s="58">
        <f>IF(176.38698="","-",176.38698/2779164.46518*100)</f>
        <v>6.3467629285687424E-3</v>
      </c>
      <c r="E45" s="58">
        <f>IF(294.44257="","-",294.44257/2485159.94474*100)</f>
        <v>1.1848032985691988E-2</v>
      </c>
      <c r="F45" s="58">
        <f>IF(OR(2706173.30142="",354.82145="",176.38698=""),"-",(176.38698-354.82145)/2706173.30142*100)</f>
        <v>-6.5936083955292438E-3</v>
      </c>
      <c r="G45" s="58">
        <f>IF(OR(2779164.46518="",294.44257="",176.38698=""),"-",(294.44257-176.38698)/2779164.46518*100)</f>
        <v>4.2478806662618225E-3</v>
      </c>
    </row>
    <row r="46" spans="1:7" s="13" customFormat="1" ht="14.25" customHeight="1" x14ac:dyDescent="0.2">
      <c r="A46" s="34" t="s">
        <v>168</v>
      </c>
      <c r="B46" s="54">
        <f>IF(449794.55337="","-",449794.55337)</f>
        <v>449794.55336999998</v>
      </c>
      <c r="C46" s="55">
        <f>IF(563602.69863="","-",449794.55337/563602.69863*100)</f>
        <v>79.807026201853944</v>
      </c>
      <c r="D46" s="55">
        <f>IF(563602.69863="","-",563602.69863/2779164.46518*100)</f>
        <v>20.279573436237673</v>
      </c>
      <c r="E46" s="55">
        <f>IF(449794.55337="","-",449794.55337/2485159.94474*100)</f>
        <v>18.099219501827996</v>
      </c>
      <c r="F46" s="55">
        <f>IF(2706173.30142="","-",(563602.69863-507206.53035)/2706173.30142*100)</f>
        <v>2.0839821400354306</v>
      </c>
      <c r="G46" s="55">
        <f>IF(2779164.46518="","-",(449794.55337-563602.69863)/2779164.46518*100)</f>
        <v>-4.0950489503552623</v>
      </c>
    </row>
    <row r="47" spans="1:7" s="9" customFormat="1" x14ac:dyDescent="0.25">
      <c r="A47" s="56" t="s">
        <v>57</v>
      </c>
      <c r="B47" s="57">
        <v>171705.72456999999</v>
      </c>
      <c r="C47" s="58">
        <f>IF(OR(175543.37425="",171705.72457=""),"-",171705.72457/175543.37425*100)</f>
        <v>97.813845326605943</v>
      </c>
      <c r="D47" s="58">
        <f>IF(175543.37425="","-",175543.37425/2779164.46518*100)</f>
        <v>6.3164082748384764</v>
      </c>
      <c r="E47" s="58">
        <f>IF(171705.72457="","-",171705.72457/2485159.94474*100)</f>
        <v>6.9092423983987876</v>
      </c>
      <c r="F47" s="58">
        <f>IF(OR(2706173.30142="",107124.79787="",175543.37425=""),"-",(175543.37425-107124.79787)/2706173.30142*100)</f>
        <v>2.5282407576816674</v>
      </c>
      <c r="G47" s="58">
        <f>IF(OR(2779164.46518="",171705.72457="",175543.37425=""),"-",(171705.72457-175543.37425)/2779164.46518*100)</f>
        <v>-0.13808645469103056</v>
      </c>
    </row>
    <row r="48" spans="1:7" s="9" customFormat="1" x14ac:dyDescent="0.25">
      <c r="A48" s="56" t="s">
        <v>128</v>
      </c>
      <c r="B48" s="57">
        <v>61397.706890000001</v>
      </c>
      <c r="C48" s="58">
        <f>IF(OR(85378.69695="",61397.70689=""),"-",61397.70689/85378.69695*100)</f>
        <v>71.912208880344124</v>
      </c>
      <c r="D48" s="58">
        <f>IF(85378.69695="","-",85378.69695/2779164.46518*100)</f>
        <v>3.0720994752093675</v>
      </c>
      <c r="E48" s="58">
        <f>IF(61397.70689="","-",61397.70689/2485159.94474*100)</f>
        <v>2.4705736554281819</v>
      </c>
      <c r="F48" s="58">
        <f>IF(OR(2706173.30142="",60114.76714="",85378.69695=""),"-",(85378.69695-60114.76714)/2706173.30142*100)</f>
        <v>0.93356659001636555</v>
      </c>
      <c r="G48" s="58">
        <f>IF(OR(2779164.46518="",61397.70689="",85378.69695=""),"-",(61397.70689-85378.69695)/2779164.46518*100)</f>
        <v>-0.86288488358485138</v>
      </c>
    </row>
    <row r="49" spans="1:7" s="14" customFormat="1" ht="25.5" x14ac:dyDescent="0.25">
      <c r="A49" s="56" t="s">
        <v>122</v>
      </c>
      <c r="B49" s="57">
        <v>42764.58253</v>
      </c>
      <c r="C49" s="58">
        <f>IF(OR(49936.12554="",42764.58253=""),"-",42764.58253/49936.12554*100)</f>
        <v>85.638567404963311</v>
      </c>
      <c r="D49" s="58">
        <f>IF(49936.12554="","-",49936.12554/2779164.46518*100)</f>
        <v>1.796803541699205</v>
      </c>
      <c r="E49" s="58">
        <f>IF(42764.58253="","-",42764.58253/2485159.94474*100)</f>
        <v>1.7207979961416153</v>
      </c>
      <c r="F49" s="58">
        <f>IF(OR(2706173.30142="",78819.44556="",49936.12554=""),"-",(49936.12554-78819.44556)/2706173.30142*100)</f>
        <v>-1.0673122820642773</v>
      </c>
      <c r="G49" s="58">
        <f>IF(OR(2779164.46518="",42764.58253="",49936.12554=""),"-",(42764.58253-49936.12554)/2779164.46518*100)</f>
        <v>-0.25804672950636326</v>
      </c>
    </row>
    <row r="50" spans="1:7" s="16" customFormat="1" x14ac:dyDescent="0.25">
      <c r="A50" s="56" t="s">
        <v>19</v>
      </c>
      <c r="B50" s="57">
        <v>25681.566470000002</v>
      </c>
      <c r="C50" s="58">
        <f>IF(OR(24335.80652="",25681.56647=""),"-",25681.56647/24335.80652*100)</f>
        <v>105.52995828962565</v>
      </c>
      <c r="D50" s="58">
        <f>IF(24335.80652="","-",24335.80652/2779164.46518*100)</f>
        <v>0.87565190275357907</v>
      </c>
      <c r="E50" s="58">
        <f>IF(25681.56647="","-",25681.56647/2485159.94474*100)</f>
        <v>1.0333969257937172</v>
      </c>
      <c r="F50" s="58">
        <f>IF(OR(2706173.30142="",21768.70865="",24335.80652=""),"-",(24335.80652-21768.70865)/2706173.30142*100)</f>
        <v>9.486080838403714E-2</v>
      </c>
      <c r="G50" s="58">
        <f>IF(OR(2779164.46518="",25681.56647="",24335.80652=""),"-",(25681.56647-24335.80652)/2779164.46518*100)</f>
        <v>4.8423184984586427E-2</v>
      </c>
    </row>
    <row r="51" spans="1:7" s="9" customFormat="1" x14ac:dyDescent="0.25">
      <c r="A51" s="56" t="s">
        <v>59</v>
      </c>
      <c r="B51" s="57">
        <v>22790.74712</v>
      </c>
      <c r="C51" s="58">
        <f>IF(OR(20969.42495="",22790.74712=""),"-",22790.74712/20969.42495*100)</f>
        <v>108.68560856743952</v>
      </c>
      <c r="D51" s="58">
        <f>IF(20969.42495="","-",20969.42495/2779164.46518*100)</f>
        <v>0.75452263486831317</v>
      </c>
      <c r="E51" s="58">
        <f>IF(22790.74712="","-",22790.74712/2485159.94474*100)</f>
        <v>0.91707365428281873</v>
      </c>
      <c r="F51" s="58">
        <f>IF(OR(2706173.30142="",20811.87308="",20969.42495=""),"-",(20969.42495-20811.87308)/2706173.30142*100)</f>
        <v>5.8219431075359337E-3</v>
      </c>
      <c r="G51" s="58">
        <f>IF(OR(2779164.46518="",22790.74712="",20969.42495=""),"-",(22790.74712-20969.42495)/2779164.46518*100)</f>
        <v>6.5534882617392584E-2</v>
      </c>
    </row>
    <row r="52" spans="1:7" s="16" customFormat="1" x14ac:dyDescent="0.25">
      <c r="A52" s="56" t="s">
        <v>60</v>
      </c>
      <c r="B52" s="57">
        <v>12488.361580000001</v>
      </c>
      <c r="C52" s="58">
        <f>IF(OR(17421.87454="",12488.36158=""),"-",12488.36158/17421.87454*100)</f>
        <v>71.682077329435302</v>
      </c>
      <c r="D52" s="58">
        <f>IF(17421.87454="","-",17421.87454/2779164.46518*100)</f>
        <v>0.62687454298864698</v>
      </c>
      <c r="E52" s="58">
        <f>IF(12488.36158="","-",12488.36158/2485159.94474*100)</f>
        <v>0.50251741769910685</v>
      </c>
      <c r="F52" s="58">
        <f>IF(OR(2706173.30142="",18780.16118="",17421.87454=""),"-",(17421.87454-18780.16118)/2706173.30142*100)</f>
        <v>-5.0192152856111241E-2</v>
      </c>
      <c r="G52" s="58">
        <f>IF(OR(2779164.46518="",12488.36158="",17421.87454=""),"-",(12488.36158-17421.87454)/2779164.46518*100)</f>
        <v>-0.17751784832498094</v>
      </c>
    </row>
    <row r="53" spans="1:7" s="14" customFormat="1" x14ac:dyDescent="0.25">
      <c r="A53" s="56" t="s">
        <v>61</v>
      </c>
      <c r="B53" s="57">
        <v>11625.955019999999</v>
      </c>
      <c r="C53" s="58">
        <f>IF(OR(14362.4507="",11625.95502=""),"-",11625.95502/14362.4507*100)</f>
        <v>80.946875034356083</v>
      </c>
      <c r="D53" s="58">
        <f>IF(14362.4507="","-",14362.4507/2779164.46518*100)</f>
        <v>0.51679023965462867</v>
      </c>
      <c r="E53" s="58">
        <f>IF(11625.95502="","-",11625.95502/2485159.94474*100)</f>
        <v>0.46781516194187328</v>
      </c>
      <c r="F53" s="58">
        <f>IF(OR(2706173.30142="",13952.91019="",14362.4507=""),"-",(14362.4507-13952.91019)/2706173.30142*100)</f>
        <v>1.5133565532743313E-2</v>
      </c>
      <c r="G53" s="58">
        <f>IF(OR(2779164.46518="",11625.95502="",14362.4507=""),"-",(11625.95502-14362.4507)/2779164.46518*100)</f>
        <v>-9.8464690171647107E-2</v>
      </c>
    </row>
    <row r="54" spans="1:7" s="9" customFormat="1" x14ac:dyDescent="0.25">
      <c r="A54" s="56" t="s">
        <v>67</v>
      </c>
      <c r="B54" s="57">
        <v>9539.6552800000009</v>
      </c>
      <c r="C54" s="58">
        <f>IF(OR(8620.21519="",9539.65528=""),"-",9539.65528/8620.21519*100)</f>
        <v>110.66609208394947</v>
      </c>
      <c r="D54" s="58">
        <f>IF(8620.21519="","-",8620.21519/2779164.46518*100)</f>
        <v>0.31017290620984139</v>
      </c>
      <c r="E54" s="58">
        <f>IF(9539.65528="","-",9539.65528/2485159.94474*100)</f>
        <v>0.38386484138340032</v>
      </c>
      <c r="F54" s="58">
        <f>IF(OR(2706173.30142="",20847.21472="",8620.21519=""),"-",(8620.21519-20847.21472)/2706173.30142*100)</f>
        <v>-0.45181879237313344</v>
      </c>
      <c r="G54" s="58">
        <f>IF(OR(2779164.46518="",9539.65528="",8620.21519=""),"-",(9539.65528-8620.21519)/2779164.46518*100)</f>
        <v>3.3083327795803912E-2</v>
      </c>
    </row>
    <row r="55" spans="1:7" s="9" customFormat="1" x14ac:dyDescent="0.25">
      <c r="A55" s="56" t="s">
        <v>58</v>
      </c>
      <c r="B55" s="57">
        <v>6555.7668899999999</v>
      </c>
      <c r="C55" s="58">
        <f>IF(OR(8587.73564="",6555.76689=""),"-",6555.76689/8587.73564*100)</f>
        <v>76.338713309530789</v>
      </c>
      <c r="D55" s="58">
        <f>IF(8587.73564="","-",8587.73564/2779164.46518*100)</f>
        <v>0.30900422582381404</v>
      </c>
      <c r="E55" s="58">
        <f>IF(6555.76689="","-",6555.76689/2485159.94474*100)</f>
        <v>0.26379657791747768</v>
      </c>
      <c r="F55" s="58">
        <f>IF(OR(2706173.30142="",11143.6216="",8587.73564=""),"-",(8587.73564-11143.6216)/2706173.30142*100)</f>
        <v>-9.4446499736689421E-2</v>
      </c>
      <c r="G55" s="58">
        <f>IF(OR(2779164.46518="",6555.76689="",8587.73564=""),"-",(6555.76689-8587.73564)/2779164.46518*100)</f>
        <v>-7.3114375757837538E-2</v>
      </c>
    </row>
    <row r="56" spans="1:7" s="16" customFormat="1" x14ac:dyDescent="0.25">
      <c r="A56" s="56" t="s">
        <v>69</v>
      </c>
      <c r="B56" s="57">
        <v>5538.9683500000001</v>
      </c>
      <c r="C56" s="58">
        <f>IF(OR(6712.22343="",5538.96835=""),"-",5538.96835/6712.22343*100)</f>
        <v>82.520619400775814</v>
      </c>
      <c r="D56" s="58">
        <f>IF(6712.22343="","-",6712.22343/2779164.46518*100)</f>
        <v>0.24151947515510799</v>
      </c>
      <c r="E56" s="58">
        <f>IF(5538.96835="","-",5538.96835/2485159.94474*100)</f>
        <v>0.22288176508411783</v>
      </c>
      <c r="F56" s="58">
        <f>IF(OR(2706173.30142="",4534.09385="",6712.22343=""),"-",(6712.22343-4534.09385)/2706173.30142*100)</f>
        <v>8.0487438807303219E-2</v>
      </c>
      <c r="G56" s="58">
        <f>IF(OR(2779164.46518="",5538.96835="",6712.22343=""),"-",(5538.96835-6712.22343)/2779164.46518*100)</f>
        <v>-4.221610828361002E-2</v>
      </c>
    </row>
    <row r="57" spans="1:7" s="9" customFormat="1" x14ac:dyDescent="0.25">
      <c r="A57" s="56" t="s">
        <v>66</v>
      </c>
      <c r="B57" s="57">
        <v>5156.9959500000004</v>
      </c>
      <c r="C57" s="58">
        <f>IF(OR(12473.92108="",5156.99595=""),"-",5156.99595/12473.92108*100)</f>
        <v>41.342220436751397</v>
      </c>
      <c r="D57" s="58">
        <f>IF(12473.92108="","-",12473.92108/2779164.46518*100)</f>
        <v>0.44883709605117217</v>
      </c>
      <c r="E57" s="58">
        <f>IF(5156.99595="","-",5156.99595/2485159.94474*100)</f>
        <v>0.2075116316322059</v>
      </c>
      <c r="F57" s="58">
        <f>IF(OR(2706173.30142="",8755.66798="",12473.92108=""),"-",(12473.92108-8755.66798)/2706173.30142*100)</f>
        <v>0.13739892777927176</v>
      </c>
      <c r="G57" s="58">
        <f>IF(OR(2779164.46518="",5156.99595="",12473.92108=""),"-",(5156.99595-12473.92108)/2779164.46518*100)</f>
        <v>-0.26327787439978295</v>
      </c>
    </row>
    <row r="58" spans="1:7" s="14" customFormat="1" x14ac:dyDescent="0.25">
      <c r="A58" s="56" t="s">
        <v>63</v>
      </c>
      <c r="B58" s="57">
        <v>5088.9967299999998</v>
      </c>
      <c r="C58" s="58">
        <f>IF(OR(6555.28925="",5088.99673=""),"-",5088.99673/6555.28925*100)</f>
        <v>77.631917310132422</v>
      </c>
      <c r="D58" s="58">
        <f>IF(6555.28925="","-",6555.28925/2779164.46518*100)</f>
        <v>0.23587266360558584</v>
      </c>
      <c r="E58" s="58">
        <f>IF(5088.99673="","-",5088.99673/2485159.94474*100)</f>
        <v>0.20477542062317505</v>
      </c>
      <c r="F58" s="58">
        <f>IF(OR(2706173.30142="",4800.61488="",6555.28925=""),"-",(6555.28925-4800.61488)/2706173.30142*100)</f>
        <v>6.4839689648821683E-2</v>
      </c>
      <c r="G58" s="58">
        <f>IF(OR(2779164.46518="",5088.99673="",6555.28925=""),"-",(5088.99673-6555.28925)/2779164.46518*100)</f>
        <v>-5.2760192438090617E-2</v>
      </c>
    </row>
    <row r="59" spans="1:7" s="9" customFormat="1" x14ac:dyDescent="0.25">
      <c r="A59" s="56" t="s">
        <v>133</v>
      </c>
      <c r="B59" s="57">
        <v>4786.4011399999999</v>
      </c>
      <c r="C59" s="58" t="s">
        <v>270</v>
      </c>
      <c r="D59" s="58">
        <f>IF(1007.61255="","-",1007.61255/2779164.46518*100)</f>
        <v>3.6255952557839699E-2</v>
      </c>
      <c r="E59" s="58">
        <f>IF(4786.40114="","-",4786.40114/2485159.94474*100)</f>
        <v>0.19259931941727629</v>
      </c>
      <c r="F59" s="58">
        <f>IF(OR(2706173.30142="",1740.84344="",1007.61255=""),"-",(1007.61255-1740.84344)/2706173.30142*100)</f>
        <v>-2.70947499783275E-2</v>
      </c>
      <c r="G59" s="58">
        <f>IF(OR(2779164.46518="",4786.40114="",1007.61255=""),"-",(4786.40114-1007.61255)/2779164.46518*100)</f>
        <v>0.13596851274346072</v>
      </c>
    </row>
    <row r="60" spans="1:7" s="14" customFormat="1" x14ac:dyDescent="0.25">
      <c r="A60" s="56" t="s">
        <v>38</v>
      </c>
      <c r="B60" s="57">
        <v>3873.98236</v>
      </c>
      <c r="C60" s="58">
        <f>IF(OR(3066.65897="",3873.98236=""),"-",3873.98236/3066.65897*100)</f>
        <v>126.32582878949856</v>
      </c>
      <c r="D60" s="58">
        <f>IF(3066.65897="","-",3066.65897/2779164.46518*100)</f>
        <v>0.11034463805298331</v>
      </c>
      <c r="E60" s="58">
        <f>IF(3873.98236="","-",3873.98236/2485159.94474*100)</f>
        <v>0.15588462900343825</v>
      </c>
      <c r="F60" s="58">
        <f>IF(OR(2706173.30142="",6599.96393="",3066.65897=""),"-",(3066.65897-6599.96393)/2706173.30142*100)</f>
        <v>-0.130564622677564</v>
      </c>
      <c r="G60" s="58">
        <f>IF(OR(2779164.46518="",3873.98236="",3066.65897=""),"-",(3873.98236-3066.65897)/2779164.46518*100)</f>
        <v>2.9049140492220262E-2</v>
      </c>
    </row>
    <row r="61" spans="1:7" s="9" customFormat="1" x14ac:dyDescent="0.25">
      <c r="A61" s="56" t="s">
        <v>129</v>
      </c>
      <c r="B61" s="57">
        <v>3777.2446500000001</v>
      </c>
      <c r="C61" s="58">
        <f>IF(OR(15907.46473="",3777.24465=""),"-",3777.24465/15907.46473*100)</f>
        <v>23.745107810149456</v>
      </c>
      <c r="D61" s="58">
        <f>IF(15907.46473="","-",15907.46473/2779164.46518*100)</f>
        <v>0.5723829924174606</v>
      </c>
      <c r="E61" s="58">
        <f>IF(3777.24465="","-",3777.24465/2485159.94474*100)</f>
        <v>0.15199201395446518</v>
      </c>
      <c r="F61" s="58">
        <f>IF(OR(2706173.30142="",4263.42163="",15907.46473=""),"-",(15907.46473-4263.42163)/2706173.30142*100)</f>
        <v>0.43027706665681997</v>
      </c>
      <c r="G61" s="58">
        <f>IF(OR(2779164.46518="",3777.24465="",15907.46473=""),"-",(3777.24465-15907.46473)/2779164.46518*100)</f>
        <v>-0.43647003378097504</v>
      </c>
    </row>
    <row r="62" spans="1:7" s="14" customFormat="1" x14ac:dyDescent="0.25">
      <c r="A62" s="56" t="s">
        <v>68</v>
      </c>
      <c r="B62" s="57">
        <v>3153.3201199999999</v>
      </c>
      <c r="C62" s="58" t="s">
        <v>279</v>
      </c>
      <c r="D62" s="58">
        <f>IF(47.29872="","-",47.29872/2779164.46518*100)</f>
        <v>1.7019043166607479E-3</v>
      </c>
      <c r="E62" s="58">
        <f>IF(3153.32012="","-",3153.32012/2485159.94474*100)</f>
        <v>0.1268860029180095</v>
      </c>
      <c r="F62" s="58">
        <f>IF(OR(2706173.30142="",73.49766="",47.29872=""),"-",(47.29872-73.49766)/2706173.30142*100)</f>
        <v>-9.6811759935155385E-4</v>
      </c>
      <c r="G62" s="58">
        <f>IF(OR(2779164.46518="",3153.32012="",47.29872=""),"-",(3153.32012-47.29872)/2779164.46518*100)</f>
        <v>0.1117609784852668</v>
      </c>
    </row>
    <row r="63" spans="1:7" s="9" customFormat="1" x14ac:dyDescent="0.25">
      <c r="A63" s="56" t="s">
        <v>62</v>
      </c>
      <c r="B63" s="57">
        <v>2595.6631000000002</v>
      </c>
      <c r="C63" s="58">
        <f>IF(OR(11543.91882="",2595.6631=""),"-",2595.6631/11543.91882*100)</f>
        <v>22.485112209061775</v>
      </c>
      <c r="D63" s="58">
        <f>IF(11543.91882="","-",11543.91882/2779164.46518*100)</f>
        <v>0.41537371985836496</v>
      </c>
      <c r="E63" s="58">
        <f>IF(2595.6631="","-",2595.6631/2485159.94474*100)</f>
        <v>0.10444652085649002</v>
      </c>
      <c r="F63" s="58">
        <f>IF(OR(2706173.30142="",9543.49682="",11543.91882=""),"-",(11543.91882-9543.49682)/2706173.30142*100)</f>
        <v>7.3920690849707468E-2</v>
      </c>
      <c r="G63" s="58">
        <f>IF(OR(2779164.46518="",2595.6631="",11543.91882=""),"-",(2595.6631-11543.91882)/2779164.46518*100)</f>
        <v>-0.32197647286125775</v>
      </c>
    </row>
    <row r="64" spans="1:7" s="9" customFormat="1" x14ac:dyDescent="0.25">
      <c r="A64" s="56" t="s">
        <v>77</v>
      </c>
      <c r="B64" s="57">
        <v>2233.59602</v>
      </c>
      <c r="C64" s="58">
        <f>IF(OR(1888.55541="",2233.59602=""),"-",2233.59602/1888.55541*100)</f>
        <v>118.27008136340569</v>
      </c>
      <c r="D64" s="58">
        <f>IF(1888.55541="","-",1888.55541/2779164.46518*100)</f>
        <v>6.7954071580203612E-2</v>
      </c>
      <c r="E64" s="58">
        <f>IF(2233.59602="","-",2233.59602/2485159.94474*100)</f>
        <v>8.9877354764531292E-2</v>
      </c>
      <c r="F64" s="58">
        <f>IF(OR(2706173.30142="",1533.57003="",1888.55541=""),"-",(1888.55541-1533.57003)/2706173.30142*100)</f>
        <v>1.3117614448924234E-2</v>
      </c>
      <c r="G64" s="58">
        <f>IF(OR(2779164.46518="",2233.59602="",1888.55541=""),"-",(2233.59602-1888.55541)/2779164.46518*100)</f>
        <v>1.2415264167450146E-2</v>
      </c>
    </row>
    <row r="65" spans="1:7" s="14" customFormat="1" x14ac:dyDescent="0.25">
      <c r="A65" s="56" t="s">
        <v>253</v>
      </c>
      <c r="B65" s="57">
        <v>2057.9218099999998</v>
      </c>
      <c r="C65" s="58">
        <f>IF(OR(1914.91517="",2057.92181=""),"-",2057.92181/1914.91517*100)</f>
        <v>107.46804047721864</v>
      </c>
      <c r="D65" s="58">
        <f>IF(1914.91517="","-",1914.91517/2779164.46518*100)</f>
        <v>6.8902549452969336E-2</v>
      </c>
      <c r="E65" s="58">
        <f>IF(2057.92181="","-",2057.92181/2485159.94474*100)</f>
        <v>8.2808425041443423E-2</v>
      </c>
      <c r="F65" s="58">
        <f>IF(OR(2706173.30142="",1588.22189="",1914.91517=""),"-",(1914.91517-1588.22189)/2706173.30142*100)</f>
        <v>1.2072149253286013E-2</v>
      </c>
      <c r="G65" s="58">
        <f>IF(OR(2779164.46518="",2057.92181="",1914.91517=""),"-",(2057.92181-1914.91517)/2779164.46518*100)</f>
        <v>5.1456702829833292E-3</v>
      </c>
    </row>
    <row r="66" spans="1:7" s="16" customFormat="1" x14ac:dyDescent="0.25">
      <c r="A66" s="56" t="s">
        <v>40</v>
      </c>
      <c r="B66" s="57">
        <v>1907.3472400000001</v>
      </c>
      <c r="C66" s="58">
        <f>IF(OR(1495.39589="",1907.34724=""),"-",1907.34724/1495.39589*100)</f>
        <v>127.54797928460269</v>
      </c>
      <c r="D66" s="58">
        <f>IF(1495.39589="","-",1495.39589/2779164.46518*100)</f>
        <v>5.3807390988757003E-2</v>
      </c>
      <c r="E66" s="58">
        <f>IF(1907.34724="","-",1907.34724/2485159.94474*100)</f>
        <v>7.6749476187117152E-2</v>
      </c>
      <c r="F66" s="58">
        <f>IF(OR(2706173.30142="",1607.57384="",1495.39589=""),"-",(1495.39589-1607.57384)/2706173.30142*100)</f>
        <v>-4.1452611309533392E-3</v>
      </c>
      <c r="G66" s="58">
        <f>IF(OR(2779164.46518="",1907.34724="",1495.39589=""),"-",(1907.34724-1495.39589)/2779164.46518*100)</f>
        <v>1.4822848923167953E-2</v>
      </c>
    </row>
    <row r="67" spans="1:7" s="9" customFormat="1" x14ac:dyDescent="0.25">
      <c r="A67" s="56" t="s">
        <v>141</v>
      </c>
      <c r="B67" s="57">
        <v>1637.5174099999999</v>
      </c>
      <c r="C67" s="58">
        <f>IF(OR(1538.97181="",1637.51741=""),"-",1637.51741/1538.97181*100)</f>
        <v>106.40334016254658</v>
      </c>
      <c r="D67" s="58">
        <f>IF(1538.97181="","-",1538.97181/2779164.46518*100)</f>
        <v>5.5375341376219141E-2</v>
      </c>
      <c r="E67" s="58">
        <f>IF(1637.51741="","-",1637.51741/2485159.94474*100)</f>
        <v>6.5891831769858925E-2</v>
      </c>
      <c r="F67" s="58">
        <f>IF(OR(2706173.30142="",2499.886="",1538.97181=""),"-",(1538.97181-2499.886)/2706173.30142*100)</f>
        <v>-3.5508228149903891E-2</v>
      </c>
      <c r="G67" s="58">
        <f>IF(OR(2779164.46518="",1637.51741="",1538.97181=""),"-",(1637.51741-1538.97181)/2779164.46518*100)</f>
        <v>3.5458714744907105E-3</v>
      </c>
    </row>
    <row r="68" spans="1:7" s="9" customFormat="1" x14ac:dyDescent="0.25">
      <c r="A68" s="56" t="s">
        <v>39</v>
      </c>
      <c r="B68" s="57">
        <v>1477.6705099999999</v>
      </c>
      <c r="C68" s="58" t="s">
        <v>104</v>
      </c>
      <c r="D68" s="58">
        <f>IF(887.71033="","-",887.71033/2779164.46518*100)</f>
        <v>3.1941626381672424E-2</v>
      </c>
      <c r="E68" s="58">
        <f>IF(1477.67051="","-",1477.67051/2485159.94474*100)</f>
        <v>5.9459774938332807E-2</v>
      </c>
      <c r="F68" s="58">
        <f>IF(OR(2706173.30142="",711.66834="",887.71033=""),"-",(887.71033-711.66834)/2706173.30142*100)</f>
        <v>6.5052001624443714E-3</v>
      </c>
      <c r="G68" s="58">
        <f>IF(OR(2779164.46518="",1477.67051="",887.71033=""),"-",(1477.67051-887.71033)/2779164.46518*100)</f>
        <v>2.1227969319253283E-2</v>
      </c>
    </row>
    <row r="69" spans="1:7" s="9" customFormat="1" x14ac:dyDescent="0.25">
      <c r="A69" s="56" t="s">
        <v>78</v>
      </c>
      <c r="B69" s="57">
        <v>1376.9777799999999</v>
      </c>
      <c r="C69" s="58">
        <f>IF(OR(1650.09515="",1376.97778=""),"-",1376.97778/1650.09515*100)</f>
        <v>83.448386597584985</v>
      </c>
      <c r="D69" s="58">
        <f>IF(1650.09515="","-",1650.09515/2779164.46518*100)</f>
        <v>5.93737855630335E-2</v>
      </c>
      <c r="E69" s="58">
        <f>IF(1376.97778="","-",1376.97778/2485159.94474*100)</f>
        <v>5.5408014398206494E-2</v>
      </c>
      <c r="F69" s="58">
        <f>IF(OR(2706173.30142="",1504.88143="",1650.09515=""),"-",(1650.09515-1504.88143)/2706173.30142*100)</f>
        <v>5.3660170220363474E-3</v>
      </c>
      <c r="G69" s="58">
        <f>IF(OR(2779164.46518="",1376.97778="",1650.09515=""),"-",(1376.97778-1650.09515)/2779164.46518*100)</f>
        <v>-9.8273194487722062E-3</v>
      </c>
    </row>
    <row r="70" spans="1:7" s="9" customFormat="1" x14ac:dyDescent="0.25">
      <c r="A70" s="56" t="s">
        <v>73</v>
      </c>
      <c r="B70" s="57">
        <v>1211.13806</v>
      </c>
      <c r="C70" s="58">
        <f>IF(OR(1547.41336="",1211.13806=""),"-",1211.13806/1547.41336*100)</f>
        <v>78.26855391761643</v>
      </c>
      <c r="D70" s="58">
        <f>IF(1547.41336="","-",1547.41336/2779164.46518*100)</f>
        <v>5.5679085544862769E-2</v>
      </c>
      <c r="E70" s="58">
        <f>IF(1211.13806="","-",1211.13806/2485159.94474*100)</f>
        <v>4.8734813329156176E-2</v>
      </c>
      <c r="F70" s="58">
        <f>IF(OR(2706173.30142="",1429.48117="",1547.41336=""),"-",(1547.41336-1429.48117)/2706173.30142*100)</f>
        <v>4.3578949632722304E-3</v>
      </c>
      <c r="G70" s="58">
        <f>IF(OR(2779164.46518="",1211.13806="",1547.41336=""),"-",(1211.13806-1547.41336)/2779164.46518*100)</f>
        <v>-1.2099870454346079E-2</v>
      </c>
    </row>
    <row r="71" spans="1:7" s="9" customFormat="1" x14ac:dyDescent="0.25">
      <c r="A71" s="56" t="s">
        <v>134</v>
      </c>
      <c r="B71" s="57">
        <v>1210.6866600000001</v>
      </c>
      <c r="C71" s="58" t="s">
        <v>240</v>
      </c>
      <c r="D71" s="58">
        <f>IF(685.3698="","-",685.3698/2779164.46518*100)</f>
        <v>2.4661001843790137E-2</v>
      </c>
      <c r="E71" s="58">
        <f>IF(1210.68666="","-",1210.68666/2485159.94474*100)</f>
        <v>4.8716649508314169E-2</v>
      </c>
      <c r="F71" s="58">
        <f>IF(OR(2706173.30142="",103.82492="",685.3698=""),"-",(685.3698-103.82492)/2706173.30142*100)</f>
        <v>2.1489565346566986E-2</v>
      </c>
      <c r="G71" s="58">
        <f>IF(OR(2779164.46518="",1210.68666="",685.3698=""),"-",(1210.68666-685.3698)/2779164.46518*100)</f>
        <v>1.8901970954999833E-2</v>
      </c>
    </row>
    <row r="72" spans="1:7" s="9" customFormat="1" x14ac:dyDescent="0.25">
      <c r="A72" s="56" t="s">
        <v>88</v>
      </c>
      <c r="B72" s="57">
        <v>1208.2793300000001</v>
      </c>
      <c r="C72" s="58" t="s">
        <v>20</v>
      </c>
      <c r="D72" s="58">
        <f>IF(600.57503="","-",600.57503/2779164.46518*100)</f>
        <v>2.1609913249991924E-2</v>
      </c>
      <c r="E72" s="58">
        <f>IF(1208.27933="","-",1208.27933/2485159.94474*100)</f>
        <v>4.8619781296467476E-2</v>
      </c>
      <c r="F72" s="58">
        <f>IF(OR(2706173.30142="",570.51401="",600.57503=""),"-",(600.57503-570.51401)/2706173.30142*100)</f>
        <v>1.1108312976196382E-3</v>
      </c>
      <c r="G72" s="58">
        <f>IF(OR(2779164.46518="",1208.27933="",600.57503=""),"-",(1208.27933-600.57503)/2779164.46518*100)</f>
        <v>2.1866438910467308E-2</v>
      </c>
    </row>
    <row r="73" spans="1:7" s="9" customFormat="1" x14ac:dyDescent="0.25">
      <c r="A73" s="56" t="s">
        <v>86</v>
      </c>
      <c r="B73" s="57">
        <v>1178.62706</v>
      </c>
      <c r="C73" s="58">
        <f>IF(OR(2087.03896="",1178.62706=""),"-",1178.62706/2087.03896*100)</f>
        <v>56.473649155068962</v>
      </c>
      <c r="D73" s="58">
        <f>IF(2087.03896="","-",2087.03896/2779164.46518*100)</f>
        <v>7.5095914119095761E-2</v>
      </c>
      <c r="E73" s="58">
        <f>IF(1178.62706="","-",1178.62706/2485159.94474*100)</f>
        <v>4.7426607792172074E-2</v>
      </c>
      <c r="F73" s="58">
        <f>IF(OR(2706173.30142="",2196.9289="",2087.03896=""),"-",(2087.03896-2196.9289)/2706173.30142*100)</f>
        <v>-4.0607133306036942E-3</v>
      </c>
      <c r="G73" s="58">
        <f>IF(OR(2779164.46518="",1178.62706="",2087.03896=""),"-",(1178.62706-2087.03896)/2779164.46518*100)</f>
        <v>-3.2686511049685722E-2</v>
      </c>
    </row>
    <row r="74" spans="1:7" s="9" customFormat="1" x14ac:dyDescent="0.25">
      <c r="A74" s="56" t="s">
        <v>71</v>
      </c>
      <c r="B74" s="57">
        <v>1154.6633300000001</v>
      </c>
      <c r="C74" s="58">
        <f>IF(OR(3157.32996="",1154.66333=""),"-",1154.66333/3157.32996*100)</f>
        <v>36.570879338819566</v>
      </c>
      <c r="D74" s="58">
        <f>IF(3157.32996="","-",3157.32996/2779164.46518*100)</f>
        <v>0.11360716501516968</v>
      </c>
      <c r="E74" s="58">
        <f>IF(1154.66333="","-",1154.66333/2485159.94474*100)</f>
        <v>4.6462334645458889E-2</v>
      </c>
      <c r="F74" s="58">
        <f>IF(OR(2706173.30142="",1671.30575="",3157.32996=""),"-",(3157.32996-1671.30575)/2706173.30142*100)</f>
        <v>5.4912381598778037E-2</v>
      </c>
      <c r="G74" s="58">
        <f>IF(OR(2779164.46518="",1154.66333="",3157.32996=""),"-",(1154.66333-3157.32996)/2779164.46518*100)</f>
        <v>-7.2060025777218331E-2</v>
      </c>
    </row>
    <row r="75" spans="1:7" s="9" customFormat="1" x14ac:dyDescent="0.25">
      <c r="A75" s="56" t="s">
        <v>94</v>
      </c>
      <c r="B75" s="57">
        <v>801.31483000000003</v>
      </c>
      <c r="C75" s="58" t="s">
        <v>106</v>
      </c>
      <c r="D75" s="58">
        <f>IF(427.16446="","-",427.16446/2779164.46518*100)</f>
        <v>1.5370247617653446E-2</v>
      </c>
      <c r="E75" s="58">
        <f>IF(801.31483="","-",801.31483/2485159.94474*100)</f>
        <v>3.2243994262664423E-2</v>
      </c>
      <c r="F75" s="58">
        <f>IF(OR(2706173.30142="",364.6437="",427.16446=""),"-",(427.16446-364.6437)/2706173.30142*100)</f>
        <v>2.3103014122263978E-3</v>
      </c>
      <c r="G75" s="58">
        <f>IF(OR(2779164.46518="",801.31483="",427.16446=""),"-",(801.31483-427.16446)/2779164.46518*100)</f>
        <v>1.346269264333614E-2</v>
      </c>
    </row>
    <row r="76" spans="1:7" x14ac:dyDescent="0.25">
      <c r="A76" s="56" t="s">
        <v>37</v>
      </c>
      <c r="B76" s="57">
        <v>761.21528000000001</v>
      </c>
      <c r="C76" s="58" t="s">
        <v>20</v>
      </c>
      <c r="D76" s="58">
        <f>IF(374.6978="","-",374.6978/2779164.46518*100)</f>
        <v>1.3482390290123825E-2</v>
      </c>
      <c r="E76" s="58">
        <f>IF(761.21528="","-",761.21528/2485159.94474*100)</f>
        <v>3.0630434134074985E-2</v>
      </c>
      <c r="F76" s="58">
        <f>IF(OR(2706173.30142="",705.08306="",374.6978=""),"-",(374.6978-705.08306)/2706173.30142*100)</f>
        <v>-1.2208577323064945E-2</v>
      </c>
      <c r="G76" s="58">
        <f>IF(OR(2779164.46518="",761.21528="",374.6978=""),"-",(761.21528-374.6978)/2779164.46518*100)</f>
        <v>1.390768645910152E-2</v>
      </c>
    </row>
    <row r="77" spans="1:7" x14ac:dyDescent="0.25">
      <c r="A77" s="56" t="s">
        <v>110</v>
      </c>
      <c r="B77" s="57">
        <v>709.97835999999995</v>
      </c>
      <c r="C77" s="58">
        <f>IF(OR(1542.98229="",709.97836=""),"-",709.97836/1542.98229*100)</f>
        <v>46.013383601441078</v>
      </c>
      <c r="D77" s="58">
        <f>IF(1542.98229="","-",1542.98229/2779164.46518*100)</f>
        <v>5.5519646617965261E-2</v>
      </c>
      <c r="E77" s="58">
        <f>IF(709.97836="","-",709.97836/2485159.94474*100)</f>
        <v>2.8568718947153262E-2</v>
      </c>
      <c r="F77" s="58">
        <f>IF(OR(2706173.30142="",737.04172="",1542.98229=""),"-",(1542.98229-737.04172)/2706173.30142*100)</f>
        <v>2.9781557950375969E-2</v>
      </c>
      <c r="G77" s="58">
        <f>IF(OR(2779164.46518="",709.97836="",1542.98229=""),"-",(709.97836-1542.98229)/2779164.46518*100)</f>
        <v>-2.9973178645476398E-2</v>
      </c>
    </row>
    <row r="78" spans="1:7" x14ac:dyDescent="0.25">
      <c r="A78" s="56" t="s">
        <v>140</v>
      </c>
      <c r="B78" s="57">
        <v>681.44425000000001</v>
      </c>
      <c r="C78" s="58" t="s">
        <v>280</v>
      </c>
      <c r="D78" s="58">
        <f>IF(117.36746="","-",117.36746/2779164.46518*100)</f>
        <v>4.2231203467981296E-3</v>
      </c>
      <c r="E78" s="58">
        <f>IF(681.44425="","-",681.44425/2485159.94474*100)</f>
        <v>2.742053892516336E-2</v>
      </c>
      <c r="F78" s="58">
        <f>IF(OR(2706173.30142="",168.24637="",117.36746=""),"-",(117.36746-168.24637)/2706173.30142*100)</f>
        <v>-1.8801053862035565E-3</v>
      </c>
      <c r="G78" s="58">
        <f>IF(OR(2779164.46518="",681.44425="",117.36746=""),"-",(681.44425-117.36746)/2779164.46518*100)</f>
        <v>2.0296632209690624E-2</v>
      </c>
    </row>
    <row r="79" spans="1:7" x14ac:dyDescent="0.25">
      <c r="A79" s="56" t="s">
        <v>76</v>
      </c>
      <c r="B79" s="57">
        <v>675.76666</v>
      </c>
      <c r="C79" s="58">
        <f>IF(OR(1869.02685="",675.76666=""),"-",675.76666/1869.02685*100)</f>
        <v>36.156070203057808</v>
      </c>
      <c r="D79" s="58">
        <f>IF(1869.02685="","-",1869.02685/2779164.46518*100)</f>
        <v>6.7251394201996162E-2</v>
      </c>
      <c r="E79" s="58">
        <f>IF(675.76666="","-",675.76666/2485159.94474*100)</f>
        <v>2.7192079183084507E-2</v>
      </c>
      <c r="F79" s="58">
        <f>IF(OR(2706173.30142="",11714.49288="",1869.02685=""),"-",(1869.02685-11714.49288)/2706173.30142*100)</f>
        <v>-0.36381506035972738</v>
      </c>
      <c r="G79" s="58">
        <f>IF(OR(2779164.46518="",675.76666="",1869.02685=""),"-",(675.76666-1869.02685)/2779164.46518*100)</f>
        <v>-4.293593290178728E-2</v>
      </c>
    </row>
    <row r="80" spans="1:7" x14ac:dyDescent="0.25">
      <c r="A80" s="56" t="s">
        <v>103</v>
      </c>
      <c r="B80" s="57">
        <v>674.46154000000001</v>
      </c>
      <c r="C80" s="58" t="s">
        <v>240</v>
      </c>
      <c r="D80" s="58">
        <f>IF(378.33183="","-",378.33183/2779164.46518*100)</f>
        <v>1.3613150093853707E-2</v>
      </c>
      <c r="E80" s="58">
        <f>IF(674.46154="","-",674.46154/2485159.94474*100)</f>
        <v>2.713956264374617E-2</v>
      </c>
      <c r="F80" s="58">
        <f>IF(OR(2706173.30142="",141.43929="",378.33183=""),"-",(378.33183-141.43929)/2706173.30142*100)</f>
        <v>8.7537830587455841E-3</v>
      </c>
      <c r="G80" s="58">
        <f>IF(OR(2779164.46518="",674.46154="",378.33183=""),"-",(674.46154-378.33183)/2779164.46518*100)</f>
        <v>1.0655350329575418E-2</v>
      </c>
    </row>
    <row r="81" spans="1:7" x14ac:dyDescent="0.25">
      <c r="A81" s="56" t="s">
        <v>164</v>
      </c>
      <c r="B81" s="57">
        <v>553.03947000000005</v>
      </c>
      <c r="C81" s="58">
        <f>IF(OR(427.85064="",553.03947=""),"-",553.03947/427.85064*100)</f>
        <v>129.25993753334109</v>
      </c>
      <c r="D81" s="58">
        <f>IF(427.85064="","-",427.85064/2779164.46518*100)</f>
        <v>1.5394937772144016E-2</v>
      </c>
      <c r="E81" s="58">
        <f>IF(553.03947="","-",553.03947/2485159.94474*100)</f>
        <v>2.2253677119275297E-2</v>
      </c>
      <c r="F81" s="58">
        <f>IF(OR(2706173.30142="",964.16862="",427.85064=""),"-",(427.85064-964.16862)/2706173.30142*100)</f>
        <v>-1.9818316133655593E-2</v>
      </c>
      <c r="G81" s="58">
        <f>IF(OR(2779164.46518="",553.03947="",427.85064=""),"-",(553.03947-427.85064)/2779164.46518*100)</f>
        <v>4.5045491754260713E-3</v>
      </c>
    </row>
    <row r="82" spans="1:7" x14ac:dyDescent="0.25">
      <c r="A82" s="56" t="s">
        <v>174</v>
      </c>
      <c r="B82" s="57">
        <v>535.46691999999996</v>
      </c>
      <c r="C82" s="58">
        <f>IF(OR(1004.40352="",535.46692=""),"-",535.46692/1004.40352*100)</f>
        <v>53.311931841895579</v>
      </c>
      <c r="D82" s="58">
        <f>IF(1004.40352="","-",1004.40352/2779164.46518*100)</f>
        <v>3.6140485120046584E-2</v>
      </c>
      <c r="E82" s="58">
        <f>IF(535.46692="","-",535.46692/2485159.94474*100)</f>
        <v>2.1546577761859954E-2</v>
      </c>
      <c r="F82" s="58">
        <f>IF(OR(2706173.30142="",1016.46587="",1004.40352=""),"-",(1004.40352-1016.46587)/2706173.30142*100)</f>
        <v>-4.4573457264065856E-4</v>
      </c>
      <c r="G82" s="58">
        <f>IF(OR(2779164.46518="",535.46692="",1004.40352=""),"-",(535.46692-1004.40352)/2779164.46518*100)</f>
        <v>-1.6873294325516937E-2</v>
      </c>
    </row>
    <row r="83" spans="1:7" x14ac:dyDescent="0.25">
      <c r="A83" s="56" t="s">
        <v>97</v>
      </c>
      <c r="B83" s="57">
        <v>494.50929000000002</v>
      </c>
      <c r="C83" s="58">
        <f>IF(OR(951.0528="",494.50929=""),"-",494.50929/951.0528*100)</f>
        <v>51.995986973593901</v>
      </c>
      <c r="D83" s="58">
        <f>IF(951.0528="","-",951.0528/2779164.46518*100)</f>
        <v>3.4220817512446232E-2</v>
      </c>
      <c r="E83" s="58">
        <f>IF(494.50929="","-",494.50929/2485159.94474*100)</f>
        <v>1.9898489473350017E-2</v>
      </c>
      <c r="F83" s="58">
        <f>IF(OR(2706173.30142="",636.46013="",951.0528=""),"-",(951.0528-636.46013)/2706173.30142*100)</f>
        <v>1.1625000876142152E-2</v>
      </c>
      <c r="G83" s="58">
        <f>IF(OR(2779164.46518="",494.50929="",951.0528=""),"-",(494.50929-951.0528)/2779164.46518*100)</f>
        <v>-1.642736569641735E-2</v>
      </c>
    </row>
    <row r="84" spans="1:7" x14ac:dyDescent="0.25">
      <c r="A84" s="56" t="s">
        <v>65</v>
      </c>
      <c r="B84" s="57">
        <v>432.21897000000001</v>
      </c>
      <c r="C84" s="58">
        <f>IF(OR(1644.63353="",432.21897=""),"-",432.21897/1644.63353*100)</f>
        <v>26.280564157049625</v>
      </c>
      <c r="D84" s="58">
        <f>IF(1644.63353="","-",1644.63353/2779164.46518*100)</f>
        <v>5.9177265347392143E-2</v>
      </c>
      <c r="E84" s="58">
        <f>IF(432.21897="","-",432.21897/2485159.94474*100)</f>
        <v>1.7391998085065676E-2</v>
      </c>
      <c r="F84" s="58">
        <f>IF(OR(2706173.30142="",3526.15639="",1644.63353=""),"-",(1644.63353-3526.15639)/2706173.30142*100)</f>
        <v>-6.9527064619723938E-2</v>
      </c>
      <c r="G84" s="58">
        <f>IF(OR(2779164.46518="",432.21897="",1644.63353=""),"-",(432.21897-1644.63353)/2779164.46518*100)</f>
        <v>-4.3625146161383258E-2</v>
      </c>
    </row>
    <row r="85" spans="1:7" x14ac:dyDescent="0.25">
      <c r="A85" s="56" t="s">
        <v>83</v>
      </c>
      <c r="B85" s="57">
        <v>381.79847999999998</v>
      </c>
      <c r="C85" s="58">
        <f>IF(OR(441.93182="",381.79848=""),"-",381.79848/441.93182*100)</f>
        <v>86.393073031039037</v>
      </c>
      <c r="D85" s="58">
        <f>IF(441.93182="","-",441.93182/2779164.46518*100)</f>
        <v>1.5901607318924076E-2</v>
      </c>
      <c r="E85" s="58">
        <f>IF(381.79848="","-",381.79848/2485159.94474*100)</f>
        <v>1.5363135109597307E-2</v>
      </c>
      <c r="F85" s="58">
        <f>IF(OR(2706173.30142="",1831.40841="",441.93182=""),"-",(441.93182-1831.40841)/2706173.30142*100)</f>
        <v>-5.1344700994238081E-2</v>
      </c>
      <c r="G85" s="58">
        <f>IF(OR(2779164.46518="",381.79848="",441.93182=""),"-",(381.79848-441.93182)/2779164.46518*100)</f>
        <v>-2.1637200947769507E-3</v>
      </c>
    </row>
    <row r="86" spans="1:7" x14ac:dyDescent="0.25">
      <c r="A86" s="56" t="s">
        <v>135</v>
      </c>
      <c r="B86" s="57">
        <v>378.35005999999998</v>
      </c>
      <c r="C86" s="58">
        <f>IF(OR(441.7962="",378.35006=""),"-",378.35006/441.7962*100)</f>
        <v>85.639048049756866</v>
      </c>
      <c r="D86" s="58">
        <f>IF(441.7962="","-",441.7962/2779164.46518*100)</f>
        <v>1.5896727434998557E-2</v>
      </c>
      <c r="E86" s="58">
        <f>IF(378.35006="","-",378.35006/2485159.94474*100)</f>
        <v>1.5224374624289355E-2</v>
      </c>
      <c r="F86" s="58">
        <f>IF(OR(2706173.30142="",497.59067="",441.7962=""),"-",(441.7962-497.59067)/2706173.30142*100)</f>
        <v>-2.061747855199191E-3</v>
      </c>
      <c r="G86" s="58">
        <f>IF(OR(2779164.46518="",378.35006="",441.7962=""),"-",(378.35006-441.7962)/2779164.46518*100)</f>
        <v>-2.2829213886012595E-3</v>
      </c>
    </row>
    <row r="87" spans="1:7" x14ac:dyDescent="0.25">
      <c r="A87" s="56" t="s">
        <v>143</v>
      </c>
      <c r="B87" s="57">
        <v>376.87810999999999</v>
      </c>
      <c r="C87" s="58">
        <f>IF(OR(436.8705="",376.87811=""),"-",376.87811/436.8705*100)</f>
        <v>86.267694888988842</v>
      </c>
      <c r="D87" s="58">
        <f>IF(436.8705="","-",436.8705/2779164.46518*100)</f>
        <v>1.5719490712893268E-2</v>
      </c>
      <c r="E87" s="58">
        <f>IF(376.87811="","-",376.87811/2485159.94474*100)</f>
        <v>1.5165145036144922E-2</v>
      </c>
      <c r="F87" s="58">
        <f>IF(OR(2706173.30142="",774.78693="",436.8705=""),"-",(436.8705-774.78693)/2706173.30142*100)</f>
        <v>-1.2486873247278228E-2</v>
      </c>
      <c r="G87" s="58">
        <f>IF(OR(2779164.46518="",376.87811="",436.8705=""),"-",(376.87811-436.8705)/2779164.46518*100)</f>
        <v>-2.1586484265915667E-3</v>
      </c>
    </row>
    <row r="88" spans="1:7" x14ac:dyDescent="0.25">
      <c r="A88" s="56" t="s">
        <v>173</v>
      </c>
      <c r="B88" s="57">
        <v>361.77183000000002</v>
      </c>
      <c r="C88" s="58" t="s">
        <v>20</v>
      </c>
      <c r="D88" s="58">
        <f>IF(184.19083="","-",184.19083/2779164.46518*100)</f>
        <v>6.6275613518997122E-3</v>
      </c>
      <c r="E88" s="58">
        <f>IF(361.77183="","-",361.77183/2485159.94474*100)</f>
        <v>1.4557285568911298E-2</v>
      </c>
      <c r="F88" s="58">
        <f>IF(OR(2706173.30142="",333.18916="",184.19083=""),"-",(184.19083-333.18916)/2706173.30142*100)</f>
        <v>-5.5058680063770011E-3</v>
      </c>
      <c r="G88" s="58">
        <f>IF(OR(2779164.46518="",361.77183="",184.19083=""),"-",(361.77183-184.19083)/2779164.46518*100)</f>
        <v>6.3897262009824426E-3</v>
      </c>
    </row>
    <row r="89" spans="1:7" x14ac:dyDescent="0.25">
      <c r="A89" s="56" t="s">
        <v>92</v>
      </c>
      <c r="B89" s="57">
        <v>353.43076000000002</v>
      </c>
      <c r="C89" s="58">
        <f>IF(OR(1203.84333="",353.43076=""),"-",353.43076/1203.84333*100)</f>
        <v>29.358534552830896</v>
      </c>
      <c r="D89" s="58">
        <f>IF(1203.84333="","-",1203.84333/2779164.46518*100)</f>
        <v>4.3316735842116844E-2</v>
      </c>
      <c r="E89" s="58">
        <f>IF(353.43076="","-",353.43076/2485159.94474*100)</f>
        <v>1.422165043131565E-2</v>
      </c>
      <c r="F89" s="58">
        <f>IF(OR(2706173.30142="",1136.89844="",1203.84333=""),"-",(1203.84333-1136.89844)/2706173.30142*100)</f>
        <v>2.4737842903435731E-3</v>
      </c>
      <c r="G89" s="58">
        <f>IF(OR(2779164.46518="",353.43076="",1203.84333=""),"-",(353.43076-1203.84333)/2779164.46518*100)</f>
        <v>-3.0599576982750488E-2</v>
      </c>
    </row>
    <row r="90" spans="1:7" x14ac:dyDescent="0.25">
      <c r="A90" s="56" t="s">
        <v>64</v>
      </c>
      <c r="B90" s="57">
        <v>351.11491999999998</v>
      </c>
      <c r="C90" s="58">
        <f>IF(OR(2417.41419="",351.11492=""),"-",351.11492/2417.41419*100)</f>
        <v>14.52440055380001</v>
      </c>
      <c r="D90" s="58">
        <f>IF(2417.41419="","-",2417.41419/2779164.46518*100)</f>
        <v>8.6983488033459358E-2</v>
      </c>
      <c r="E90" s="58">
        <f>IF(351.11492="","-",351.11492/2485159.94474*100)</f>
        <v>1.4128463672656447E-2</v>
      </c>
      <c r="F90" s="58">
        <f>IF(OR(2706173.30142="",1824.60754="",2417.41419=""),"-",(2417.41419-1824.60754)/2706173.30142*100)</f>
        <v>2.1905716447979839E-2</v>
      </c>
      <c r="G90" s="58">
        <f>IF(OR(2779164.46518="",351.11492="",2417.41419=""),"-",(351.11492-2417.41419)/2779164.46518*100)</f>
        <v>-7.4349657815813028E-2</v>
      </c>
    </row>
    <row r="91" spans="1:7" x14ac:dyDescent="0.25">
      <c r="A91" s="56" t="s">
        <v>87</v>
      </c>
      <c r="B91" s="57">
        <v>328.50137000000001</v>
      </c>
      <c r="C91" s="58" t="s">
        <v>126</v>
      </c>
      <c r="D91" s="58">
        <f>IF(217.5923="","-",217.5923/2779164.46518*100)</f>
        <v>7.8294142979374575E-3</v>
      </c>
      <c r="E91" s="58">
        <f>IF(328.50137="","-",328.50137/2485159.94474*100)</f>
        <v>1.3218520228257105E-2</v>
      </c>
      <c r="F91" s="58">
        <f>IF(OR(2706173.30142="",282.3723="",217.5923=""),"-",(217.5923-282.3723)/2706173.30142*100)</f>
        <v>-2.3937860877575076E-3</v>
      </c>
      <c r="G91" s="58">
        <f>IF(OR(2779164.46518="",328.50137="",217.5923=""),"-",(328.50137-217.5923)/2779164.46518*100)</f>
        <v>3.9907343156396005E-3</v>
      </c>
    </row>
    <row r="92" spans="1:7" x14ac:dyDescent="0.25">
      <c r="A92" s="56" t="s">
        <v>72</v>
      </c>
      <c r="B92" s="57">
        <v>312.37617</v>
      </c>
      <c r="C92" s="58">
        <f>IF(OR(1749.78378="",312.37617=""),"-",312.37617/1749.78378*100)</f>
        <v>17.852272581930094</v>
      </c>
      <c r="D92" s="58">
        <f>IF(1749.78378="","-",1749.78378/2779164.46518*100)</f>
        <v>6.2960785585845877E-2</v>
      </c>
      <c r="E92" s="58">
        <f>IF(312.37617="","-",312.37617/2485159.94474*100)</f>
        <v>1.2569660583060827E-2</v>
      </c>
      <c r="F92" s="58">
        <f>IF(OR(2706173.30142="",2301.01538="",1749.78378=""),"-",(1749.78378-2301.01538)/2706173.30142*100)</f>
        <v>-2.0369412399078586E-2</v>
      </c>
      <c r="G92" s="58">
        <f>IF(OR(2779164.46518="",312.37617="",1749.78378=""),"-",(312.37617-1749.78378)/2779164.46518*100)</f>
        <v>-5.1720854523336121E-2</v>
      </c>
    </row>
    <row r="93" spans="1:7" x14ac:dyDescent="0.25">
      <c r="A93" s="56" t="s">
        <v>75</v>
      </c>
      <c r="B93" s="57">
        <v>281.47543000000002</v>
      </c>
      <c r="C93" s="58">
        <f>IF(OR(711.50068="",281.47543=""),"-",281.47543/711.50068*100)</f>
        <v>39.560809695923268</v>
      </c>
      <c r="D93" s="58">
        <f>IF(711.50068="","-",711.50068/2779164.46518*100)</f>
        <v>2.5601244147813243E-2</v>
      </c>
      <c r="E93" s="58">
        <f>IF(281.47543="","-",281.47543/2485159.94474*100)</f>
        <v>1.1326250070775555E-2</v>
      </c>
      <c r="F93" s="58">
        <f>IF(OR(2706173.30142="",410.34197="",711.50068=""),"-",(711.50068-410.34197)/2706173.30142*100)</f>
        <v>1.1128581818539637E-2</v>
      </c>
      <c r="G93" s="58">
        <f>IF(OR(2779164.46518="",281.47543="",711.50068=""),"-",(281.47543-711.50068)/2779164.46518*100)</f>
        <v>-1.5473184670708153E-2</v>
      </c>
    </row>
    <row r="94" spans="1:7" x14ac:dyDescent="0.25">
      <c r="A94" s="56" t="s">
        <v>84</v>
      </c>
      <c r="B94" s="57">
        <v>276.87428999999997</v>
      </c>
      <c r="C94" s="58">
        <f>IF(OR(752.84311="",276.87429=""),"-",276.87429/752.84311*100)</f>
        <v>36.777156664155427</v>
      </c>
      <c r="D94" s="58">
        <f>IF(752.84311="","-",752.84311/2779164.46518*100)</f>
        <v>2.7088829014343355E-2</v>
      </c>
      <c r="E94" s="58">
        <f>IF(276.87429="","-",276.87429/2485159.94474*100)</f>
        <v>1.114110544820353E-2</v>
      </c>
      <c r="F94" s="58">
        <f>IF(OR(2706173.30142="",176.07306="",752.84311=""),"-",(752.84311-176.07306)/2706173.30142*100)</f>
        <v>2.131312320971291E-2</v>
      </c>
      <c r="G94" s="58">
        <f>IF(OR(2779164.46518="",276.87429="",752.84311=""),"-",(276.87429-752.84311)/2779164.46518*100)</f>
        <v>-1.7126327929253109E-2</v>
      </c>
    </row>
    <row r="95" spans="1:7" x14ac:dyDescent="0.25">
      <c r="A95" s="56" t="s">
        <v>102</v>
      </c>
      <c r="B95" s="57">
        <v>271.30946999999998</v>
      </c>
      <c r="C95" s="58">
        <f>IF(OR(627.52627="",271.30947=""),"-",271.30947/627.52627*100)</f>
        <v>43.234758920929316</v>
      </c>
      <c r="D95" s="58">
        <f>IF(627.52627="","-",627.52627/2779164.46518*100)</f>
        <v>2.2579673778297126E-2</v>
      </c>
      <c r="E95" s="58">
        <f>IF(271.30947="","-",271.30947/2485159.94474*100)</f>
        <v>1.0917183442226478E-2</v>
      </c>
      <c r="F95" s="58">
        <f>IF(OR(2706173.30142="",581.76587="",627.52627=""),"-",(627.52627-581.76587)/2706173.30142*100)</f>
        <v>1.6909633975026035E-3</v>
      </c>
      <c r="G95" s="58">
        <f>IF(OR(2779164.46518="",271.30947="",627.52627=""),"-",(271.30947-627.52627)/2779164.46518*100)</f>
        <v>-1.2817406255118071E-2</v>
      </c>
    </row>
    <row r="96" spans="1:7" x14ac:dyDescent="0.25">
      <c r="A96" s="56" t="s">
        <v>79</v>
      </c>
      <c r="B96" s="57">
        <v>242.23552000000001</v>
      </c>
      <c r="C96" s="58">
        <f>IF(OR(174.67336="",242.23552=""),"-",242.23552/174.67336*100)</f>
        <v>138.6791437457893</v>
      </c>
      <c r="D96" s="58">
        <f>IF(174.67336="","-",174.67336/2779164.46518*100)</f>
        <v>6.2851033894709375E-3</v>
      </c>
      <c r="E96" s="58">
        <f>IF(242.23552="","-",242.23552/2485159.94474*100)</f>
        <v>9.7472808747262711E-3</v>
      </c>
      <c r="F96" s="58">
        <f>IF(OR(2706173.30142="",424.15862="",174.67336=""),"-",(174.67336-424.15862)/2706173.30142*100)</f>
        <v>-9.2191161545008421E-3</v>
      </c>
      <c r="G96" s="58">
        <f>IF(OR(2779164.46518="",242.23552="",174.67336=""),"-",(242.23552-174.67336)/2779164.46518*100)</f>
        <v>2.431024174584938E-3</v>
      </c>
    </row>
    <row r="97" spans="1:7" x14ac:dyDescent="0.25">
      <c r="A97" s="56" t="s">
        <v>169</v>
      </c>
      <c r="B97" s="57">
        <v>223.99680000000001</v>
      </c>
      <c r="C97" s="58">
        <f>IF(OR(197.6455="",223.9968=""),"-",223.9968/197.6455*100)</f>
        <v>113.33260812920103</v>
      </c>
      <c r="D97" s="58">
        <f>IF(197.6455="","-",197.6455/2779164.46518*100)</f>
        <v>7.1116877923667237E-3</v>
      </c>
      <c r="E97" s="58">
        <f>IF(223.9968="","-",223.9968/2485159.94474*100)</f>
        <v>9.0133755967741064E-3</v>
      </c>
      <c r="F97" s="58">
        <f>IF(OR(2706173.30142="",149.798="",197.6455=""),"-",(197.6455-149.798)/2706173.30142*100)</f>
        <v>1.7680870613457447E-3</v>
      </c>
      <c r="G97" s="58">
        <f>IF(OR(2779164.46518="",223.9968="",197.6455=""),"-",(223.9968-197.6455)/2779164.46518*100)</f>
        <v>9.4817346472848266E-4</v>
      </c>
    </row>
    <row r="98" spans="1:7" x14ac:dyDescent="0.25">
      <c r="A98" s="56" t="s">
        <v>170</v>
      </c>
      <c r="B98" s="57">
        <v>184.41676000000001</v>
      </c>
      <c r="C98" s="58" t="s">
        <v>271</v>
      </c>
      <c r="D98" s="58">
        <f>IF(46.9476="","-",46.9476/2779164.46518*100)</f>
        <v>1.6892703036543509E-3</v>
      </c>
      <c r="E98" s="58">
        <f>IF(184.41676="","-",184.41676/2485159.94474*100)</f>
        <v>7.4207199576964804E-3</v>
      </c>
      <c r="F98" s="58">
        <f>IF(OR(2706173.30142="",553.40198="",46.9476=""),"-",(46.9476-553.40198)/2706173.30142*100)</f>
        <v>-1.8714780008148413E-2</v>
      </c>
      <c r="G98" s="58">
        <f>IF(OR(2779164.46518="",184.41676="",46.9476=""),"-",(184.41676-46.9476)/2779164.46518*100)</f>
        <v>4.9464204699773487E-3</v>
      </c>
    </row>
    <row r="99" spans="1:7" x14ac:dyDescent="0.25">
      <c r="A99" s="56" t="s">
        <v>150</v>
      </c>
      <c r="B99" s="57">
        <v>148.09012999999999</v>
      </c>
      <c r="C99" s="58" t="s">
        <v>106</v>
      </c>
      <c r="D99" s="58">
        <f>IF(76.79541="","-",76.79541/2779164.46518*100)</f>
        <v>2.7632553223159518E-3</v>
      </c>
      <c r="E99" s="58">
        <f>IF(148.09013="","-",148.09013/2485159.94474*100)</f>
        <v>5.9589778240809899E-3</v>
      </c>
      <c r="F99" s="58">
        <f>IF(OR(2706173.30142="",161.90105="",76.79541=""),"-",(76.79541-161.90105)/2706173.30142*100)</f>
        <v>-3.1448702843732456E-3</v>
      </c>
      <c r="G99" s="58">
        <f>IF(OR(2779164.46518="",148.09013="",76.79541=""),"-",(148.09013-76.79541)/2779164.46518*100)</f>
        <v>2.5653292884695255E-3</v>
      </c>
    </row>
    <row r="100" spans="1:7" x14ac:dyDescent="0.25">
      <c r="A100" s="56" t="s">
        <v>108</v>
      </c>
      <c r="B100" s="57">
        <v>147.37925999999999</v>
      </c>
      <c r="C100" s="58">
        <f>IF(OR(502.36997="",147.37926=""),"-",147.37926/502.36997*100)</f>
        <v>29.336797340812389</v>
      </c>
      <c r="D100" s="58">
        <f>IF(502.36997="","-",502.36997/2779164.46518*100)</f>
        <v>1.8076295098550875E-2</v>
      </c>
      <c r="E100" s="58">
        <f>IF(147.37926="","-",147.37926/2485159.94474*100)</f>
        <v>5.930373226557816E-3</v>
      </c>
      <c r="F100" s="58">
        <f>IF(OR(2706173.30142="",989.95466="",502.36997=""),"-",(502.36997-989.95466)/2706173.30142*100)</f>
        <v>-1.8017496874429717E-2</v>
      </c>
      <c r="G100" s="58">
        <f>IF(OR(2779164.46518="",147.37926="",502.36997=""),"-",(147.37926-502.36997)/2779164.46518*100)</f>
        <v>-1.2773289038761805E-2</v>
      </c>
    </row>
    <row r="101" spans="1:7" x14ac:dyDescent="0.25">
      <c r="A101" s="56" t="s">
        <v>130</v>
      </c>
      <c r="B101" s="57">
        <v>130.04750000000001</v>
      </c>
      <c r="C101" s="58">
        <f>IF(OR(3534.06758="",130.0475=""),"-",130.0475/3534.06758*100)</f>
        <v>3.6798249341909872</v>
      </c>
      <c r="D101" s="58">
        <f>IF(3534.06758="","-",3534.06758/2779164.46518*100)</f>
        <v>0.12716295218502324</v>
      </c>
      <c r="E101" s="58">
        <f>IF(130.0475="","-",130.0475/2485159.94474*100)</f>
        <v>5.2329629839420943E-3</v>
      </c>
      <c r="F101" s="58">
        <f>IF(OR(2706173.30142="",72.77239="",3534.06758=""),"-",(3534.06758-72.77239)/2706173.30142*100)</f>
        <v>0.12790367816369216</v>
      </c>
      <c r="G101" s="58">
        <f>IF(OR(2779164.46518="",130.0475="",3534.06758=""),"-",(130.0475-3534.06758)/2779164.46518*100)</f>
        <v>-0.12248357816346538</v>
      </c>
    </row>
    <row r="102" spans="1:7" x14ac:dyDescent="0.25">
      <c r="A102" s="56" t="s">
        <v>99</v>
      </c>
      <c r="B102" s="57">
        <v>129.41660999999999</v>
      </c>
      <c r="C102" s="58">
        <f>IF(OR(102.43682="",129.41661=""),"-",129.41661/102.43682*100)</f>
        <v>126.33798081588242</v>
      </c>
      <c r="D102" s="58">
        <f>IF(102.43682="","-",102.43682/2779164.46518*100)</f>
        <v>3.6858854984447779E-3</v>
      </c>
      <c r="E102" s="58">
        <f>IF(129.41661="","-",129.41661/2485159.94474*100)</f>
        <v>5.2075766903421456E-3</v>
      </c>
      <c r="F102" s="58">
        <f>IF(OR(2706173.30142="",115.99082="",102.43682=""),"-",(102.43682-115.99082)/2706173.30142*100)</f>
        <v>-5.0085484151690739E-4</v>
      </c>
      <c r="G102" s="58">
        <f>IF(OR(2779164.46518="",129.41661="",102.43682=""),"-",(129.41661-102.43682)/2779164.46518*100)</f>
        <v>9.7078781547577748E-4</v>
      </c>
    </row>
    <row r="103" spans="1:7" x14ac:dyDescent="0.25">
      <c r="A103" s="56" t="s">
        <v>95</v>
      </c>
      <c r="B103" s="57">
        <v>122.49936</v>
      </c>
      <c r="C103" s="58">
        <f>IF(OR(81.87974="",122.49936=""),"-",122.49936/81.87974*100)</f>
        <v>149.60887760513162</v>
      </c>
      <c r="D103" s="58">
        <f>IF(81.87974="","-",81.87974/2779164.46518*100)</f>
        <v>2.9461998750295927E-3</v>
      </c>
      <c r="E103" s="58">
        <f>IF(122.49936="","-",122.49936/2485159.94474*100)</f>
        <v>4.9292344446190562E-3</v>
      </c>
      <c r="F103" s="58">
        <f>IF(OR(2706173.30142="",23.65="",81.87974=""),"-",(81.87974-23.65)/2706173.30142*100)</f>
        <v>2.1517372878316894E-3</v>
      </c>
      <c r="G103" s="58">
        <f>IF(OR(2779164.46518="",122.49936="",81.87974=""),"-",(122.49936-81.87974)/2779164.46518*100)</f>
        <v>1.4615766900059714E-3</v>
      </c>
    </row>
    <row r="104" spans="1:7" x14ac:dyDescent="0.25">
      <c r="A104" s="56" t="s">
        <v>91</v>
      </c>
      <c r="B104" s="57">
        <v>118.95241</v>
      </c>
      <c r="C104" s="58">
        <f>IF(OR(109.51939="",118.95241=""),"-",118.95241/109.51939*100)</f>
        <v>108.61310494881317</v>
      </c>
      <c r="D104" s="58">
        <f>IF(109.51939="","-",109.51939/2779164.46518*100)</f>
        <v>3.9407307977689871E-3</v>
      </c>
      <c r="E104" s="58">
        <f>IF(118.95241="","-",118.95241/2485159.94474*100)</f>
        <v>4.7865092245579759E-3</v>
      </c>
      <c r="F104" s="58">
        <f>IF(OR(2706173.30142="",153.04917="",109.51939=""),"-",(109.51939-153.04917)/2706173.30142*100)</f>
        <v>-1.6085363039077647E-3</v>
      </c>
      <c r="G104" s="58">
        <f>IF(OR(2779164.46518="",118.95241="",109.51939=""),"-",(118.95241-109.51939)/2779164.46518*100)</f>
        <v>3.3941927936204542E-4</v>
      </c>
    </row>
    <row r="105" spans="1:7" x14ac:dyDescent="0.25">
      <c r="A105" s="56" t="s">
        <v>163</v>
      </c>
      <c r="B105" s="57">
        <v>109.128</v>
      </c>
      <c r="C105" s="58">
        <f>IF(OR(85.37911="",109.128=""),"-",109.128/85.37911*100)</f>
        <v>127.8158088085013</v>
      </c>
      <c r="D105" s="58">
        <f>IF(85.37911="","-",85.37911/2779164.46518*100)</f>
        <v>3.0721143375899559E-3</v>
      </c>
      <c r="E105" s="58">
        <f>IF(109.128="","-",109.128/2485159.94474*100)</f>
        <v>4.3911861782166732E-3</v>
      </c>
      <c r="F105" s="58">
        <f>IF(OR(2706173.30142="",80.10248="",85.37911=""),"-",(85.37911-80.10248)/2706173.30142*100)</f>
        <v>1.949849256598316E-4</v>
      </c>
      <c r="G105" s="58">
        <f>IF(OR(2779164.46518="",109.128="",85.37911=""),"-",(109.128-85.37911)/2779164.46518*100)</f>
        <v>8.54533450522578E-4</v>
      </c>
    </row>
    <row r="106" spans="1:7" x14ac:dyDescent="0.25">
      <c r="A106" s="56" t="s">
        <v>89</v>
      </c>
      <c r="B106" s="57">
        <v>98.864199999999997</v>
      </c>
      <c r="C106" s="58" t="s">
        <v>272</v>
      </c>
      <c r="D106" s="58">
        <f>IF(4.15058="","-",4.15058/2779164.46518*100)</f>
        <v>1.4934632519961991E-4</v>
      </c>
      <c r="E106" s="58">
        <f>IF(98.8642="","-",98.8642/2485159.94474*100)</f>
        <v>3.9781825797270071E-3</v>
      </c>
      <c r="F106" s="58">
        <f>IF(OR(2706173.30142="",6.71438="",4.15058=""),"-",(4.15058-6.71438)/2706173.30142*100)</f>
        <v>-9.4738943683122856E-5</v>
      </c>
      <c r="G106" s="58">
        <f>IF(OR(2779164.46518="",98.8642="",4.15058=""),"-",(98.8642-4.15058)/2779164.46518*100)</f>
        <v>3.4079890264380455E-3</v>
      </c>
    </row>
    <row r="107" spans="1:7" x14ac:dyDescent="0.25">
      <c r="A107" s="56" t="s">
        <v>153</v>
      </c>
      <c r="B107" s="57">
        <v>93.004949999999994</v>
      </c>
      <c r="C107" s="58">
        <f>IF(OR(95.95616="",93.00495=""),"-",93.00495/95.95616*100)</f>
        <v>96.924418401069829</v>
      </c>
      <c r="D107" s="58">
        <f>IF(95.95616="","-",95.95616/2779164.46518*100)</f>
        <v>3.4526981473111612E-3</v>
      </c>
      <c r="E107" s="58">
        <f>IF(93.00495="","-",93.00495/2485159.94474*100)</f>
        <v>3.7424130465667175E-3</v>
      </c>
      <c r="F107" s="58">
        <f>IF(OR(2706173.30142="",0.34155="",95.95616=""),"-",(95.95616-0.34155)/2706173.30142*100)</f>
        <v>3.5332035073226287E-3</v>
      </c>
      <c r="G107" s="58">
        <f>IF(OR(2779164.46518="",93.00495="",95.95616=""),"-",(93.00495-95.95616)/2779164.46518*100)</f>
        <v>-1.0619054888530536E-4</v>
      </c>
    </row>
    <row r="108" spans="1:7" x14ac:dyDescent="0.25">
      <c r="A108" s="56" t="s">
        <v>70</v>
      </c>
      <c r="B108" s="57">
        <v>88.201099999999997</v>
      </c>
      <c r="C108" s="58">
        <f>IF(OR(241.40866="",88.2011=""),"-",88.2011/241.40866*100)</f>
        <v>36.536013248240558</v>
      </c>
      <c r="D108" s="58">
        <f>IF(241.40866="","-",241.40866/2779164.46518*100)</f>
        <v>8.6863754565300443E-3</v>
      </c>
      <c r="E108" s="58">
        <f>IF(88.2011="","-",88.2011/2485159.94474*100)</f>
        <v>3.5491116049364653E-3</v>
      </c>
      <c r="F108" s="58">
        <f>IF(OR(2706173.30142="",332.14792="",241.40866=""),"-",(241.40866-332.14792)/2706173.30142*100)</f>
        <v>-3.3530469002996492E-3</v>
      </c>
      <c r="G108" s="58">
        <f>IF(OR(2779164.46518="",88.2011="",241.40866=""),"-",(88.2011-241.40866)/2779164.46518*100)</f>
        <v>-5.5127201689403119E-3</v>
      </c>
    </row>
    <row r="109" spans="1:7" x14ac:dyDescent="0.25">
      <c r="A109" s="56" t="s">
        <v>269</v>
      </c>
      <c r="B109" s="57">
        <v>85.735709999999997</v>
      </c>
      <c r="C109" s="58">
        <f>IF(OR(323.94286="",85.73571=""),"-",85.73571/323.94286*100)</f>
        <v>26.466306434412541</v>
      </c>
      <c r="D109" s="58">
        <f>IF(323.94286="","-",323.94286/2779164.46518*100)</f>
        <v>1.1656124135820763E-2</v>
      </c>
      <c r="E109" s="58">
        <f>IF(85.73571="","-",85.73571/2485159.94474*100)</f>
        <v>3.4499071249504531E-3</v>
      </c>
      <c r="F109" s="58">
        <f>IF(OR(2706173.30142="",555.49575="",323.94286=""),"-",(323.94286-555.49575)/2706173.30142*100)</f>
        <v>-8.5564693834832457E-3</v>
      </c>
      <c r="G109" s="58">
        <f>IF(OR(2779164.46518="",85.73571="",323.94286=""),"-",(85.73571-323.94286)/2779164.46518*100)</f>
        <v>-8.5711786036589202E-3</v>
      </c>
    </row>
    <row r="110" spans="1:7" x14ac:dyDescent="0.25">
      <c r="A110" s="56" t="s">
        <v>175</v>
      </c>
      <c r="B110" s="57">
        <v>72.280500000000004</v>
      </c>
      <c r="C110" s="58">
        <f>IF(OR(787.3835="",72.2805=""),"-",72.2805/787.3835*100)</f>
        <v>9.1798342230945913</v>
      </c>
      <c r="D110" s="58">
        <f>IF(787.3835="","-",787.3835/2779164.46518*100)</f>
        <v>2.833166262252864E-2</v>
      </c>
      <c r="E110" s="58">
        <f>IF(72.2805="","-",72.2805/2485159.94474*100)</f>
        <v>2.9084848302414618E-3</v>
      </c>
      <c r="F110" s="58">
        <f>IF(OR(2706173.30142="",63.71608="",787.3835=""),"-",(787.3835-63.71608)/2706173.30142*100)</f>
        <v>2.6741355389925423E-2</v>
      </c>
      <c r="G110" s="58">
        <f>IF(OR(2779164.46518="",72.2805="",787.3835=""),"-",(72.2805-787.3835)/2779164.46518*100)</f>
        <v>-2.5730862961134058E-2</v>
      </c>
    </row>
    <row r="111" spans="1:7" x14ac:dyDescent="0.25">
      <c r="A111" s="56" t="s">
        <v>74</v>
      </c>
      <c r="B111" s="57">
        <v>70.052369999999996</v>
      </c>
      <c r="C111" s="58" t="s">
        <v>261</v>
      </c>
      <c r="D111" s="58">
        <f>IF(28.99594="","-",28.99594/2779164.46518*100)</f>
        <v>1.0433330003779392E-3</v>
      </c>
      <c r="E111" s="58">
        <f>IF(70.05237="","-",70.05237/2485159.94474*100)</f>
        <v>2.8188274218836624E-3</v>
      </c>
      <c r="F111" s="58">
        <f>IF(OR(2706173.30142="",188.42651="",28.99594=""),"-",(28.99594-188.42651)/2706173.30142*100)</f>
        <v>-5.8913658602848026E-3</v>
      </c>
      <c r="G111" s="58">
        <f>IF(OR(2779164.46518="",70.05237="",28.99594=""),"-",(70.05237-28.99594)/2779164.46518*100)</f>
        <v>1.4772940038055957E-3</v>
      </c>
    </row>
    <row r="112" spans="1:7" x14ac:dyDescent="0.25">
      <c r="A112" s="59" t="s">
        <v>250</v>
      </c>
      <c r="B112" s="60">
        <v>62.405160000000002</v>
      </c>
      <c r="C112" s="61">
        <f>IF(OR(165.7069="",62.40516=""),"-",62.40516/165.7069*100)</f>
        <v>37.659964672563426</v>
      </c>
      <c r="D112" s="61">
        <f>IF(165.7069="","-",165.7069/2779164.46518*100)</f>
        <v>5.9624718895240894E-3</v>
      </c>
      <c r="E112" s="61">
        <f>IF(62.40516="","-",62.40516/2485159.94474*100)</f>
        <v>2.5111124188237667E-3</v>
      </c>
      <c r="F112" s="61">
        <f>IF(OR(2706173.30142="",74.18292="",165.7069=""),"-",(165.7069-74.18292)/2706173.30142*100)</f>
        <v>3.3820443041092372E-3</v>
      </c>
      <c r="G112" s="61">
        <f>IF(OR(2779164.46518="",62.40516="",165.7069=""),"-",(62.40516-165.7069)/2779164.46518*100)</f>
        <v>-3.7170070823177928E-3</v>
      </c>
    </row>
    <row r="113" spans="1:1" x14ac:dyDescent="0.25">
      <c r="A113" s="30" t="s">
        <v>21</v>
      </c>
    </row>
  </sheetData>
  <mergeCells count="5">
    <mergeCell ref="A1:G1"/>
    <mergeCell ref="A3:A4"/>
    <mergeCell ref="B3:C3"/>
    <mergeCell ref="D3:E3"/>
    <mergeCell ref="F3:G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3"/>
  <sheetViews>
    <sheetView zoomScaleNormal="100" workbookViewId="0">
      <selection activeCell="K20" sqref="K20"/>
    </sheetView>
  </sheetViews>
  <sheetFormatPr defaultRowHeight="15.75" x14ac:dyDescent="0.25"/>
  <cols>
    <col min="1" max="1" width="27.5" customWidth="1"/>
    <col min="2" max="2" width="12.875" customWidth="1"/>
    <col min="3" max="3" width="10.625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8" t="s">
        <v>156</v>
      </c>
      <c r="B1" s="98"/>
      <c r="C1" s="98"/>
      <c r="D1" s="98"/>
      <c r="E1" s="98"/>
      <c r="F1" s="98"/>
      <c r="G1" s="98"/>
    </row>
    <row r="2" spans="1:7" x14ac:dyDescent="0.25">
      <c r="A2" s="2"/>
    </row>
    <row r="3" spans="1:7" ht="55.5" customHeight="1" x14ac:dyDescent="0.25">
      <c r="A3" s="92"/>
      <c r="B3" s="94">
        <v>2020</v>
      </c>
      <c r="C3" s="95"/>
      <c r="D3" s="94" t="s">
        <v>109</v>
      </c>
      <c r="E3" s="95"/>
      <c r="F3" s="96" t="s">
        <v>120</v>
      </c>
      <c r="G3" s="97"/>
    </row>
    <row r="4" spans="1:7" ht="28.5" customHeight="1" x14ac:dyDescent="0.25">
      <c r="A4" s="93"/>
      <c r="B4" s="41" t="s">
        <v>100</v>
      </c>
      <c r="C4" s="41" t="s">
        <v>275</v>
      </c>
      <c r="D4" s="42">
        <v>2019</v>
      </c>
      <c r="E4" s="42">
        <v>2020</v>
      </c>
      <c r="F4" s="42" t="s">
        <v>121</v>
      </c>
      <c r="G4" s="40" t="s">
        <v>139</v>
      </c>
    </row>
    <row r="5" spans="1:7" s="3" customFormat="1" ht="15" x14ac:dyDescent="0.25">
      <c r="A5" s="51" t="s">
        <v>131</v>
      </c>
      <c r="B5" s="52">
        <v>5415671.4530400001</v>
      </c>
      <c r="C5" s="53">
        <f>IF(5842484.3398="","-",5415671.45304/5842484.3398*100)</f>
        <v>92.694667851268719</v>
      </c>
      <c r="D5" s="53">
        <v>100</v>
      </c>
      <c r="E5" s="53">
        <v>100</v>
      </c>
      <c r="F5" s="53">
        <f>IF(5760057.05112="","-",(5842484.3398-5760057.05112)/5760057.05112*100)</f>
        <v>1.4310151435734975</v>
      </c>
      <c r="G5" s="53">
        <f>IF(5842484.3398="","-",(5415671.45304-5842484.3398)/5842484.3398*100)</f>
        <v>-7.305332148731285</v>
      </c>
    </row>
    <row r="6" spans="1:7" s="3" customFormat="1" ht="15" x14ac:dyDescent="0.25">
      <c r="A6" s="33" t="s">
        <v>136</v>
      </c>
      <c r="B6" s="28"/>
      <c r="C6" s="45"/>
      <c r="D6" s="45"/>
      <c r="E6" s="45"/>
      <c r="F6" s="45"/>
      <c r="G6" s="45"/>
    </row>
    <row r="7" spans="1:7" ht="12.75" customHeight="1" x14ac:dyDescent="0.25">
      <c r="A7" s="34" t="s">
        <v>165</v>
      </c>
      <c r="B7" s="54">
        <v>2470383.6673499998</v>
      </c>
      <c r="C7" s="55">
        <f>IF(2831246.82739="","-",2470383.66735/2831246.82739*100)</f>
        <v>87.25426704062167</v>
      </c>
      <c r="D7" s="55">
        <f>IF(2831246.82739="","-",2831246.82739/5842484.3398*100)</f>
        <v>48.459639131645829</v>
      </c>
      <c r="E7" s="55">
        <f>IF(2470383.66735="","-",2470383.66735/5415671.45304*100)</f>
        <v>45.615464098422912</v>
      </c>
      <c r="F7" s="55">
        <f>IF(5760057.05112="","-",(2831246.82739-2790862.64183)/5760057.05112*100)</f>
        <v>0.70110738837469888</v>
      </c>
      <c r="G7" s="55">
        <f>IF(5842484.3398="","-",(2470383.66735-2831246.82739)/5842484.3398*100)</f>
        <v>-6.1765361967979793</v>
      </c>
    </row>
    <row r="8" spans="1:7" x14ac:dyDescent="0.25">
      <c r="A8" s="62" t="s">
        <v>2</v>
      </c>
      <c r="B8" s="57">
        <v>631596.64726</v>
      </c>
      <c r="C8" s="58">
        <f>IF(OR(841187.97847="",631596.64726=""),"-",631596.64726/841187.97847*100)</f>
        <v>75.083888907778203</v>
      </c>
      <c r="D8" s="58">
        <f>IF(841187.97847="","-",841187.97847/5842484.3398*100)</f>
        <v>14.397778916405199</v>
      </c>
      <c r="E8" s="58">
        <f>IF(631596.64726="","-",631596.64726/5415671.45304*100)</f>
        <v>11.662388546584808</v>
      </c>
      <c r="F8" s="58">
        <f>IF(OR(5760057.05112="",838184.56726="",841187.97847=""),"-",(841187.97847-838184.56726)/5760057.05112*100)</f>
        <v>5.2142039277474551E-2</v>
      </c>
      <c r="G8" s="58">
        <f>IF(OR(5842484.3398="",631596.64726="",841187.97847=""),"-",(631596.64726-841187.97847)/5842484.3398*100)</f>
        <v>-3.5873665896240072</v>
      </c>
    </row>
    <row r="9" spans="1:7" s="9" customFormat="1" x14ac:dyDescent="0.25">
      <c r="A9" s="62" t="s">
        <v>4</v>
      </c>
      <c r="B9" s="57">
        <v>452292.72878</v>
      </c>
      <c r="C9" s="58">
        <f>IF(OR(484115.1814="",452292.72878=""),"-",452292.72878/484115.1814*100)</f>
        <v>93.426677401858484</v>
      </c>
      <c r="D9" s="58">
        <f>IF(484115.1814="","-",484115.1814/5842484.3398*100)</f>
        <v>8.286118596880522</v>
      </c>
      <c r="E9" s="58">
        <f>IF(452292.72878="","-",452292.72878/5415671.45304*100)</f>
        <v>8.3515540538581376</v>
      </c>
      <c r="F9" s="58">
        <f>IF(OR(5760057.05112="",483123.67837="",484115.1814=""),"-",(484115.1814-483123.67837)/5760057.05112*100)</f>
        <v>1.7213423776891782E-2</v>
      </c>
      <c r="G9" s="58">
        <f>IF(OR(5842484.3398="",452292.72878="",484115.1814=""),"-",(452292.72878-484115.1814)/5842484.3398*100)</f>
        <v>-0.54467330623755406</v>
      </c>
    </row>
    <row r="10" spans="1:7" s="9" customFormat="1" x14ac:dyDescent="0.25">
      <c r="A10" s="62" t="s">
        <v>3</v>
      </c>
      <c r="B10" s="57">
        <v>346827.12173000001</v>
      </c>
      <c r="C10" s="58">
        <f>IF(OR(406430.65966="",346827.12173=""),"-",346827.12173/406430.65966*100)</f>
        <v>85.334881482646665</v>
      </c>
      <c r="D10" s="58">
        <f>IF(406430.65966="","-",406430.65966/5842484.3398*100)</f>
        <v>6.9564698169805093</v>
      </c>
      <c r="E10" s="58">
        <f>IF(346827.12173="","-",346827.12173/5415671.45304*100)</f>
        <v>6.4041388909460926</v>
      </c>
      <c r="F10" s="58">
        <f>IF(OR(5760057.05112="",389487.58469="",406430.65966=""),"-",(406430.65966-389487.58469)/5760057.05112*100)</f>
        <v>0.29414769367094312</v>
      </c>
      <c r="G10" s="58">
        <f>IF(OR(5842484.3398="",346827.12173="",406430.65966=""),"-",(346827.12173-406430.65966)/5842484.3398*100)</f>
        <v>-1.0201745432841047</v>
      </c>
    </row>
    <row r="11" spans="1:7" s="9" customFormat="1" x14ac:dyDescent="0.25">
      <c r="A11" s="62" t="s">
        <v>5</v>
      </c>
      <c r="B11" s="57">
        <v>217198.91738999999</v>
      </c>
      <c r="C11" s="58">
        <f>IF(OR(201624.70556="",217198.91739=""),"-",217198.91739/201624.70556*100)</f>
        <v>107.72435688709059</v>
      </c>
      <c r="D11" s="58">
        <f>IF(201624.70556="","-",201624.70556/5842484.3398*100)</f>
        <v>3.4510097731284981</v>
      </c>
      <c r="E11" s="58">
        <f>IF(217198.91739="","-",217198.91739/5415671.45304*100)</f>
        <v>4.0105630349507049</v>
      </c>
      <c r="F11" s="58">
        <f>IF(OR(5760057.05112="",202725.14401="",201624.70556=""),"-",(201624.70556-202725.14401)/5760057.05112*100)</f>
        <v>-1.9104644975452369E-2</v>
      </c>
      <c r="G11" s="58">
        <f>IF(OR(5842484.3398="",217198.91739="",201624.70556=""),"-",(217198.91739-201624.70556)/5842484.3398*100)</f>
        <v>0.26656831108482049</v>
      </c>
    </row>
    <row r="12" spans="1:7" s="9" customFormat="1" x14ac:dyDescent="0.25">
      <c r="A12" s="62" t="s">
        <v>123</v>
      </c>
      <c r="B12" s="57">
        <v>121292.96911999999</v>
      </c>
      <c r="C12" s="58">
        <f>IF(OR(147014.04363="",121292.96912=""),"-",121292.96912/147014.04363*100)</f>
        <v>82.504341847276891</v>
      </c>
      <c r="D12" s="58">
        <f>IF(147014.04363="","-",147014.04363/5842484.3398*100)</f>
        <v>2.516293327968639</v>
      </c>
      <c r="E12" s="58">
        <f>IF(121292.96912="","-",121292.96912/5415671.45304*100)</f>
        <v>2.2396663123261313</v>
      </c>
      <c r="F12" s="58">
        <f>IF(OR(5760057.05112="",132375.45209="",147014.04363=""),"-",(147014.04363-132375.45209)/5760057.05112*100)</f>
        <v>0.25413969705653572</v>
      </c>
      <c r="G12" s="58">
        <f>IF(OR(5842484.3398="",121292.96912="",147014.04363=""),"-",(121292.96912-147014.04363)/5842484.3398*100)</f>
        <v>-0.44024207878117289</v>
      </c>
    </row>
    <row r="13" spans="1:7" s="9" customFormat="1" x14ac:dyDescent="0.25">
      <c r="A13" s="62" t="s">
        <v>43</v>
      </c>
      <c r="B13" s="57">
        <v>100469.77026999999</v>
      </c>
      <c r="C13" s="58">
        <f>IF(OR(108889.82459="",100469.77027=""),"-",100469.77027/108889.82459*100)</f>
        <v>92.267363500948036</v>
      </c>
      <c r="D13" s="58">
        <f>IF(108889.82459="","-",108889.82459/5842484.3398*100)</f>
        <v>1.86375894665603</v>
      </c>
      <c r="E13" s="58">
        <f>IF(100469.77027="","-",100469.77027/5415671.45304*100)</f>
        <v>1.8551673812044656</v>
      </c>
      <c r="F13" s="58">
        <f>IF(OR(5760057.05112="",110729.93634="",108889.82459=""),"-",(108889.82459-110729.93634)/5760057.05112*100)</f>
        <v>-3.1946068132123799E-2</v>
      </c>
      <c r="G13" s="58">
        <f>IF(OR(5842484.3398="",100469.77027="",108889.82459=""),"-",(100469.77027-108889.82459)/5842484.3398*100)</f>
        <v>-0.14411770456347076</v>
      </c>
    </row>
    <row r="14" spans="1:7" s="9" customFormat="1" x14ac:dyDescent="0.25">
      <c r="A14" s="62" t="s">
        <v>7</v>
      </c>
      <c r="B14" s="57">
        <v>96108.722030000004</v>
      </c>
      <c r="C14" s="58">
        <f>IF(OR(112931.31924="",96108.72203=""),"-",96108.72203/112931.31924*100)</f>
        <v>85.103691940188128</v>
      </c>
      <c r="D14" s="58">
        <f>IF(112931.31924="","-",112931.31924/5842484.3398*100)</f>
        <v>1.9329331953993025</v>
      </c>
      <c r="E14" s="58">
        <f>IF(96108.72203="","-",96108.72203/5415671.45304*100)</f>
        <v>1.7746409261228526</v>
      </c>
      <c r="F14" s="58">
        <f>IF(OR(5760057.05112="",86955.14385="",112931.31924=""),"-",(112931.31924-86955.14385)/5760057.05112*100)</f>
        <v>0.45097080045325472</v>
      </c>
      <c r="G14" s="58">
        <f>IF(OR(5842484.3398="",96108.72203="",112931.31924=""),"-",(96108.72203-112931.31924)/5842484.3398*100)</f>
        <v>-0.28793568337704545</v>
      </c>
    </row>
    <row r="15" spans="1:7" s="9" customFormat="1" x14ac:dyDescent="0.25">
      <c r="A15" s="62" t="s">
        <v>41</v>
      </c>
      <c r="B15" s="57">
        <v>78312.276389999999</v>
      </c>
      <c r="C15" s="58">
        <f>IF(OR(80966.06634="",78312.27639=""),"-",78312.27639/80966.06634*100)</f>
        <v>96.722342988906036</v>
      </c>
      <c r="D15" s="58">
        <f>IF(80966.06634="","-",80966.06634/5842484.3398*100)</f>
        <v>1.3858157186395066</v>
      </c>
      <c r="E15" s="58">
        <f>IF(78312.27639="","-",78312.27639/5415671.45304*100)</f>
        <v>1.4460307843460605</v>
      </c>
      <c r="F15" s="58">
        <f>IF(OR(5760057.05112="",75866.1085="",80966.06634=""),"-",(80966.06634-75866.1085)/5760057.05112*100)</f>
        <v>8.8540057758774354E-2</v>
      </c>
      <c r="G15" s="58">
        <f>IF(OR(5842484.3398="",78312.27639="",80966.06634=""),"-",(78312.27639-80966.06634)/5842484.3398*100)</f>
        <v>-4.5422286062830081E-2</v>
      </c>
    </row>
    <row r="16" spans="1:7" s="9" customFormat="1" x14ac:dyDescent="0.25">
      <c r="A16" s="62" t="s">
        <v>8</v>
      </c>
      <c r="B16" s="57">
        <v>62744.224710000002</v>
      </c>
      <c r="C16" s="58">
        <f>IF(OR(92148.84823="",62744.22471=""),"-",62744.22471/92148.84823*100)</f>
        <v>68.090080250805542</v>
      </c>
      <c r="D16" s="58">
        <f>IF(92148.84823="","-",92148.84823/5842484.3398*100)</f>
        <v>1.5772202862790119</v>
      </c>
      <c r="E16" s="58">
        <f>IF(62744.22471="","-",62744.22471/5415671.45304*100)</f>
        <v>1.1585677834053161</v>
      </c>
      <c r="F16" s="58">
        <f>IF(OR(5760057.05112="",103639.04136="",92148.84823=""),"-",(92148.84823-103639.04136)/5760057.05112*100)</f>
        <v>-0.19948054382145081</v>
      </c>
      <c r="G16" s="58">
        <f>IF(OR(5842484.3398="",62744.22471="",92148.84823=""),"-",(62744.22471-92148.84823)/5842484.3398*100)</f>
        <v>-0.50328972761964785</v>
      </c>
    </row>
    <row r="17" spans="1:7" s="9" customFormat="1" x14ac:dyDescent="0.25">
      <c r="A17" s="62" t="s">
        <v>6</v>
      </c>
      <c r="B17" s="57">
        <v>62727.395620000003</v>
      </c>
      <c r="C17" s="58">
        <f>IF(OR(56212.51121="",62727.39562=""),"-",62727.39562/56212.51121*100)</f>
        <v>111.58974091312439</v>
      </c>
      <c r="D17" s="58">
        <f>IF(56212.51121="","-",56212.51121/5842484.3398*100)</f>
        <v>0.96213370786586083</v>
      </c>
      <c r="E17" s="58">
        <f>IF(62727.39562="","-",62727.39562/5415671.45304*100)</f>
        <v>1.158257035418738</v>
      </c>
      <c r="F17" s="58">
        <f>IF(OR(5760057.05112="",64568.10126="",56212.51121=""),"-",(56212.51121-64568.10126)/5760057.05112*100)</f>
        <v>-0.14506089047113385</v>
      </c>
      <c r="G17" s="58">
        <f>IF(OR(5842484.3398="",62727.39562="",56212.51121=""),"-",(62727.39562-56212.51121)/5842484.3398*100)</f>
        <v>0.1115088039794904</v>
      </c>
    </row>
    <row r="18" spans="1:7" s="9" customFormat="1" x14ac:dyDescent="0.25">
      <c r="A18" s="62" t="s">
        <v>10</v>
      </c>
      <c r="B18" s="57">
        <v>59683.452740000001</v>
      </c>
      <c r="C18" s="58">
        <f>IF(OR(57120.30365="",59683.45274=""),"-",59683.45274/57120.30365*100)</f>
        <v>104.48728197543467</v>
      </c>
      <c r="D18" s="58">
        <f>IF(57120.30365="","-",57120.30365/5842484.3398*100)</f>
        <v>0.97767148917947033</v>
      </c>
      <c r="E18" s="58">
        <f>IF(59683.45274="","-",59683.45274/5415671.45304*100)</f>
        <v>1.1020508400024462</v>
      </c>
      <c r="F18" s="58">
        <f>IF(OR(5760057.05112="",60668.39155="",57120.30365=""),"-",(57120.30365-60668.39155)/5760057.05112*100)</f>
        <v>-6.1598138152296596E-2</v>
      </c>
      <c r="G18" s="58">
        <f>IF(OR(5842484.3398="",59683.45274="",57120.30365=""),"-",(59683.45274-57120.30365)/5842484.3398*100)</f>
        <v>4.3870876512914041E-2</v>
      </c>
    </row>
    <row r="19" spans="1:7" s="9" customFormat="1" ht="15.75" customHeight="1" x14ac:dyDescent="0.25">
      <c r="A19" s="62" t="s">
        <v>42</v>
      </c>
      <c r="B19" s="57">
        <v>41634.610979999998</v>
      </c>
      <c r="C19" s="58">
        <f>IF(OR(41515.41899="",41634.61098=""),"-",41634.61098/41515.41899*100)</f>
        <v>100.28710294367669</v>
      </c>
      <c r="D19" s="58">
        <f>IF(41515.41899="","-",41515.41899/5842484.3398*100)</f>
        <v>0.71057818173666087</v>
      </c>
      <c r="E19" s="58">
        <f>IF(41634.61098="","-",41634.61098/5415671.45304*100)</f>
        <v>0.76878022127116075</v>
      </c>
      <c r="F19" s="58">
        <f>IF(OR(5760057.05112="",45726.99698="",41515.41899=""),"-",(41515.41899-45726.99698)/5760057.05112*100)</f>
        <v>-7.3116949235443693E-2</v>
      </c>
      <c r="G19" s="58">
        <f>IF(OR(5842484.3398="",41634.61098="",41515.41899=""),"-",(41634.61098-41515.41899)/5842484.3398*100)</f>
        <v>2.0400908768902154E-3</v>
      </c>
    </row>
    <row r="20" spans="1:7" s="9" customFormat="1" x14ac:dyDescent="0.25">
      <c r="A20" s="62" t="s">
        <v>45</v>
      </c>
      <c r="B20" s="57">
        <v>30828.55197</v>
      </c>
      <c r="C20" s="58">
        <f>IF(OR(34164.28784="",30828.55197=""),"-",30828.55197/34164.28784*100)</f>
        <v>90.236190827035259</v>
      </c>
      <c r="D20" s="58">
        <f>IF(34164.28784="","-",34164.28784/5842484.3398*100)</f>
        <v>0.58475617311058992</v>
      </c>
      <c r="E20" s="58">
        <f>IF(30828.55197="","-",30828.55197/5415671.45304*100)</f>
        <v>0.56924708666909418</v>
      </c>
      <c r="F20" s="58">
        <f>IF(OR(5760057.05112="",33084.21683="",34164.28784=""),"-",(34164.28784-33084.21683)/5760057.05112*100)</f>
        <v>1.8751047088847634E-2</v>
      </c>
      <c r="G20" s="58">
        <f>IF(OR(5842484.3398="",30828.55197="",34164.28784=""),"-",(30828.55197-34164.28784)/5842484.3398*100)</f>
        <v>-5.7094476869649351E-2</v>
      </c>
    </row>
    <row r="21" spans="1:7" s="9" customFormat="1" x14ac:dyDescent="0.25">
      <c r="A21" s="62" t="s">
        <v>53</v>
      </c>
      <c r="B21" s="57">
        <v>26638.8069</v>
      </c>
      <c r="C21" s="58">
        <f>IF(OR(23497.51419="",26638.8069=""),"-",26638.8069/23497.51419*100)</f>
        <v>113.36861714222036</v>
      </c>
      <c r="D21" s="58">
        <f>IF(23497.51419="","-",23497.51419/5842484.3398*100)</f>
        <v>0.40218360586661611</v>
      </c>
      <c r="E21" s="58">
        <f>IF(26638.8069="","-",26638.8069/5415671.45304*100)</f>
        <v>0.49188373281113157</v>
      </c>
      <c r="F21" s="58">
        <f>IF(OR(5760057.05112="",23172.22561="",23497.51419=""),"-",(23497.51419-23172.22561)/5760057.05112*100)</f>
        <v>5.6473152455451883E-3</v>
      </c>
      <c r="G21" s="58">
        <f>IF(OR(5842484.3398="",26638.8069="",23497.51419=""),"-",(26638.8069-23497.51419)/5842484.3398*100)</f>
        <v>5.3766386477084344E-2</v>
      </c>
    </row>
    <row r="22" spans="1:7" s="9" customFormat="1" x14ac:dyDescent="0.25">
      <c r="A22" s="62" t="s">
        <v>9</v>
      </c>
      <c r="B22" s="57">
        <v>25057.656269999999</v>
      </c>
      <c r="C22" s="58">
        <f>IF(OR(22223.51785="",25057.65627=""),"-",25057.65627/22223.51785*100)</f>
        <v>112.7528793556867</v>
      </c>
      <c r="D22" s="58">
        <f>IF(22223.51785="","-",22223.51785/5842484.3398*100)</f>
        <v>0.38037787621628016</v>
      </c>
      <c r="E22" s="58">
        <f>IF(25057.65627="","-",25057.65627/5415671.45304*100)</f>
        <v>0.46268789543971112</v>
      </c>
      <c r="F22" s="58">
        <f>IF(OR(5760057.05112="",24131.34437="",22223.51785=""),"-",(22223.51785-24131.34437)/5760057.05112*100)</f>
        <v>-3.312166013406128E-2</v>
      </c>
      <c r="G22" s="58">
        <f>IF(OR(5842484.3398="",25057.65627="",22223.51785=""),"-",(25057.65627-22223.51785)/5842484.3398*100)</f>
        <v>4.8509131649585521E-2</v>
      </c>
    </row>
    <row r="23" spans="1:7" s="9" customFormat="1" x14ac:dyDescent="0.25">
      <c r="A23" s="62" t="s">
        <v>51</v>
      </c>
      <c r="B23" s="57">
        <v>22222.13031</v>
      </c>
      <c r="C23" s="58">
        <f>IF(OR(25179.78758="",22222.13031=""),"-",22222.13031/25179.78758*100)</f>
        <v>88.253843442471165</v>
      </c>
      <c r="D23" s="58">
        <f>IF(25179.78758="","-",25179.78758/5842484.3398*100)</f>
        <v>0.43097740816301366</v>
      </c>
      <c r="E23" s="58">
        <f>IF(22222.13031="","-",22222.13031/5415671.45304*100)</f>
        <v>0.41033010408203335</v>
      </c>
      <c r="F23" s="58">
        <f>IF(OR(5760057.05112="",25423.31143="",25179.78758=""),"-",(25179.78758-25423.31143)/5760057.05112*100)</f>
        <v>-4.2278027429025209E-3</v>
      </c>
      <c r="G23" s="58">
        <f>IF(OR(5842484.3398="",22222.13031="",25179.78758=""),"-",(22222.13031-25179.78758)/5842484.3398*100)</f>
        <v>-5.0623281090407611E-2</v>
      </c>
    </row>
    <row r="24" spans="1:7" s="9" customFormat="1" x14ac:dyDescent="0.25">
      <c r="A24" s="62" t="s">
        <v>52</v>
      </c>
      <c r="B24" s="57">
        <v>20641.977019999998</v>
      </c>
      <c r="C24" s="58">
        <f>IF(OR(20367.14132="",20641.97702=""),"-",20641.97702/20367.14132*100)</f>
        <v>101.34940734039155</v>
      </c>
      <c r="D24" s="58">
        <f>IF(20367.14132="","-",20367.14132/5842484.3398*100)</f>
        <v>0.34860412344206992</v>
      </c>
      <c r="E24" s="58">
        <f>IF(20641.97702="","-",20641.97702/5415671.45304*100)</f>
        <v>0.38115268252495182</v>
      </c>
      <c r="F24" s="58">
        <f>IF(OR(5760057.05112="",17823.61844="",20367.14132=""),"-",(20367.14132-17823.61844)/5760057.05112*100)</f>
        <v>4.415794596175799E-2</v>
      </c>
      <c r="G24" s="58">
        <f>IF(OR(5842484.3398="",20641.97702="",20367.14132=""),"-",(20641.97702-20367.14132)/5842484.3398*100)</f>
        <v>4.7040896306348992E-3</v>
      </c>
    </row>
    <row r="25" spans="1:7" s="9" customFormat="1" x14ac:dyDescent="0.25">
      <c r="A25" s="62" t="s">
        <v>44</v>
      </c>
      <c r="B25" s="57">
        <v>14900.27938</v>
      </c>
      <c r="C25" s="58">
        <f>IF(OR(15341.14561="",14900.27938=""),"-",14900.27938/15341.14561*100)</f>
        <v>97.126249621719097</v>
      </c>
      <c r="D25" s="58">
        <f>IF(15341.14561="","-",15341.14561/5842484.3398*100)</f>
        <v>0.26257914814582384</v>
      </c>
      <c r="E25" s="58">
        <f>IF(14900.27938="","-",14900.27938/5415671.45304*100)</f>
        <v>0.27513263146042527</v>
      </c>
      <c r="F25" s="58">
        <f>IF(OR(5760057.05112="",13489.16068="",15341.14561=""),"-",(15341.14561-13489.16068)/5760057.05112*100)</f>
        <v>3.2152197687692938E-2</v>
      </c>
      <c r="G25" s="58">
        <f>IF(OR(5842484.3398="",14900.27938="",15341.14561=""),"-",(14900.27938-15341.14561)/5842484.3398*100)</f>
        <v>-7.5458692631273933E-3</v>
      </c>
    </row>
    <row r="26" spans="1:7" s="9" customFormat="1" x14ac:dyDescent="0.25">
      <c r="A26" s="62" t="s">
        <v>49</v>
      </c>
      <c r="B26" s="57">
        <v>14206.045190000001</v>
      </c>
      <c r="C26" s="58">
        <f>IF(OR(12803.3682="",14206.04519=""),"-",14206.04519/12803.3682*100)</f>
        <v>110.95553113906386</v>
      </c>
      <c r="D26" s="58">
        <f>IF(12803.3682="","-",12803.3682/5842484.3398*100)</f>
        <v>0.21914253347298293</v>
      </c>
      <c r="E26" s="58">
        <f>IF(14206.04519="","-",14206.04519/5415671.45304*100)</f>
        <v>0.26231364500565607</v>
      </c>
      <c r="F26" s="58">
        <f>IF(OR(5760057.05112="",16450.67318="",12803.3682=""),"-",(12803.3682-16450.67318)/5760057.05112*100)</f>
        <v>-6.3320639841419793E-2</v>
      </c>
      <c r="G26" s="58">
        <f>IF(OR(5842484.3398="",14206.04519="",12803.3682=""),"-",(14206.04519-12803.3682)/5842484.3398*100)</f>
        <v>2.4008228493566083E-2</v>
      </c>
    </row>
    <row r="27" spans="1:7" s="9" customFormat="1" x14ac:dyDescent="0.25">
      <c r="A27" s="62" t="s">
        <v>46</v>
      </c>
      <c r="B27" s="57">
        <v>12591.14597</v>
      </c>
      <c r="C27" s="58">
        <f>IF(OR(11942.49097="",12591.14597=""),"-",12591.14597/11942.49097*100)</f>
        <v>105.43148830197524</v>
      </c>
      <c r="D27" s="58">
        <f>IF(11942.49097="","-",11942.49097/5842484.3398*100)</f>
        <v>0.20440775319919496</v>
      </c>
      <c r="E27" s="58">
        <f>IF(12591.14597="","-",12591.14597/5415671.45304*100)</f>
        <v>0.23249464224666289</v>
      </c>
      <c r="F27" s="58">
        <f>IF(OR(5760057.05112="",12871.34906="",11942.49097=""),"-",(11942.49097-12871.34906)/5760057.05112*100)</f>
        <v>-1.6125848785115596E-2</v>
      </c>
      <c r="G27" s="58">
        <f>IF(OR(5842484.3398="",12591.14597="",11942.49097=""),"-",(12591.14597-11942.49097)/5842484.3398*100)</f>
        <v>1.1102383203344685E-2</v>
      </c>
    </row>
    <row r="28" spans="1:7" s="9" customFormat="1" x14ac:dyDescent="0.25">
      <c r="A28" s="62" t="s">
        <v>50</v>
      </c>
      <c r="B28" s="57">
        <v>12038.72459</v>
      </c>
      <c r="C28" s="58">
        <f>IF(OR(13862.20346="",12038.72459=""),"-",12038.72459/13862.20346*100)</f>
        <v>86.845678067980103</v>
      </c>
      <c r="D28" s="58">
        <f>IF(13862.20346="","-",13862.20346/5842484.3398*100)</f>
        <v>0.23726556467714094</v>
      </c>
      <c r="E28" s="58">
        <f>IF(12038.72459="","-",12038.72459/5415671.45304*100)</f>
        <v>0.22229421955134032</v>
      </c>
      <c r="F28" s="58">
        <f>IF(OR(5760057.05112="",13422.88689="",13862.20346=""),"-",(13862.20346-13422.88689)/5760057.05112*100)</f>
        <v>7.6269482420244263E-3</v>
      </c>
      <c r="G28" s="58">
        <f>IF(OR(5842484.3398="",12038.72459="",13862.20346=""),"-",(12038.72459-13862.20346)/5842484.3398*100)</f>
        <v>-3.1210676211456002E-2</v>
      </c>
    </row>
    <row r="29" spans="1:7" s="9" customFormat="1" x14ac:dyDescent="0.25">
      <c r="A29" s="62" t="s">
        <v>54</v>
      </c>
      <c r="B29" s="57">
        <v>7536.7321599999996</v>
      </c>
      <c r="C29" s="58">
        <f>IF(OR(8295.22667="",7536.73216=""),"-",7536.73216/8295.22667*100)</f>
        <v>90.856253359017614</v>
      </c>
      <c r="D29" s="58">
        <f>IF(8295.22667="","-",8295.22667/5842484.3398*100)</f>
        <v>0.14198115369332701</v>
      </c>
      <c r="E29" s="58">
        <f>IF(7536.73216="","-",7536.73216/5415671.45304*100)</f>
        <v>0.13916523971869407</v>
      </c>
      <c r="F29" s="58">
        <f>IF(OR(5760057.05112="",6668.19074="",8295.22667=""),"-",(8295.22667-6668.19074)/5760057.05112*100)</f>
        <v>2.8246871785473634E-2</v>
      </c>
      <c r="G29" s="58">
        <f>IF(OR(5842484.3398="",7536.73216="",8295.22667=""),"-",(7536.73216-8295.22667)/5842484.3398*100)</f>
        <v>-1.2982396971661635E-2</v>
      </c>
    </row>
    <row r="30" spans="1:7" s="9" customFormat="1" x14ac:dyDescent="0.25">
      <c r="A30" s="62" t="s">
        <v>124</v>
      </c>
      <c r="B30" s="57">
        <v>6240.1450299999997</v>
      </c>
      <c r="C30" s="58">
        <f>IF(OR(5866.71501="",6240.14503=""),"-",6240.14503/5866.71501*100)</f>
        <v>106.3652319801367</v>
      </c>
      <c r="D30" s="58">
        <f>IF(5866.71501="","-",5866.71501/5842484.3398*100)</f>
        <v>0.1004147323089073</v>
      </c>
      <c r="E30" s="58">
        <f>IF(6240.14503="","-",6240.14503/5415671.45304*100)</f>
        <v>0.11522384775570524</v>
      </c>
      <c r="F30" s="58">
        <f>IF(OR(5760057.05112="",3191.69142="",5866.71501=""),"-",(5866.71501-3191.69142)/5760057.05112*100)</f>
        <v>4.6440921787048298E-2</v>
      </c>
      <c r="G30" s="58">
        <f>IF(OR(5842484.3398="",6240.14503="",5866.71501=""),"-",(6240.14503-5866.71501)/5842484.3398*100)</f>
        <v>6.3916306536952227E-3</v>
      </c>
    </row>
    <row r="31" spans="1:7" s="9" customFormat="1" x14ac:dyDescent="0.25">
      <c r="A31" s="62" t="s">
        <v>47</v>
      </c>
      <c r="B31" s="57">
        <v>4304.3702599999997</v>
      </c>
      <c r="C31" s="58">
        <f>IF(OR(4815.69723="",4304.37026=""),"-",4304.37026/4815.69723*100)</f>
        <v>89.382078117066342</v>
      </c>
      <c r="D31" s="58">
        <f>IF(4815.69723="","-",4815.69723/5842484.3398*100)</f>
        <v>8.2425505143328304E-2</v>
      </c>
      <c r="E31" s="58">
        <f>IF(4304.37026="","-",4304.37026/5415671.45304*100)</f>
        <v>7.9479900088544164E-2</v>
      </c>
      <c r="F31" s="58">
        <f>IF(OR(5760057.05112="",5167.38245="",4815.69723=""),"-",(4815.69723-5167.38245)/5760057.05112*100)</f>
        <v>-6.1055857065099341E-3</v>
      </c>
      <c r="G31" s="58">
        <f>IF(OR(5842484.3398="",4304.37026="",4815.69723=""),"-",(4304.37026-4815.69723)/5842484.3398*100)</f>
        <v>-8.7518757477320647E-3</v>
      </c>
    </row>
    <row r="32" spans="1:7" s="9" customFormat="1" x14ac:dyDescent="0.25">
      <c r="A32" s="62" t="s">
        <v>55</v>
      </c>
      <c r="B32" s="57">
        <v>1546.86697</v>
      </c>
      <c r="C32" s="58">
        <f>IF(OR(1950.34458="",1546.86697=""),"-",1546.86697/1950.34458*100)</f>
        <v>79.312496153884766</v>
      </c>
      <c r="D32" s="58">
        <f>IF(1950.34458="","-",1950.34458/5842484.3398*100)</f>
        <v>3.3382110529829236E-2</v>
      </c>
      <c r="E32" s="58">
        <f>IF(1546.86697="","-",1546.86697/5415671.45304*100)</f>
        <v>2.8562791953187838E-2</v>
      </c>
      <c r="F32" s="58">
        <f>IF(OR(5760057.05112="",985.28782="",1950.34458=""),"-",(1950.34458-985.28782)/5760057.05112*100)</f>
        <v>1.675429169251634E-2</v>
      </c>
      <c r="G32" s="58">
        <f>IF(OR(5842484.3398="",1546.86697="",1950.34458=""),"-",(1546.86697-1950.34458)/5842484.3398*100)</f>
        <v>-6.90592539977286E-3</v>
      </c>
    </row>
    <row r="33" spans="1:7" s="9" customFormat="1" x14ac:dyDescent="0.25">
      <c r="A33" s="62" t="s">
        <v>48</v>
      </c>
      <c r="B33" s="57">
        <v>627.06780000000003</v>
      </c>
      <c r="C33" s="58">
        <f>IF(OR(674.39721="",627.0678=""),"-",627.0678/674.39721*100)</f>
        <v>92.981968297288788</v>
      </c>
      <c r="D33" s="58">
        <f>IF(674.39721="","-",674.39721/5842484.3398*100)</f>
        <v>1.1542987037310328E-2</v>
      </c>
      <c r="E33" s="58">
        <f>IF(627.0678="","-",627.0678/5415671.45304*100)</f>
        <v>1.1578763694167703E-2</v>
      </c>
      <c r="F33" s="58">
        <f>IF(OR(5760057.05112="",828.87414="",674.39721=""),"-",(674.39721-828.87414)/5760057.05112*100)</f>
        <v>-2.6818645827468525E-3</v>
      </c>
      <c r="G33" s="58">
        <f>IF(OR(5842484.3398="",627.0678="",674.39721=""),"-",(627.0678-674.39721)/5842484.3398*100)</f>
        <v>-8.1009048971828509E-4</v>
      </c>
    </row>
    <row r="34" spans="1:7" s="9" customFormat="1" x14ac:dyDescent="0.25">
      <c r="A34" s="62" t="s">
        <v>56</v>
      </c>
      <c r="B34" s="57">
        <v>114.33051</v>
      </c>
      <c r="C34" s="58">
        <f>IF(OR(106.1287="",114.33051=""),"-",114.33051/106.1287*100)</f>
        <v>107.7281734347071</v>
      </c>
      <c r="D34" s="58">
        <f>IF(106.1287="","-",106.1287/5842484.3398*100)</f>
        <v>1.8164995201961122E-3</v>
      </c>
      <c r="E34" s="58">
        <f>IF(114.33051="","-",114.33051/5415671.45304*100)</f>
        <v>2.1111049846981103E-3</v>
      </c>
      <c r="F34" s="58">
        <f>IF(OR(5760057.05112="",102.28251="",106.1287=""),"-",(106.1287-102.28251)/5760057.05112*100)</f>
        <v>6.6773470572693895E-5</v>
      </c>
      <c r="G34" s="58">
        <f>IF(OR(5842484.3398="",114.33051="",106.1287=""),"-",(114.33051-106.1287)/5842484.3398*100)</f>
        <v>1.4038223336137814E-4</v>
      </c>
    </row>
    <row r="35" spans="1:7" s="9" customFormat="1" x14ac:dyDescent="0.25">
      <c r="A35" s="34" t="s">
        <v>243</v>
      </c>
      <c r="B35" s="54">
        <v>1317609.3637600001</v>
      </c>
      <c r="C35" s="55">
        <f>IF(1417224.57479="","-",1317609.36376/1417224.57479*100)</f>
        <v>92.97110614633813</v>
      </c>
      <c r="D35" s="55">
        <f>IF(1417224.57479="","-",1417224.57479/5842484.3398*100)</f>
        <v>24.257225049549973</v>
      </c>
      <c r="E35" s="55">
        <f>IF(1317609.36376="","-",1317609.36376/5415671.45304*100)</f>
        <v>24.329566060001319</v>
      </c>
      <c r="F35" s="55">
        <f>IF(5760057.05112="","-",(1417224.57479-1449078.77262)/5760057.05112*100)</f>
        <v>-0.55301879039212209</v>
      </c>
      <c r="G35" s="55">
        <f>IF(5842484.3398="","-",(1317609.36376-1417224.57479)/5842484.3398*100)</f>
        <v>-1.7050146005767459</v>
      </c>
    </row>
    <row r="36" spans="1:7" s="9" customFormat="1" x14ac:dyDescent="0.25">
      <c r="A36" s="56" t="s">
        <v>125</v>
      </c>
      <c r="B36" s="57">
        <v>603181.36805000005</v>
      </c>
      <c r="C36" s="58">
        <f>IF(OR(692513.93306="",603181.36805=""),"-",603181.36805/692513.93306*100)</f>
        <v>87.100250154496166</v>
      </c>
      <c r="D36" s="58">
        <f>IF(692513.93306="","-",692513.93306/5842484.3398*100)</f>
        <v>11.853072987161932</v>
      </c>
      <c r="E36" s="58">
        <f>IF(603181.36805="","-",603181.36805/5415671.45304*100)</f>
        <v>11.137702375047398</v>
      </c>
      <c r="F36" s="58">
        <f>IF(OR(5760057.05112="",720656.62772="",692513.93306=""),"-",(692513.93306-720656.62772)/5760057.05112*100)</f>
        <v>-0.48858360968018366</v>
      </c>
      <c r="G36" s="58">
        <f>IF(OR(5842484.3398="",603181.36805="",692513.93306=""),"-",(603181.36805-692513.93306)/5842484.3398*100)</f>
        <v>-1.5290167643488786</v>
      </c>
    </row>
    <row r="37" spans="1:7" s="9" customFormat="1" x14ac:dyDescent="0.25">
      <c r="A37" s="56" t="s">
        <v>12</v>
      </c>
      <c r="B37" s="57">
        <v>527570.54072000005</v>
      </c>
      <c r="C37" s="58">
        <f>IF(OR(568940.97962="",527570.54072=""),"-",527570.54072/568940.97962*100)</f>
        <v>92.728518355694547</v>
      </c>
      <c r="D37" s="58">
        <f>IF(568940.97962="","-",568940.97962/5842484.3398*100)</f>
        <v>9.7379975115085369</v>
      </c>
      <c r="E37" s="58">
        <f>IF(527570.54072="","-",527570.54072/5415671.45304*100)</f>
        <v>9.741553661344371</v>
      </c>
      <c r="F37" s="58">
        <f>IF(OR(5760057.05112="",577085.76695="",568940.97962=""),"-",(568940.97962-577085.76695)/5760057.05112*100)</f>
        <v>-0.14140115727527855</v>
      </c>
      <c r="G37" s="58">
        <f>IF(OR(5842484.3398="",527570.54072="",568940.97962=""),"-",(527570.54072-568940.97962)/5842484.3398*100)</f>
        <v>-0.70809670157226545</v>
      </c>
    </row>
    <row r="38" spans="1:7" s="9" customFormat="1" x14ac:dyDescent="0.25">
      <c r="A38" s="56" t="s">
        <v>11</v>
      </c>
      <c r="B38" s="57">
        <v>113860.44283</v>
      </c>
      <c r="C38" s="58">
        <f>IF(OR(130979.98713="",113860.44283=""),"-",113860.44283/130979.98713*100)</f>
        <v>86.929648814968559</v>
      </c>
      <c r="D38" s="58">
        <f>IF(130979.98713="","-",130979.98713/5842484.3398*100)</f>
        <v>2.2418543125180839</v>
      </c>
      <c r="E38" s="58">
        <f>IF(113860.44283="","-",113860.44283/5415671.45304*100)</f>
        <v>2.1024252268125734</v>
      </c>
      <c r="F38" s="58">
        <f>IF(OR(5760057.05112="",128169.79631="",130979.98713=""),"-",(130979.98713-128169.79631)/5760057.05112*100)</f>
        <v>4.8787551842972954E-2</v>
      </c>
      <c r="G38" s="58">
        <f>IF(OR(5842484.3398="",113860.44283="",130979.98713=""),"-",(113860.44283-130979.98713)/5842484.3398*100)</f>
        <v>-0.29301823170288599</v>
      </c>
    </row>
    <row r="39" spans="1:7" s="9" customFormat="1" x14ac:dyDescent="0.25">
      <c r="A39" s="56" t="s">
        <v>13</v>
      </c>
      <c r="B39" s="57">
        <v>58287.406840000003</v>
      </c>
      <c r="C39" s="58" t="s">
        <v>282</v>
      </c>
      <c r="D39" s="58">
        <f>IF(11652.20355="","-",11652.20355/5842484.3398*100)</f>
        <v>0.19943919182843509</v>
      </c>
      <c r="E39" s="58">
        <f>IF(58287.40684="","-",58287.40684/5415671.45304*100)</f>
        <v>1.0762729487085354</v>
      </c>
      <c r="F39" s="58">
        <f>IF(OR(5760057.05112="",5995.31764="",11652.20355=""),"-",(11652.20355-5995.31764)/5760057.05112*100)</f>
        <v>9.8208852096353133E-2</v>
      </c>
      <c r="G39" s="58">
        <f>IF(OR(5842484.3398="",58287.40684="",11652.20355=""),"-",(58287.40684-11652.20355)/5842484.3398*100)</f>
        <v>0.79820844314999773</v>
      </c>
    </row>
    <row r="40" spans="1:7" s="9" customFormat="1" x14ac:dyDescent="0.25">
      <c r="A40" s="56" t="s">
        <v>15</v>
      </c>
      <c r="B40" s="57">
        <v>7484.4359800000002</v>
      </c>
      <c r="C40" s="58">
        <f>IF(OR(7973.77505="",7484.43598=""),"-",7484.43598/7973.77505*100)</f>
        <v>93.86314428320874</v>
      </c>
      <c r="D40" s="58">
        <f>IF(7973.77505="","-",7973.77505/5842484.3398*100)</f>
        <v>0.13647918567245929</v>
      </c>
      <c r="E40" s="58">
        <f>IF(7484.43598="","-",7484.43598/5415671.45304*100)</f>
        <v>0.13819959436052445</v>
      </c>
      <c r="F40" s="58">
        <f>IF(OR(5760057.05112="",4051.81038="",7973.77505=""),"-",(7973.77505-4051.81038)/5760057.05112*100)</f>
        <v>6.8088990008135494E-2</v>
      </c>
      <c r="G40" s="58">
        <f>IF(OR(5842484.3398="",7484.43598="",7973.77505=""),"-",(7484.43598-7973.77505)/5842484.3398*100)</f>
        <v>-8.3755307081704745E-3</v>
      </c>
    </row>
    <row r="41" spans="1:7" s="9" customFormat="1" x14ac:dyDescent="0.25">
      <c r="A41" s="56" t="s">
        <v>14</v>
      </c>
      <c r="B41" s="57">
        <v>4161.3277699999999</v>
      </c>
      <c r="C41" s="58" t="s">
        <v>268</v>
      </c>
      <c r="D41" s="58">
        <f>IF(807.16822="","-",807.16822/5842484.3398*100)</f>
        <v>1.3815496508932552E-2</v>
      </c>
      <c r="E41" s="58">
        <f>IF(4161.32777="","-",4161.32777/5415671.45304*100)</f>
        <v>7.6838630372677158E-2</v>
      </c>
      <c r="F41" s="58">
        <f>IF(OR(5760057.05112="",575.5034="",807.16822=""),"-",(807.16822-575.5034)/5760057.05112*100)</f>
        <v>4.0219188446224581E-3</v>
      </c>
      <c r="G41" s="58">
        <f>IF(OR(5842484.3398="",4161.32777="",807.16822=""),"-",(4161.32777-807.16822)/5842484.3398*100)</f>
        <v>5.7409816696484622E-2</v>
      </c>
    </row>
    <row r="42" spans="1:7" s="9" customFormat="1" x14ac:dyDescent="0.25">
      <c r="A42" s="56" t="s">
        <v>16</v>
      </c>
      <c r="B42" s="57">
        <v>1721.1400699999999</v>
      </c>
      <c r="C42" s="58">
        <f>IF(OR(3075.88093="",1721.14007=""),"-",1721.14007/3075.88093*100)</f>
        <v>55.956004447805462</v>
      </c>
      <c r="D42" s="58">
        <f>IF(3075.88093="","-",3075.88093/5842484.3398*100)</f>
        <v>5.2646798024713115E-2</v>
      </c>
      <c r="E42" s="58">
        <f>IF(1721.14007="","-",1721.14007/5415671.45304*100)</f>
        <v>3.1780732729528222E-2</v>
      </c>
      <c r="F42" s="58">
        <f>IF(OR(5760057.05112="",10953.42423="",3075.88093=""),"-",(3075.88093-10953.42423)/5760057.05112*100)</f>
        <v>-0.13676154993062561</v>
      </c>
      <c r="G42" s="58">
        <f>IF(OR(5842484.3398="",1721.14007="",3075.88093=""),"-",(1721.14007-3075.88093)/5842484.3398*100)</f>
        <v>-2.3187753380377488E-2</v>
      </c>
    </row>
    <row r="43" spans="1:7" s="9" customFormat="1" x14ac:dyDescent="0.25">
      <c r="A43" s="56" t="s">
        <v>17</v>
      </c>
      <c r="B43" s="57">
        <v>960.03454999999997</v>
      </c>
      <c r="C43" s="58">
        <f>IF(OR(1119.59468="",960.03455=""),"-",960.03455/1119.59468*100)</f>
        <v>85.748402270007219</v>
      </c>
      <c r="D43" s="58">
        <f>IF(1119.59468="","-",1119.59468/5842484.3398*100)</f>
        <v>1.9162989832478113E-2</v>
      </c>
      <c r="E43" s="58">
        <f>IF(960.03455="","-",960.03455/5415671.45304*100)</f>
        <v>1.7726971776714777E-2</v>
      </c>
      <c r="F43" s="58">
        <f>IF(OR(5760057.05112="",1244.24646="",1119.59468=""),"-",(1119.59468-1244.24646)/5760057.05112*100)</f>
        <v>-2.1640719682761221E-3</v>
      </c>
      <c r="G43" s="58">
        <f>IF(OR(5842484.3398="",960.03455="",1119.59468=""),"-",(960.03455-1119.59468)/5842484.3398*100)</f>
        <v>-2.7310322239641983E-3</v>
      </c>
    </row>
    <row r="44" spans="1:7" s="9" customFormat="1" x14ac:dyDescent="0.25">
      <c r="A44" s="56" t="s">
        <v>127</v>
      </c>
      <c r="B44" s="57">
        <v>381.89612</v>
      </c>
      <c r="C44" s="58" t="s">
        <v>261</v>
      </c>
      <c r="D44" s="58">
        <f>IF(160.91697="","-",160.91697/5842484.3398*100)</f>
        <v>2.7542559062384837E-3</v>
      </c>
      <c r="E44" s="58">
        <f>IF(381.89612="","-",381.89612/5415671.45304*100)</f>
        <v>7.0516855261895323E-3</v>
      </c>
      <c r="F44" s="58">
        <f>IF(OR(5760057.05112="",345.97243="",160.91697=""),"-",(160.91697-345.97243)/5760057.05112*100)</f>
        <v>-3.2127365815589858E-3</v>
      </c>
      <c r="G44" s="58">
        <f>IF(OR(5842484.3398="",381.89612="",160.91697=""),"-",(381.89612-160.91697)/5842484.3398*100)</f>
        <v>3.7822805701788935E-3</v>
      </c>
    </row>
    <row r="45" spans="1:7" s="9" customFormat="1" x14ac:dyDescent="0.25">
      <c r="A45" s="56" t="s">
        <v>18</v>
      </c>
      <c r="B45" s="57">
        <v>0.77083000000000002</v>
      </c>
      <c r="C45" s="58" t="s">
        <v>255</v>
      </c>
      <c r="D45" s="58">
        <f>IF(0.13558="","-",0.13558/5842484.3398*100)</f>
        <v>2.3205881627513469E-6</v>
      </c>
      <c r="E45" s="58">
        <f>IF(0.77083="","-",0.77083/5415671.45304*100)</f>
        <v>1.4233322805564709E-5</v>
      </c>
      <c r="F45" s="58">
        <f>IF(OR(5760057.05112="",0.3071="",0.13558=""),"-",(0.13558-0.3071)/5760057.05112*100)</f>
        <v>-2.9777482840495338E-6</v>
      </c>
      <c r="G45" s="58">
        <f>IF(OR(5842484.3398="",0.77083="",0.13558=""),"-",(0.77083-0.13558)/5842484.3398*100)</f>
        <v>1.0872943136065741E-5</v>
      </c>
    </row>
    <row r="46" spans="1:7" s="9" customFormat="1" x14ac:dyDescent="0.25">
      <c r="A46" s="34" t="s">
        <v>166</v>
      </c>
      <c r="B46" s="54">
        <v>1627678.42193</v>
      </c>
      <c r="C46" s="55">
        <f>IF(1594012.93762="","-",1627678.42193/1594012.93762*100)</f>
        <v>102.11199567553481</v>
      </c>
      <c r="D46" s="55">
        <f>IF(1594012.93762="","-",1594012.93762/5842484.3398*100)</f>
        <v>27.283135818804201</v>
      </c>
      <c r="E46" s="55">
        <f>IF(1627678.42193="","-",1627678.42193/5415671.45304*100)</f>
        <v>30.054969841575762</v>
      </c>
      <c r="F46" s="55">
        <f>IF(5760057.05112="","-",(1594012.93762-1520115.63667)/5760057.05112*100)</f>
        <v>1.2829265455909207</v>
      </c>
      <c r="G46" s="55">
        <f>IF(5842484.3398="","-",(1627678.42193-1594012.93762)/5842484.3398*100)</f>
        <v>0.57621864864343664</v>
      </c>
    </row>
    <row r="47" spans="1:7" s="9" customFormat="1" x14ac:dyDescent="0.25">
      <c r="A47" s="56" t="s">
        <v>60</v>
      </c>
      <c r="B47" s="57">
        <v>645967.69036000001</v>
      </c>
      <c r="C47" s="58">
        <f>IF(OR(602292.88421="",645967.69036=""),"-",645967.69036/602292.88421*100)</f>
        <v>107.25142323527301</v>
      </c>
      <c r="D47" s="58">
        <f>IF(602292.88421="","-",602292.88421/5842484.3398*100)</f>
        <v>10.30884892762276</v>
      </c>
      <c r="E47" s="58">
        <f>IF(645967.69036="","-",645967.69036/5415671.45304*100)</f>
        <v>11.927748866622927</v>
      </c>
      <c r="F47" s="58">
        <f>IF(OR(5760057.05112="",600283.8854="",602292.88421=""),"-",(602292.88421-600283.8854)/5760057.05112*100)</f>
        <v>3.4878106105032142E-2</v>
      </c>
      <c r="G47" s="58">
        <f>IF(OR(5842484.3398="",645967.69036="",602292.88421=""),"-",(645967.69036-602292.88421)/5842484.3398*100)</f>
        <v>0.7475382664268303</v>
      </c>
    </row>
    <row r="48" spans="1:7" s="9" customFormat="1" x14ac:dyDescent="0.25">
      <c r="A48" s="56" t="s">
        <v>57</v>
      </c>
      <c r="B48" s="57">
        <v>388190.95445999998</v>
      </c>
      <c r="C48" s="58">
        <f>IF(OR(400548.63019="",388190.95446=""),"-",388190.95446/400548.63019*100)</f>
        <v>96.91481263482585</v>
      </c>
      <c r="D48" s="58">
        <f>IF(400548.63019="","-",400548.63019/5842484.3398*100)</f>
        <v>6.8557929622745304</v>
      </c>
      <c r="E48" s="58">
        <f>IF(388190.95446="","-",388190.95446/5415671.45304*100)</f>
        <v>7.1679192104996554</v>
      </c>
      <c r="F48" s="58">
        <f>IF(OR(5760057.05112="",340400.72773="",400548.63019=""),"-",(400548.63019-340400.72773)/5760057.05112*100)</f>
        <v>1.0442240749734364</v>
      </c>
      <c r="G48" s="58">
        <f>IF(OR(5842484.3398="",388190.95446="",400548.63019=""),"-",(388190.95446-400548.63019)/5842484.3398*100)</f>
        <v>-0.21151405825459252</v>
      </c>
    </row>
    <row r="49" spans="1:7" s="9" customFormat="1" x14ac:dyDescent="0.25">
      <c r="A49" s="56" t="s">
        <v>19</v>
      </c>
      <c r="B49" s="57">
        <v>68439.489809999999</v>
      </c>
      <c r="C49" s="58">
        <f>IF(OR(74329.64217="",68439.48981=""),"-",68439.48981/74329.64217*100)</f>
        <v>92.075634715785952</v>
      </c>
      <c r="D49" s="58">
        <f>IF(74329.64217="","-",74329.64217/5842484.3398*100)</f>
        <v>1.27222663933652</v>
      </c>
      <c r="E49" s="58">
        <f>IF(68439.48981="","-",68439.48981/5415671.45304*100)</f>
        <v>1.2637304608200077</v>
      </c>
      <c r="F49" s="58">
        <f>IF(OR(5760057.05112="",72862.68546="",74329.64217=""),"-",(74329.64217-72862.68546)/5760057.05112*100)</f>
        <v>2.546774618690234E-2</v>
      </c>
      <c r="G49" s="58">
        <f>IF(OR(5842484.3398="",68439.48981="",74329.64217=""),"-",(68439.48981-74329.64217)/5842484.3398*100)</f>
        <v>-0.10081588614410626</v>
      </c>
    </row>
    <row r="50" spans="1:7" s="9" customFormat="1" x14ac:dyDescent="0.25">
      <c r="A50" s="56" t="s">
        <v>77</v>
      </c>
      <c r="B50" s="57">
        <v>56427.42916</v>
      </c>
      <c r="C50" s="58">
        <f>IF(OR(51675.21965="",56427.42916=""),"-",56427.42916/51675.21965*100)</f>
        <v>109.19630248731802</v>
      </c>
      <c r="D50" s="58">
        <f>IF(51675.21965="","-",51675.21965/5842484.3398*100)</f>
        <v>0.88447339598293118</v>
      </c>
      <c r="E50" s="58">
        <f>IF(56427.42916="","-",56427.42916/5415671.45304*100)</f>
        <v>1.0419285890824372</v>
      </c>
      <c r="F50" s="58">
        <f>IF(OR(5760057.05112="",53058.91281="",51675.21965=""),"-",(51675.21965-53058.91281)/5760057.05112*100)</f>
        <v>-2.4022212761433567E-2</v>
      </c>
      <c r="G50" s="58">
        <f>IF(OR(5842484.3398="",56427.42916="",51675.21965=""),"-",(56427.42916-51675.21965)/5842484.3398*100)</f>
        <v>8.133884891444447E-2</v>
      </c>
    </row>
    <row r="51" spans="1:7" s="9" customFormat="1" ht="25.5" x14ac:dyDescent="0.25">
      <c r="A51" s="56" t="s">
        <v>122</v>
      </c>
      <c r="B51" s="57">
        <v>50147.149839999998</v>
      </c>
      <c r="C51" s="58">
        <f>IF(OR(58733.88129="",50147.14984=""),"-",50147.14984/58733.88129*100)</f>
        <v>85.380275811157787</v>
      </c>
      <c r="D51" s="58">
        <f>IF(58733.88129="","-",58733.88129/5842484.3398*100)</f>
        <v>1.0052894945715949</v>
      </c>
      <c r="E51" s="58">
        <f>IF(50147.14984="","-",50147.14984/5415671.45304*100)</f>
        <v>0.92596366442891775</v>
      </c>
      <c r="F51" s="58">
        <f>IF(OR(5760057.05112="",59937.68841="",58733.88129=""),"-",(58733.88129-59937.68841)/5760057.05112*100)</f>
        <v>-2.0899222165966805E-2</v>
      </c>
      <c r="G51" s="58">
        <f>IF(OR(5842484.3398="",50147.14984="",58733.88129=""),"-",(50147.14984-58733.88129)/5842484.3398*100)</f>
        <v>-0.14697055140577303</v>
      </c>
    </row>
    <row r="52" spans="1:7" s="9" customFormat="1" x14ac:dyDescent="0.25">
      <c r="A52" s="56" t="s">
        <v>73</v>
      </c>
      <c r="B52" s="57">
        <v>45230.016580000003</v>
      </c>
      <c r="C52" s="58">
        <f>IF(OR(47233.27082="",45230.01658=""),"-",45230.01658/47233.27082*100)</f>
        <v>95.758806863843617</v>
      </c>
      <c r="D52" s="58">
        <f>IF(47233.27082="","-",47233.27082/5842484.3398*100)</f>
        <v>0.80844497088745104</v>
      </c>
      <c r="E52" s="58">
        <f>IF(45230.01658="","-",45230.01658/5415671.45304*100)</f>
        <v>0.83516913779196966</v>
      </c>
      <c r="F52" s="58">
        <f>IF(OR(5760057.05112="",38634.01033="",47233.27082=""),"-",(47233.27082-38634.01033)/5760057.05112*100)</f>
        <v>0.14929123815410714</v>
      </c>
      <c r="G52" s="58">
        <f>IF(OR(5842484.3398="",45230.01658="",47233.27082=""),"-",(45230.01658-47233.27082)/5842484.3398*100)</f>
        <v>-3.4287712614880027E-2</v>
      </c>
    </row>
    <row r="53" spans="1:7" s="9" customFormat="1" x14ac:dyDescent="0.25">
      <c r="A53" s="56" t="s">
        <v>37</v>
      </c>
      <c r="B53" s="57">
        <v>43380.434029999997</v>
      </c>
      <c r="C53" s="58">
        <f>IF(OR(41054.0109="",43380.43403=""),"-",43380.43403/41054.0109*100)</f>
        <v>105.66673774132991</v>
      </c>
      <c r="D53" s="58">
        <f>IF(41054.0109="","-",41054.0109/5842484.3398*100)</f>
        <v>0.70268071786402708</v>
      </c>
      <c r="E53" s="58">
        <f>IF(43380.43403="","-",43380.43403/5415671.45304*100)</f>
        <v>0.80101672352463482</v>
      </c>
      <c r="F53" s="58">
        <f>IF(OR(5760057.05112="",38503.83452="",41054.0109=""),"-",(41054.0109-38503.83452)/5760057.05112*100)</f>
        <v>4.4273456970432987E-2</v>
      </c>
      <c r="G53" s="58">
        <f>IF(OR(5842484.3398="",43380.43403="",41054.0109=""),"-",(43380.43403-41054.0109)/5842484.3398*100)</f>
        <v>3.9819073440248771E-2</v>
      </c>
    </row>
    <row r="54" spans="1:7" s="9" customFormat="1" x14ac:dyDescent="0.25">
      <c r="A54" s="56" t="s">
        <v>70</v>
      </c>
      <c r="B54" s="57">
        <v>39554.698089999998</v>
      </c>
      <c r="C54" s="58">
        <f>IF(OR(35621.91756="",39554.69809=""),"-",39554.69809/35621.91756*100)</f>
        <v>111.04033920514186</v>
      </c>
      <c r="D54" s="58">
        <f>IF(35621.91756="","-",35621.91756/5842484.3398*100)</f>
        <v>0.60970497288862924</v>
      </c>
      <c r="E54" s="58">
        <f>IF(39554.69809="","-",39554.69809/5415671.45304*100)</f>
        <v>0.73037477315572019</v>
      </c>
      <c r="F54" s="58">
        <f>IF(OR(5760057.05112="",31041.06667="",35621.91756=""),"-",(35621.91756-31041.06667)/5760057.05112*100)</f>
        <v>7.9527873584330028E-2</v>
      </c>
      <c r="G54" s="58">
        <f>IF(OR(5842484.3398="",39554.69809="",35621.91756=""),"-",(39554.69809-35621.91756)/5842484.3398*100)</f>
        <v>6.7313497157522953E-2</v>
      </c>
    </row>
    <row r="55" spans="1:7" s="9" customFormat="1" x14ac:dyDescent="0.25">
      <c r="A55" s="56" t="s">
        <v>128</v>
      </c>
      <c r="B55" s="57">
        <v>34519.932050000003</v>
      </c>
      <c r="C55" s="58">
        <f>IF(OR(34872.27571="",34519.93205=""),"-",34519.93205/34872.27571*100)</f>
        <v>98.989616671621576</v>
      </c>
      <c r="D55" s="58">
        <f>IF(34872.27571="","-",34872.27571/5842484.3398*100)</f>
        <v>0.59687409810316672</v>
      </c>
      <c r="E55" s="58">
        <f>IF(34519.93205="","-",34519.93205/5415671.45304*100)</f>
        <v>0.63740816534619726</v>
      </c>
      <c r="F55" s="58">
        <f>IF(OR(5760057.05112="",35945.32423="",34872.27571=""),"-",(34872.27571-35945.32423)/5760057.05112*100)</f>
        <v>-1.8629130067233456E-2</v>
      </c>
      <c r="G55" s="58">
        <f>IF(OR(5842484.3398="",34519.93205="",34872.27571=""),"-",(34519.93205-34872.27571)/5842484.3398*100)</f>
        <v>-6.0307163786434735E-3</v>
      </c>
    </row>
    <row r="56" spans="1:7" s="9" customFormat="1" x14ac:dyDescent="0.25">
      <c r="A56" s="56" t="s">
        <v>67</v>
      </c>
      <c r="B56" s="57">
        <v>34196.694040000002</v>
      </c>
      <c r="C56" s="58">
        <f>IF(OR(24319.33999="",34196.69404=""),"-",34196.69404/24319.33999*100)</f>
        <v>140.61522251040336</v>
      </c>
      <c r="D56" s="58">
        <f>IF(24319.33999="","-",24319.33999/5842484.3398*100)</f>
        <v>0.41624998161026311</v>
      </c>
      <c r="E56" s="58">
        <f>IF(34196.69404="","-",34196.69404/5415671.45304*100)</f>
        <v>0.63143959777700764</v>
      </c>
      <c r="F56" s="58">
        <f>IF(OR(5760057.05112="",27021.35924="",24319.33999=""),"-",(24319.33999-27021.35924)/5760057.05112*100)</f>
        <v>-4.6909591797786337E-2</v>
      </c>
      <c r="G56" s="58">
        <f>IF(OR(5842484.3398="",34196.69404="",24319.33999=""),"-",(34196.69404-24319.33999)/5842484.3398*100)</f>
        <v>0.16906085623052133</v>
      </c>
    </row>
    <row r="57" spans="1:7" s="9" customFormat="1" x14ac:dyDescent="0.25">
      <c r="A57" s="56" t="s">
        <v>80</v>
      </c>
      <c r="B57" s="57">
        <v>19582.723440000002</v>
      </c>
      <c r="C57" s="58">
        <f>IF(OR(17090.72143="",19582.72344=""),"-",19582.72344/17090.72143*100)</f>
        <v>114.58102292642658</v>
      </c>
      <c r="D57" s="58">
        <f>IF(17090.72143="","-",17090.72143/5842484.3398*100)</f>
        <v>0.29252489927230252</v>
      </c>
      <c r="E57" s="58">
        <f>IF(19582.72344="","-",19582.72344/5415671.45304*100)</f>
        <v>0.3615936381998866</v>
      </c>
      <c r="F57" s="58">
        <f>IF(OR(5760057.05112="",14952.06949="",17090.72143=""),"-",(17090.72143-14952.06949)/5760057.05112*100)</f>
        <v>3.7129006206356181E-2</v>
      </c>
      <c r="G57" s="58">
        <f>IF(OR(5842484.3398="",19582.72344="",17090.72143=""),"-",(19582.72344-17090.72143)/5842484.3398*100)</f>
        <v>4.2653122628400687E-2</v>
      </c>
    </row>
    <row r="58" spans="1:7" s="9" customFormat="1" x14ac:dyDescent="0.25">
      <c r="A58" s="56" t="s">
        <v>71</v>
      </c>
      <c r="B58" s="57">
        <v>17672.967980000001</v>
      </c>
      <c r="C58" s="58">
        <f>IF(OR(21814.38709="",17672.96798=""),"-",17672.96798/21814.38709*100)</f>
        <v>81.015193812626165</v>
      </c>
      <c r="D58" s="58">
        <f>IF(21814.38709="","-",21814.38709/5842484.3398*100)</f>
        <v>0.37337519146430009</v>
      </c>
      <c r="E58" s="58">
        <f>IF(17672.96798="","-",17672.96798/5415671.45304*100)</f>
        <v>0.32633013529798904</v>
      </c>
      <c r="F58" s="58">
        <f>IF(OR(5760057.05112="",20433.40014="",21814.38709=""),"-",(21814.38709-20433.40014)/5760057.05112*100)</f>
        <v>2.3975230414279944E-2</v>
      </c>
      <c r="G58" s="58">
        <f>IF(OR(5842484.3398="",17672.96798="",21814.38709=""),"-",(17672.96798-21814.38709)/5842484.3398*100)</f>
        <v>-7.0884556451233344E-2</v>
      </c>
    </row>
    <row r="59" spans="1:7" s="9" customFormat="1" x14ac:dyDescent="0.25">
      <c r="A59" s="56" t="s">
        <v>62</v>
      </c>
      <c r="B59" s="57">
        <v>13467.068730000001</v>
      </c>
      <c r="C59" s="58">
        <f>IF(OR(12878.07077="",13467.06873=""),"-",13467.06873/12878.07077*100)</f>
        <v>104.57365059192014</v>
      </c>
      <c r="D59" s="58">
        <f>IF(12878.07077="","-",12878.07077/5842484.3398*100)</f>
        <v>0.22042114314748582</v>
      </c>
      <c r="E59" s="58">
        <f>IF(13467.06873="","-",13467.06873/5415671.45304*100)</f>
        <v>0.24866849562006718</v>
      </c>
      <c r="F59" s="58">
        <f>IF(OR(5760057.05112="",11259.46788="",12878.07077=""),"-",(12878.07077-11259.46788)/5760057.05112*100)</f>
        <v>2.8100466291132914E-2</v>
      </c>
      <c r="G59" s="58">
        <f>IF(OR(5842484.3398="",13467.06873="",12878.07077=""),"-",(13467.06873-12878.07077)/5842484.3398*100)</f>
        <v>1.0081292918282142E-2</v>
      </c>
    </row>
    <row r="60" spans="1:7" s="9" customFormat="1" x14ac:dyDescent="0.25">
      <c r="A60" s="56" t="s">
        <v>72</v>
      </c>
      <c r="B60" s="57">
        <v>10901.24278</v>
      </c>
      <c r="C60" s="58">
        <f>IF(OR(10240.53888="",10901.24278=""),"-",10901.24278/10240.53888*100)</f>
        <v>106.4518469949894</v>
      </c>
      <c r="D60" s="58">
        <f>IF(10240.53888="","-",10240.53888/5842484.3398*100)</f>
        <v>0.17527713014547086</v>
      </c>
      <c r="E60" s="58">
        <f>IF(10901.24278="","-",10901.24278/5415671.45304*100)</f>
        <v>0.20129069635272581</v>
      </c>
      <c r="F60" s="58">
        <f>IF(OR(5760057.05112="",10683.35365="",10240.53888=""),"-",(10240.53888-10683.35365)/5760057.05112*100)</f>
        <v>-7.687680279380168E-3</v>
      </c>
      <c r="G60" s="58">
        <f>IF(OR(5842484.3398="",10901.24278="",10240.53888=""),"-",(10901.24278-10240.53888)/5842484.3398*100)</f>
        <v>1.1308612254194208E-2</v>
      </c>
    </row>
    <row r="61" spans="1:7" s="9" customFormat="1" x14ac:dyDescent="0.25">
      <c r="A61" s="56" t="s">
        <v>83</v>
      </c>
      <c r="B61" s="57">
        <v>10215.51424</v>
      </c>
      <c r="C61" s="58">
        <f>IF(OR(9968.81607="",10215.51424=""),"-",10215.51424/9968.81607*100)</f>
        <v>102.47469878336315</v>
      </c>
      <c r="D61" s="58">
        <f>IF(9968.81607="","-",9968.81607/5842484.3398*100)</f>
        <v>0.17062632076034376</v>
      </c>
      <c r="E61" s="58">
        <f>IF(10215.51424="","-",10215.51424/5415671.45304*100)</f>
        <v>0.18862876613878943</v>
      </c>
      <c r="F61" s="58">
        <f>IF(OR(5760057.05112="",10380.55232="",9968.81607=""),"-",(9968.81607-10380.55232)/5760057.05112*100)</f>
        <v>-7.1481279845994035E-3</v>
      </c>
      <c r="G61" s="58">
        <f>IF(OR(5842484.3398="",10215.51424="",9968.81607=""),"-",(10215.51424-9968.81607)/5842484.3398*100)</f>
        <v>4.2224874839535236E-3</v>
      </c>
    </row>
    <row r="62" spans="1:7" s="9" customFormat="1" x14ac:dyDescent="0.25">
      <c r="A62" s="56" t="s">
        <v>63</v>
      </c>
      <c r="B62" s="57">
        <v>9891.0497899999991</v>
      </c>
      <c r="C62" s="58">
        <f>IF(OR(10610.50057="",9891.04979=""),"-",9891.04979/10610.50057*100)</f>
        <v>93.219445442242687</v>
      </c>
      <c r="D62" s="58">
        <f>IF(10610.50057="","-",10610.50057/5842484.3398*100)</f>
        <v>0.18160939684030405</v>
      </c>
      <c r="E62" s="58">
        <f>IF(9891.04979="","-",9891.04979/5415671.45304*100)</f>
        <v>0.18263755243955609</v>
      </c>
      <c r="F62" s="58">
        <f>IF(OR(5760057.05112="",12306.90136="",10610.50057=""),"-",(10610.50057-12306.90136)/5760057.05112*100)</f>
        <v>-2.945111089950311E-2</v>
      </c>
      <c r="G62" s="58">
        <f>IF(OR(5842484.3398="",9891.04979="",10610.50057=""),"-",(9891.04979-10610.50057)/5842484.3398*100)</f>
        <v>-1.2314124234770806E-2</v>
      </c>
    </row>
    <row r="63" spans="1:7" s="9" customFormat="1" x14ac:dyDescent="0.25">
      <c r="A63" s="56" t="s">
        <v>75</v>
      </c>
      <c r="B63" s="57">
        <v>9813.84944</v>
      </c>
      <c r="C63" s="58">
        <f>IF(OR(6823.11165="",9813.84944=""),"-",9813.84944/6823.11165*100)</f>
        <v>143.83246154267459</v>
      </c>
      <c r="D63" s="58">
        <f>IF(6823.11165="","-",6823.11165/5842484.3398*100)</f>
        <v>0.11678442342617505</v>
      </c>
      <c r="E63" s="58">
        <f>IF(9813.84944="","-",9813.84944/5415671.45304*100)</f>
        <v>0.18121205329934026</v>
      </c>
      <c r="F63" s="58">
        <f>IF(OR(5760057.05112="",4893.08943="",6823.11165=""),"-",(6823.11165-4893.08943)/5760057.05112*100)</f>
        <v>3.350699833128773E-2</v>
      </c>
      <c r="G63" s="58">
        <f>IF(OR(5842484.3398="",9813.84944="",6823.11165=""),"-",(9813.84944-6823.11165)/5842484.3398*100)</f>
        <v>5.1189487486112448E-2</v>
      </c>
    </row>
    <row r="64" spans="1:7" s="9" customFormat="1" x14ac:dyDescent="0.25">
      <c r="A64" s="56" t="s">
        <v>84</v>
      </c>
      <c r="B64" s="57">
        <v>9527.1441799999993</v>
      </c>
      <c r="C64" s="58">
        <f>IF(OR(11347.78164="",9527.14418=""),"-",9527.14418/11347.78164*100)</f>
        <v>83.956005519330731</v>
      </c>
      <c r="D64" s="58">
        <f>IF(11347.78164="","-",11347.78164/5842484.3398*100)</f>
        <v>0.19422870443480653</v>
      </c>
      <c r="E64" s="58">
        <f>IF(9527.14418="","-",9527.14418/5415671.45304*100)</f>
        <v>0.17591806044017108</v>
      </c>
      <c r="F64" s="58">
        <f>IF(OR(5760057.05112="",11827.43018="",11347.78164=""),"-",(11347.78164-11827.43018)/5760057.05112*100)</f>
        <v>-8.327149119238951E-3</v>
      </c>
      <c r="G64" s="58">
        <f>IF(OR(5842484.3398="",9527.14418="",11347.78164=""),"-",(9527.14418-11347.78164)/5842484.3398*100)</f>
        <v>-3.1162042619395775E-2</v>
      </c>
    </row>
    <row r="65" spans="1:7" s="9" customFormat="1" x14ac:dyDescent="0.25">
      <c r="A65" s="56" t="s">
        <v>79</v>
      </c>
      <c r="B65" s="57">
        <v>9041.49856</v>
      </c>
      <c r="C65" s="58">
        <f>IF(OR(9848.19465="",9041.49856=""),"-",9041.49856/9848.19465*100)</f>
        <v>91.808690641588825</v>
      </c>
      <c r="D65" s="58">
        <f>IF(9848.19465="","-",9848.19465/5842484.3398*100)</f>
        <v>0.1685617637502666</v>
      </c>
      <c r="E65" s="58">
        <f>IF(9041.49856="","-",9041.49856/5415671.45304*100)</f>
        <v>0.16695064754943176</v>
      </c>
      <c r="F65" s="58">
        <f>IF(OR(5760057.05112="",8423.17209="",9848.19465=""),"-",(9848.19465-8423.17209)/5760057.05112*100)</f>
        <v>2.4739729960190488E-2</v>
      </c>
      <c r="G65" s="58">
        <f>IF(OR(5842484.3398="",9041.49856="",9848.19465=""),"-",(9041.49856-9848.19465)/5842484.3398*100)</f>
        <v>-1.3807415528778538E-2</v>
      </c>
    </row>
    <row r="66" spans="1:7" s="9" customFormat="1" x14ac:dyDescent="0.25">
      <c r="A66" s="56" t="s">
        <v>64</v>
      </c>
      <c r="B66" s="57">
        <v>6770.1852699999999</v>
      </c>
      <c r="C66" s="58">
        <f>IF(OR(8277.56374="",6770.18527=""),"-",6770.18527/8277.56374*100)</f>
        <v>81.789587886640675</v>
      </c>
      <c r="D66" s="58">
        <f>IF(8277.56374="","-",8277.56374/5842484.3398*100)</f>
        <v>0.14167883486844499</v>
      </c>
      <c r="E66" s="58">
        <f>IF(6770.18527="","-",6770.18527/5415671.45304*100)</f>
        <v>0.12501100424398282</v>
      </c>
      <c r="F66" s="58">
        <f>IF(OR(5760057.05112="",7927.21115="",8277.56374=""),"-",(8277.56374-7927.21115)/5760057.05112*100)</f>
        <v>6.0824499981623637E-3</v>
      </c>
      <c r="G66" s="58">
        <f>IF(OR(5842484.3398="",6770.18527="",8277.56374=""),"-",(6770.18527-8277.56374)/5842484.3398*100)</f>
        <v>-2.5800299706949671E-2</v>
      </c>
    </row>
    <row r="67" spans="1:7" s="9" customFormat="1" x14ac:dyDescent="0.25">
      <c r="A67" s="56" t="s">
        <v>66</v>
      </c>
      <c r="B67" s="57">
        <v>6691.6822300000003</v>
      </c>
      <c r="C67" s="58">
        <f>IF(OR(6189.57419="",6691.68223=""),"-",6691.68223/6189.57419*100)</f>
        <v>108.11215803522019</v>
      </c>
      <c r="D67" s="58">
        <f>IF(6189.57419="","-",6189.57419/5842484.3398*100)</f>
        <v>0.10594079213589952</v>
      </c>
      <c r="E67" s="58">
        <f>IF(6691.68223="","-",6691.68223/5415671.45304*100)</f>
        <v>0.1235614510227302</v>
      </c>
      <c r="F67" s="58">
        <f>IF(OR(5760057.05112="",5508.56242="",6189.57419=""),"-",(6189.57419-5508.56242)/5760057.05112*100)</f>
        <v>1.1823003903539157E-2</v>
      </c>
      <c r="G67" s="58">
        <f>IF(OR(5842484.3398="",6691.68223="",6189.57419=""),"-",(6691.68223-6189.57419)/5842484.3398*100)</f>
        <v>8.5940844818282944E-3</v>
      </c>
    </row>
    <row r="68" spans="1:7" s="9" customFormat="1" x14ac:dyDescent="0.25">
      <c r="A68" s="56" t="s">
        <v>85</v>
      </c>
      <c r="B68" s="57">
        <v>6273.3555999999999</v>
      </c>
      <c r="C68" s="58">
        <f>IF(OR(7446.20721="",6273.3556=""),"-",6273.3556/7446.20721*100)</f>
        <v>84.249006548932712</v>
      </c>
      <c r="D68" s="58">
        <f>IF(7446.20721="","-",7446.20721/5842484.3398*100)</f>
        <v>0.12744933108806411</v>
      </c>
      <c r="E68" s="58">
        <f>IF(6273.3556="","-",6273.3556/5415671.45304*100)</f>
        <v>0.11583707864107143</v>
      </c>
      <c r="F68" s="58">
        <f>IF(OR(5760057.05112="",5615.20752="",7446.20721=""),"-",(7446.20721-5615.20752)/5760057.05112*100)</f>
        <v>3.1787874212877383E-2</v>
      </c>
      <c r="G68" s="58">
        <f>IF(OR(5842484.3398="",6273.3556="",7446.20721=""),"-",(6273.3556-7446.20721)/5842484.3398*100)</f>
        <v>-2.0074535793110037E-2</v>
      </c>
    </row>
    <row r="69" spans="1:7" s="9" customFormat="1" x14ac:dyDescent="0.25">
      <c r="A69" s="56" t="s">
        <v>69</v>
      </c>
      <c r="B69" s="57">
        <v>6262.1943099999999</v>
      </c>
      <c r="C69" s="58">
        <f>IF(OR(6301.47467="",6262.19431=""),"-",6262.19431/6301.47467*100)</f>
        <v>99.376648133063114</v>
      </c>
      <c r="D69" s="58">
        <f>IF(6301.47467="","-",6301.47467/5842484.3398*100)</f>
        <v>0.10785608148015527</v>
      </c>
      <c r="E69" s="58">
        <f>IF(6262.19431="","-",6262.19431/5415671.45304*100)</f>
        <v>0.1156309861907302</v>
      </c>
      <c r="F69" s="58">
        <f>IF(OR(5760057.05112="",9124.86199="",6301.47467=""),"-",(6301.47467-9124.86199)/5760057.05112*100)</f>
        <v>-4.9016655476546253E-2</v>
      </c>
      <c r="G69" s="58">
        <f>IF(OR(5842484.3398="",6262.19431="",6301.47467=""),"-",(6262.19431-6301.47467)/5842484.3398*100)</f>
        <v>-6.7232289751151285E-4</v>
      </c>
    </row>
    <row r="70" spans="1:7" s="9" customFormat="1" x14ac:dyDescent="0.25">
      <c r="A70" s="56" t="s">
        <v>141</v>
      </c>
      <c r="B70" s="57">
        <v>6233.21839</v>
      </c>
      <c r="C70" s="58">
        <f>IF(OR(4310.92719="",6233.21839=""),"-",6233.21839/4310.92719*100)</f>
        <v>144.59113121787612</v>
      </c>
      <c r="D70" s="58">
        <f>IF(4310.92719="","-",4310.92719/5842484.3398*100)</f>
        <v>7.378585785216793E-2</v>
      </c>
      <c r="E70" s="58">
        <f>IF(6233.21839="","-",6233.21839/5415671.45304*100)</f>
        <v>0.11509594782565849</v>
      </c>
      <c r="F70" s="58">
        <f>IF(OR(5760057.05112="",4664.76933="",4310.92719=""),"-",(4310.92719-4664.76933)/5760057.05112*100)</f>
        <v>-6.1430318633944395E-3</v>
      </c>
      <c r="G70" s="58">
        <f>IF(OR(5842484.3398="",6233.21839="",4310.92719=""),"-",(6233.21839-4310.92719)/5842484.3398*100)</f>
        <v>3.2901948695095745E-2</v>
      </c>
    </row>
    <row r="71" spans="1:7" s="9" customFormat="1" x14ac:dyDescent="0.25">
      <c r="A71" s="56" t="s">
        <v>86</v>
      </c>
      <c r="B71" s="57">
        <v>5569.7637699999996</v>
      </c>
      <c r="C71" s="58">
        <f>IF(OR(8033.07987="",5569.76377=""),"-",5569.76377/8033.07987*100)</f>
        <v>69.335346593535107</v>
      </c>
      <c r="D71" s="58">
        <f>IF(8033.07987="","-",8033.07987/5842484.3398*100)</f>
        <v>0.13749424735770857</v>
      </c>
      <c r="E71" s="58">
        <f>IF(5569.76377="","-",5569.76377/5415671.45304*100)</f>
        <v>0.10284530400885936</v>
      </c>
      <c r="F71" s="58">
        <f>IF(OR(5760057.05112="",6334.02255="",8033.07987=""),"-",(8033.07987-6334.02255)/5760057.05112*100)</f>
        <v>2.9497230755199392E-2</v>
      </c>
      <c r="G71" s="58">
        <f>IF(OR(5842484.3398="",5569.76377="",8033.07987=""),"-",(5569.76377-8033.07987)/5842484.3398*100)</f>
        <v>-4.2162134406068842E-2</v>
      </c>
    </row>
    <row r="72" spans="1:7" s="9" customFormat="1" x14ac:dyDescent="0.25">
      <c r="A72" s="56" t="s">
        <v>76</v>
      </c>
      <c r="B72" s="57">
        <v>5004.2324699999999</v>
      </c>
      <c r="C72" s="58">
        <f>IF(OR(4882.32649="",5004.23247=""),"-",5004.23247/4882.32649*100)</f>
        <v>102.49688299726959</v>
      </c>
      <c r="D72" s="58">
        <f>IF(4882.32649="","-",4882.32649/5842484.3398*100)</f>
        <v>8.3565931991306505E-2</v>
      </c>
      <c r="E72" s="58">
        <f>IF(5004.23247="","-",5004.23247/5415671.45304*100)</f>
        <v>9.2402807544592735E-2</v>
      </c>
      <c r="F72" s="58">
        <f>IF(OR(5760057.05112="",4728.28482="",4882.32649=""),"-",(4882.32649-4728.28482)/5760057.05112*100)</f>
        <v>2.6743080603697888E-3</v>
      </c>
      <c r="G72" s="58">
        <f>IF(OR(5842484.3398="",5004.23247="",4882.32649=""),"-",(5004.23247-4882.32649)/5842484.3398*100)</f>
        <v>2.0865435474008071E-3</v>
      </c>
    </row>
    <row r="73" spans="1:7" s="9" customFormat="1" x14ac:dyDescent="0.25">
      <c r="A73" s="56" t="s">
        <v>59</v>
      </c>
      <c r="B73" s="57">
        <v>4834.2717300000004</v>
      </c>
      <c r="C73" s="58" t="s">
        <v>105</v>
      </c>
      <c r="D73" s="58">
        <f>IF(3094.92115="","-",3094.92115/5842484.3398*100)</f>
        <v>5.2972690554202589E-2</v>
      </c>
      <c r="E73" s="58">
        <f>IF(4834.27173="","-",4834.27173/5415671.45304*100)</f>
        <v>8.926449419833915E-2</v>
      </c>
      <c r="F73" s="58">
        <f>IF(OR(5760057.05112="",2717.72727="",3094.92115=""),"-",(3094.92115-2717.72727)/5760057.05112*100)</f>
        <v>6.5484400007228697E-3</v>
      </c>
      <c r="G73" s="58">
        <f>IF(OR(5842484.3398="",4834.27173="",3094.92115=""),"-",(4834.27173-3094.92115)/5842484.3398*100)</f>
        <v>2.9770735852062923E-2</v>
      </c>
    </row>
    <row r="74" spans="1:7" s="9" customFormat="1" x14ac:dyDescent="0.25">
      <c r="A74" s="56" t="s">
        <v>81</v>
      </c>
      <c r="B74" s="57">
        <v>4513.2837200000004</v>
      </c>
      <c r="C74" s="58">
        <f>IF(OR(6087.79617="",4513.28372=""),"-",4513.28372/6087.79617*100)</f>
        <v>74.136577407781388</v>
      </c>
      <c r="D74" s="58">
        <f>IF(6087.79617="","-",6087.79617/5842484.3398*100)</f>
        <v>0.10419875888291036</v>
      </c>
      <c r="E74" s="58">
        <f>IF(4513.28372="","-",4513.28372/5415671.45304*100)</f>
        <v>8.3337472724024669E-2</v>
      </c>
      <c r="F74" s="58">
        <f>IF(OR(5760057.05112="",7203.91624="",6087.79617=""),"-",(6087.79617-7203.91624)/5760057.05112*100)</f>
        <v>-1.9376892626141243E-2</v>
      </c>
      <c r="G74" s="58">
        <f>IF(OR(5842484.3398="",4513.28372="",6087.79617=""),"-",(4513.28372-6087.79617)/5842484.3398*100)</f>
        <v>-2.6949365345734038E-2</v>
      </c>
    </row>
    <row r="75" spans="1:7" s="9" customFormat="1" x14ac:dyDescent="0.25">
      <c r="A75" s="56" t="s">
        <v>82</v>
      </c>
      <c r="B75" s="57">
        <v>4107.4638400000003</v>
      </c>
      <c r="C75" s="58">
        <f>IF(OR(3549.397="",4107.46384=""),"-",4107.46384/3549.397*100)</f>
        <v>115.72286334833777</v>
      </c>
      <c r="D75" s="58">
        <f>IF(3549.397="","-",3549.397/5842484.3398*100)</f>
        <v>6.0751502161861218E-2</v>
      </c>
      <c r="E75" s="58">
        <f>IF(4107.46384="","-",4107.46384/5415671.45304*100)</f>
        <v>7.5844036618845145E-2</v>
      </c>
      <c r="F75" s="58">
        <f>IF(OR(5760057.05112="",5067.59775="",3549.397=""),"-",(3549.397-5067.59775)/5760057.05112*100)</f>
        <v>-2.6357390847453449E-2</v>
      </c>
      <c r="G75" s="58">
        <f>IF(OR(5842484.3398="",4107.46384="",3549.397=""),"-",(4107.46384-3549.397)/5842484.3398*100)</f>
        <v>9.5518756669719061E-3</v>
      </c>
    </row>
    <row r="76" spans="1:7" s="9" customFormat="1" x14ac:dyDescent="0.25">
      <c r="A76" s="56" t="s">
        <v>87</v>
      </c>
      <c r="B76" s="57">
        <v>3738.8392699999999</v>
      </c>
      <c r="C76" s="58">
        <f>IF(OR(4139.81072="",3738.83927=""),"-",3738.83927/4139.81072*100)</f>
        <v>90.314256445038623</v>
      </c>
      <c r="D76" s="58">
        <f>IF(4139.81072="","-",4139.81072/5842484.3398*100)</f>
        <v>7.0857027237521256E-2</v>
      </c>
      <c r="E76" s="58">
        <f>IF(3738.83927="","-",3738.83927/5415671.45304*100)</f>
        <v>6.9037409348406145E-2</v>
      </c>
      <c r="F76" s="58">
        <f>IF(OR(5760057.05112="",1947.72949="",4139.81072=""),"-",(4139.81072-1947.72949)/5760057.05112*100)</f>
        <v>3.8056588859198312E-2</v>
      </c>
      <c r="G76" s="58">
        <f>IF(OR(5842484.3398="",3738.83927="",4139.81072=""),"-",(3738.83927-4139.81072)/5842484.3398*100)</f>
        <v>-6.8630299488954471E-3</v>
      </c>
    </row>
    <row r="77" spans="1:7" s="9" customFormat="1" x14ac:dyDescent="0.25">
      <c r="A77" s="56" t="s">
        <v>40</v>
      </c>
      <c r="B77" s="57">
        <v>3543.6353300000001</v>
      </c>
      <c r="C77" s="58">
        <f>IF(OR(3378.04162="",3543.63533=""),"-",3543.63533/3378.04162*100)</f>
        <v>104.90206245593861</v>
      </c>
      <c r="D77" s="58">
        <f>IF(3378.04162="","-",3378.04162/5842484.3398*100)</f>
        <v>5.7818582362099011E-2</v>
      </c>
      <c r="E77" s="58">
        <f>IF(3543.63533="","-",3543.63533/5415671.45304*100)</f>
        <v>6.5432982054530603E-2</v>
      </c>
      <c r="F77" s="58">
        <f>IF(OR(5760057.05112="",4194.99111="",3378.04162=""),"-",(3378.04162-4194.99111)/5760057.05112*100)</f>
        <v>-1.418301038947436E-2</v>
      </c>
      <c r="G77" s="58">
        <f>IF(OR(5842484.3398="",3543.63533="",3378.04162=""),"-",(3543.63533-3378.04162)/5842484.3398*100)</f>
        <v>2.8343030185283935E-3</v>
      </c>
    </row>
    <row r="78" spans="1:7" s="9" customFormat="1" x14ac:dyDescent="0.25">
      <c r="A78" s="56" t="s">
        <v>38</v>
      </c>
      <c r="B78" s="57">
        <v>3499.37898</v>
      </c>
      <c r="C78" s="58">
        <f>IF(OR(2891.91941="",3499.37898=""),"-",3499.37898/2891.91941*100)</f>
        <v>121.00541141981547</v>
      </c>
      <c r="D78" s="58">
        <f>IF(2891.91941="","-",2891.91941/5842484.3398*100)</f>
        <v>4.9498111450633285E-2</v>
      </c>
      <c r="E78" s="58">
        <f>IF(3499.37898="","-",3499.37898/5415671.45304*100)</f>
        <v>6.461579160300944E-2</v>
      </c>
      <c r="F78" s="58">
        <f>IF(OR(5760057.05112="",1798.49973="",2891.91941=""),"-",(2891.91941-1798.49973)/5760057.05112*100)</f>
        <v>1.898279253653213E-2</v>
      </c>
      <c r="G78" s="58">
        <f>IF(OR(5842484.3398="",3499.37898="",2891.91941=""),"-",(3499.37898-2891.91941)/5842484.3398*100)</f>
        <v>1.0397281955244309E-2</v>
      </c>
    </row>
    <row r="79" spans="1:7" s="9" customFormat="1" x14ac:dyDescent="0.25">
      <c r="A79" s="56" t="s">
        <v>88</v>
      </c>
      <c r="B79" s="57">
        <v>3496.29799</v>
      </c>
      <c r="C79" s="58">
        <f>IF(OR(3238.90925="",3496.29799=""),"-",3496.29799/3238.90925*100)</f>
        <v>107.94677220425363</v>
      </c>
      <c r="D79" s="58">
        <f>IF(3238.90925="","-",3238.90925/5842484.3398*100)</f>
        <v>5.5437191811298449E-2</v>
      </c>
      <c r="E79" s="58">
        <f>IF(3496.29799="","-",3496.29799/5415671.45304*100)</f>
        <v>6.4558901335076552E-2</v>
      </c>
      <c r="F79" s="58">
        <f>IF(OR(5760057.05112="",2900.30168="",3238.90925=""),"-",(3238.90925-2900.30168)/5760057.05112*100)</f>
        <v>5.8785454205555207E-3</v>
      </c>
      <c r="G79" s="58">
        <f>IF(OR(5842484.3398="",3496.29799="",3238.90925=""),"-",(3496.29799-3238.90925)/5842484.3398*100)</f>
        <v>4.405467349679038E-3</v>
      </c>
    </row>
    <row r="80" spans="1:7" s="9" customFormat="1" x14ac:dyDescent="0.25">
      <c r="A80" s="56" t="s">
        <v>144</v>
      </c>
      <c r="B80" s="57">
        <v>2588.7758800000001</v>
      </c>
      <c r="C80" s="58">
        <f>IF(OR(2516.73174="",2588.77588=""),"-",2588.77588/2516.73174*100)</f>
        <v>102.86260704130508</v>
      </c>
      <c r="D80" s="58">
        <f>IF(2516.73174="","-",2516.73174/5842484.3398*100)</f>
        <v>4.3076396848094126E-2</v>
      </c>
      <c r="E80" s="58">
        <f>IF(2588.77588="","-",2588.77588/5415671.45304*100)</f>
        <v>4.7801568142521504E-2</v>
      </c>
      <c r="F80" s="58">
        <f>IF(OR(5760057.05112="",1808.28883="",2516.73174=""),"-",(2516.73174-1808.28883)/5760057.05112*100)</f>
        <v>1.2299234256060864E-2</v>
      </c>
      <c r="G80" s="58">
        <f>IF(OR(5842484.3398="",2588.77588="",2516.73174=""),"-",(2588.77588-2516.73174)/5842484.3398*100)</f>
        <v>1.2331079693140637E-3</v>
      </c>
    </row>
    <row r="81" spans="1:7" s="9" customFormat="1" x14ac:dyDescent="0.25">
      <c r="A81" s="56" t="s">
        <v>92</v>
      </c>
      <c r="B81" s="57">
        <v>2536.5822199999998</v>
      </c>
      <c r="C81" s="58">
        <f>IF(OR(2408.37821="",2536.58222=""),"-",2536.58222/2408.37821*100)</f>
        <v>105.32325070321906</v>
      </c>
      <c r="D81" s="58">
        <f>IF(2408.37821="","-",2408.37821/5842484.3398*100)</f>
        <v>4.1221817123132304E-2</v>
      </c>
      <c r="E81" s="58">
        <f>IF(2536.58222="","-",2536.58222/5415671.45304*100)</f>
        <v>4.6837815809083659E-2</v>
      </c>
      <c r="F81" s="58">
        <f>IF(OR(5760057.05112="",1930.37373="",2408.37821=""),"-",(2408.37821-1930.37373)/5760057.05112*100)</f>
        <v>8.2986066936100132E-3</v>
      </c>
      <c r="G81" s="58">
        <f>IF(OR(5842484.3398="",2536.58222="",2408.37821=""),"-",(2536.58222-2408.37821)/5842484.3398*100)</f>
        <v>2.1943406698868208E-3</v>
      </c>
    </row>
    <row r="82" spans="1:7" s="9" customFormat="1" x14ac:dyDescent="0.25">
      <c r="A82" s="56" t="s">
        <v>253</v>
      </c>
      <c r="B82" s="57">
        <v>2517.79333</v>
      </c>
      <c r="C82" s="58">
        <f>IF(OR(2713.71696="",2517.79333=""),"-",2517.79333/2713.71696*100)</f>
        <v>92.780248165600881</v>
      </c>
      <c r="D82" s="58">
        <f>IF(2713.71696="","-",2713.71696/5842484.3398*100)</f>
        <v>4.6447997156170318E-2</v>
      </c>
      <c r="E82" s="58">
        <f>IF(2517.79333="","-",2517.79333/5415671.45304*100)</f>
        <v>4.6490880250622979E-2</v>
      </c>
      <c r="F82" s="58">
        <f>IF(OR(5760057.05112="",3209.3554="",2713.71696=""),"-",(2713.71696-3209.3554)/5760057.05112*100)</f>
        <v>-8.6047488002506251E-3</v>
      </c>
      <c r="G82" s="58">
        <f>IF(OR(5842484.3398="",2517.79333="",2713.71696=""),"-",(2517.79333-2713.71696)/5842484.3398*100)</f>
        <v>-3.3534301267242606E-3</v>
      </c>
    </row>
    <row r="83" spans="1:7" s="9" customFormat="1" x14ac:dyDescent="0.25">
      <c r="A83" s="56" t="s">
        <v>39</v>
      </c>
      <c r="B83" s="57">
        <v>2507.1449899999998</v>
      </c>
      <c r="C83" s="58">
        <f>IF(OR(3471.39009="",2507.14499=""),"-",2507.14499/3471.39009*100)</f>
        <v>72.223084268815199</v>
      </c>
      <c r="D83" s="58">
        <f>IF(3471.39009="","-",3471.39009/5842484.3398*100)</f>
        <v>5.9416335382403991E-2</v>
      </c>
      <c r="E83" s="58">
        <f>IF(2507.14499="","-",2507.14499/5415671.45304*100)</f>
        <v>4.6294259386666717E-2</v>
      </c>
      <c r="F83" s="58">
        <f>IF(OR(5760057.05112="",2779.92173="",3471.39009=""),"-",(3471.39009-2779.92173)/5760057.05112*100)</f>
        <v>1.2004540126309148E-2</v>
      </c>
      <c r="G83" s="58">
        <f>IF(OR(5842484.3398="",2507.14499="",3471.39009=""),"-",(2507.14499-3471.39009)/5842484.3398*100)</f>
        <v>-1.6504025409728493E-2</v>
      </c>
    </row>
    <row r="84" spans="1:7" s="9" customFormat="1" x14ac:dyDescent="0.25">
      <c r="A84" s="56" t="s">
        <v>89</v>
      </c>
      <c r="B84" s="57">
        <v>2174.9669800000001</v>
      </c>
      <c r="C84" s="58">
        <f>IF(OR(2316.17779="",2174.96698=""),"-",2174.96698/2316.17779*100)</f>
        <v>93.903282787285519</v>
      </c>
      <c r="D84" s="58">
        <f>IF(2316.17779="","-",2316.17779/5842484.3398*100)</f>
        <v>3.9643714134102198E-2</v>
      </c>
      <c r="E84" s="58">
        <f>IF(2174.96698="","-",2174.96698/5415671.45304*100)</f>
        <v>4.016061533384041E-2</v>
      </c>
      <c r="F84" s="58">
        <f>IF(OR(5760057.05112="",4203.04325="",2316.17779=""),"-",(2316.17779-4203.04325)/5760057.05112*100)</f>
        <v>-3.2757756446754507E-2</v>
      </c>
      <c r="G84" s="58">
        <f>IF(OR(5842484.3398="",2174.96698="",2316.17779=""),"-",(2174.96698-2316.17779)/5842484.3398*100)</f>
        <v>-2.4169651433731351E-3</v>
      </c>
    </row>
    <row r="85" spans="1:7" s="9" customFormat="1" x14ac:dyDescent="0.25">
      <c r="A85" s="56" t="s">
        <v>74</v>
      </c>
      <c r="B85" s="57">
        <v>2155.8004799999999</v>
      </c>
      <c r="C85" s="58">
        <f>IF(OR(1766.83601="",2155.80048=""),"-",2155.80048/1766.83601*100)</f>
        <v>122.01474657515045</v>
      </c>
      <c r="D85" s="58">
        <f>IF(1766.83601="","-",1766.83601/5842484.3398*100)</f>
        <v>3.0241176650898517E-2</v>
      </c>
      <c r="E85" s="58">
        <f>IF(2155.80048="","-",2155.80048/5415671.45304*100)</f>
        <v>3.9806707232763833E-2</v>
      </c>
      <c r="F85" s="58">
        <f>IF(OR(5760057.05112="",2338.40476="",1766.83601=""),"-",(1766.83601-2338.40476)/5760057.05112*100)</f>
        <v>-9.9229702922623425E-3</v>
      </c>
      <c r="G85" s="58">
        <f>IF(OR(5842484.3398="",2155.80048="",1766.83601=""),"-",(2155.80048-1766.83601)/5842484.3398*100)</f>
        <v>6.6575184010388786E-3</v>
      </c>
    </row>
    <row r="86" spans="1:7" s="9" customFormat="1" x14ac:dyDescent="0.25">
      <c r="A86" s="56" t="s">
        <v>143</v>
      </c>
      <c r="B86" s="57">
        <v>1660.57034</v>
      </c>
      <c r="C86" s="58" t="s">
        <v>283</v>
      </c>
      <c r="D86" s="58">
        <f>IF(351.39711="","-",351.39711/5842484.3398*100)</f>
        <v>6.0145152226805804E-3</v>
      </c>
      <c r="E86" s="58">
        <f>IF(1660.57034="","-",1660.57034/5415671.45304*100)</f>
        <v>3.066231684102376E-2</v>
      </c>
      <c r="F86" s="58">
        <f>IF(OR(5760057.05112="",249.15438="",351.39711=""),"-",(351.39711-249.15438)/5760057.05112*100)</f>
        <v>1.7750298146807356E-3</v>
      </c>
      <c r="G86" s="58">
        <f>IF(OR(5842484.3398="",1660.57034="",351.39711=""),"-",(1660.57034-351.39711)/5842484.3398*100)</f>
        <v>2.240781752861002E-2</v>
      </c>
    </row>
    <row r="87" spans="1:7" s="9" customFormat="1" x14ac:dyDescent="0.25">
      <c r="A87" s="56" t="s">
        <v>90</v>
      </c>
      <c r="B87" s="57">
        <v>1595.4059199999999</v>
      </c>
      <c r="C87" s="58">
        <f>IF(OR(1391.48408="",1595.40592=""),"-",1595.40592/1391.48408*100)</f>
        <v>114.65498908187293</v>
      </c>
      <c r="D87" s="58">
        <f>IF(1391.48408="","-",1391.48408/5842484.3398*100)</f>
        <v>2.3816650573129875E-2</v>
      </c>
      <c r="E87" s="58">
        <f>IF(1595.40592="","-",1595.40592/5415671.45304*100)</f>
        <v>2.9459060318447573E-2</v>
      </c>
      <c r="F87" s="58">
        <f>IF(OR(5760057.05112="",1414.77718="",1391.48408=""),"-",(1391.48408-1414.77718)/5760057.05112*100)</f>
        <v>-4.0439009185631115E-4</v>
      </c>
      <c r="G87" s="58">
        <f>IF(OR(5842484.3398="",1595.40592="",1391.48408=""),"-",(1595.40592-1391.48408)/5842484.3398*100)</f>
        <v>3.4903275411600097E-3</v>
      </c>
    </row>
    <row r="88" spans="1:7" x14ac:dyDescent="0.25">
      <c r="A88" s="56" t="s">
        <v>68</v>
      </c>
      <c r="B88" s="57">
        <v>1510.5100199999999</v>
      </c>
      <c r="C88" s="58">
        <f>IF(OR(1736.56726="",1510.51002=""),"-",1510.51002/1736.56726*100)</f>
        <v>86.982523210762366</v>
      </c>
      <c r="D88" s="58">
        <f>IF(1736.56726="","-",1736.56726/5842484.3398*100)</f>
        <v>2.9723096528820929E-2</v>
      </c>
      <c r="E88" s="58">
        <f>IF(1510.51002="","-",1510.51002/5415671.45304*100)</f>
        <v>2.7891463378047043E-2</v>
      </c>
      <c r="F88" s="58">
        <f>IF(OR(5760057.05112="",1745.30948="",1736.56726=""),"-",(1736.56726-1745.30948)/5760057.05112*100)</f>
        <v>-1.5177314950899664E-4</v>
      </c>
      <c r="G88" s="58">
        <f>IF(OR(5842484.3398="",1510.51002="",1736.56726=""),"-",(1510.51002-1736.56726)/5842484.3398*100)</f>
        <v>-3.8691971916819628E-3</v>
      </c>
    </row>
    <row r="89" spans="1:7" x14ac:dyDescent="0.25">
      <c r="A89" s="56" t="s">
        <v>98</v>
      </c>
      <c r="B89" s="57">
        <v>1268.7956300000001</v>
      </c>
      <c r="C89" s="58">
        <f>IF(OR(1027.64774="",1268.79563=""),"-",1268.79563/1027.64774*100)</f>
        <v>123.46600694125011</v>
      </c>
      <c r="D89" s="58">
        <f>IF(1027.64774="","-",1027.64774/5842484.3398*100)</f>
        <v>1.758922540877839E-2</v>
      </c>
      <c r="E89" s="58">
        <f>IF(1268.79563="","-",1268.79563/5415671.45304*100)</f>
        <v>2.3428223831557987E-2</v>
      </c>
      <c r="F89" s="58">
        <f>IF(OR(5760057.05112="",1242.80256="",1027.64774=""),"-",(1027.64774-1242.80256)/5760057.05112*100)</f>
        <v>-3.7352897391557038E-3</v>
      </c>
      <c r="G89" s="58">
        <f>IF(OR(5842484.3398="",1268.79563="",1027.64774=""),"-",(1268.79563-1027.64774)/5842484.3398*100)</f>
        <v>4.1274888553360662E-3</v>
      </c>
    </row>
    <row r="90" spans="1:7" x14ac:dyDescent="0.25">
      <c r="A90" s="56" t="s">
        <v>65</v>
      </c>
      <c r="B90" s="57">
        <v>1257.2463</v>
      </c>
      <c r="C90" s="58" t="s">
        <v>105</v>
      </c>
      <c r="D90" s="58">
        <f>IF(762.49841="","-",762.49841/5842484.3398*100)</f>
        <v>1.3050927750130724E-2</v>
      </c>
      <c r="E90" s="58">
        <f>IF(1257.2463="","-",1257.2463/5415671.45304*100)</f>
        <v>2.3214966249369966E-2</v>
      </c>
      <c r="F90" s="58">
        <f>IF(OR(5760057.05112="",483.06396="",762.49841=""),"-",(762.49841-483.06396)/5760057.05112*100)</f>
        <v>4.851244484560549E-3</v>
      </c>
      <c r="G90" s="58">
        <f>IF(OR(5842484.3398="",1257.2463="",762.49841=""),"-",(1257.2463-762.49841)/5842484.3398*100)</f>
        <v>8.4681081065069008E-3</v>
      </c>
    </row>
    <row r="91" spans="1:7" x14ac:dyDescent="0.25">
      <c r="A91" s="56" t="s">
        <v>94</v>
      </c>
      <c r="B91" s="57">
        <v>1201.4234799999999</v>
      </c>
      <c r="C91" s="58">
        <f>IF(OR(889.52827="",1201.42348=""),"-",1201.42348/889.52827*100)</f>
        <v>135.06299018467394</v>
      </c>
      <c r="D91" s="58">
        <f>IF(889.52827="","-",889.52827/5842484.3398*100)</f>
        <v>1.5225171660972743E-2</v>
      </c>
      <c r="E91" s="58">
        <f>IF(1201.42348="","-",1201.42348/5415671.45304*100)</f>
        <v>2.2184201726742493E-2</v>
      </c>
      <c r="F91" s="58">
        <f>IF(OR(5760057.05112="",930.77464="",889.52827=""),"-",(889.52827-930.77464)/5760057.05112*100)</f>
        <v>-7.1607571997884829E-4</v>
      </c>
      <c r="G91" s="58">
        <f>IF(OR(5842484.3398="",1201.42348="",889.52827=""),"-",(1201.42348-889.52827)/5842484.3398*100)</f>
        <v>5.3384004450866308E-3</v>
      </c>
    </row>
    <row r="92" spans="1:7" x14ac:dyDescent="0.25">
      <c r="A92" s="56" t="s">
        <v>171</v>
      </c>
      <c r="B92" s="57">
        <v>1141.70355</v>
      </c>
      <c r="C92" s="58">
        <f>IF(OR(1008.96485="",1141.70355=""),"-",1141.70355/1008.96485*100)</f>
        <v>113.15592906928325</v>
      </c>
      <c r="D92" s="58">
        <f>IF(1008.96485="","-",1008.96485/5842484.3398*100)</f>
        <v>1.7269448941895475E-2</v>
      </c>
      <c r="E92" s="58">
        <f>IF(1141.70355="","-",1141.70355/5415671.45304*100)</f>
        <v>2.108147733664905E-2</v>
      </c>
      <c r="F92" s="58">
        <f>IF(OR(5760057.05112="",1092.67141="",1008.96485=""),"-",(1008.96485-1092.67141)/5760057.05112*100)</f>
        <v>-1.4532244951241213E-3</v>
      </c>
      <c r="G92" s="58">
        <f>IF(OR(5842484.3398="",1141.70355="",1008.96485=""),"-",(1141.70355-1008.96485)/5842484.3398*100)</f>
        <v>2.2719564534518532E-3</v>
      </c>
    </row>
    <row r="93" spans="1:7" x14ac:dyDescent="0.25">
      <c r="A93" s="56" t="s">
        <v>170</v>
      </c>
      <c r="B93" s="57">
        <v>763.49095999999997</v>
      </c>
      <c r="C93" s="58">
        <f>IF(OR(908.02095="",763.49096=""),"-",763.49096/908.02095*100)</f>
        <v>84.082967468977458</v>
      </c>
      <c r="D93" s="58">
        <f>IF(908.02095="","-",908.02095/5842484.3398*100)</f>
        <v>1.5541692492257212E-2</v>
      </c>
      <c r="E93" s="58">
        <f>IF(763.49096="","-",763.49096/5415671.45304*100)</f>
        <v>1.4097807937950641E-2</v>
      </c>
      <c r="F93" s="58">
        <f>IF(OR(5760057.05112="",803.4298="",908.02095=""),"-",(908.02095-803.4298)/5760057.05112*100)</f>
        <v>1.815800591413639E-3</v>
      </c>
      <c r="G93" s="58">
        <f>IF(OR(5842484.3398="",763.49096="",908.02095=""),"-",(763.49096-908.02095)/5842484.3398*100)</f>
        <v>-2.47377624986407E-3</v>
      </c>
    </row>
    <row r="94" spans="1:7" x14ac:dyDescent="0.25">
      <c r="A94" s="56" t="s">
        <v>93</v>
      </c>
      <c r="B94" s="57">
        <v>651.75055999999995</v>
      </c>
      <c r="C94" s="58">
        <f>IF(OR(882.15277="",651.75056=""),"-",651.75056/882.15277*100)</f>
        <v>73.881824346592467</v>
      </c>
      <c r="D94" s="58">
        <f>IF(882.15277="","-",882.15277/5842484.3398*100)</f>
        <v>1.5098932554951408E-2</v>
      </c>
      <c r="E94" s="58">
        <f>IF(651.75056="","-",651.75056/5415671.45304*100)</f>
        <v>1.2034529155828873E-2</v>
      </c>
      <c r="F94" s="58">
        <f>IF(OR(5760057.05112="",1188.9776="",882.15277=""),"-",(882.15277-1188.9776)/5760057.05112*100)</f>
        <v>-5.3267672052022489E-3</v>
      </c>
      <c r="G94" s="58">
        <f>IF(OR(5842484.3398="",651.75056="",882.15277=""),"-",(651.75056-882.15277)/5842484.3398*100)</f>
        <v>-3.9435657264917413E-3</v>
      </c>
    </row>
    <row r="95" spans="1:7" x14ac:dyDescent="0.25">
      <c r="A95" s="56" t="s">
        <v>281</v>
      </c>
      <c r="B95" s="57">
        <v>625.28049999999996</v>
      </c>
      <c r="C95" s="58" t="str">
        <f>IF(OR(""="",625.2805=""),"-",625.2805/""*100)</f>
        <v>-</v>
      </c>
      <c r="D95" s="58" t="str">
        <f>IF(""="","-",""/5842484.3398*100)</f>
        <v>-</v>
      </c>
      <c r="E95" s="58">
        <f>IF(625.2805="","-",625.2805/5415671.45304*100)</f>
        <v>1.1545761322892083E-2</v>
      </c>
      <c r="F95" s="58" t="str">
        <f>IF(OR(5760057.05112="",16.63="",""=""),"-",(""-16.63)/5760057.05112*100)</f>
        <v>-</v>
      </c>
      <c r="G95" s="58" t="str">
        <f>IF(OR(5842484.3398="",625.2805="",""=""),"-",(625.2805-"")/5842484.3398*100)</f>
        <v>-</v>
      </c>
    </row>
    <row r="96" spans="1:7" x14ac:dyDescent="0.25">
      <c r="A96" s="56" t="s">
        <v>102</v>
      </c>
      <c r="B96" s="57">
        <v>608.12064999999996</v>
      </c>
      <c r="C96" s="58">
        <f>IF(OR(1285.59517="",608.12065=""),"-",608.12065/1285.59517*100)</f>
        <v>47.302655158544191</v>
      </c>
      <c r="D96" s="58">
        <f>IF(1285.59517="","-",1285.59517/5842484.3398*100)</f>
        <v>2.2004255300135018E-2</v>
      </c>
      <c r="E96" s="58">
        <f>IF(608.12065="","-",608.12065/5415671.45304*100)</f>
        <v>1.1228905875718167E-2</v>
      </c>
      <c r="F96" s="58">
        <f>IF(OR(5760057.05112="",883.07746="",1285.59517=""),"-",(1285.59517-883.07746)/5760057.05112*100)</f>
        <v>6.9880854725515871E-3</v>
      </c>
      <c r="G96" s="58">
        <f>IF(OR(5842484.3398="",608.12065="",1285.59517=""),"-",(608.12065-1285.59517)/5842484.3398*100)</f>
        <v>-1.1595658295306469E-2</v>
      </c>
    </row>
    <row r="97" spans="1:7" x14ac:dyDescent="0.25">
      <c r="A97" s="56" t="s">
        <v>103</v>
      </c>
      <c r="B97" s="57">
        <v>585.96995000000004</v>
      </c>
      <c r="C97" s="58">
        <f>IF(OR(440.30985="",585.96995=""),"-",585.96995/440.30985*100)</f>
        <v>133.08127219956586</v>
      </c>
      <c r="D97" s="58">
        <f>IF(440.30985="","-",440.30985/5842484.3398*100)</f>
        <v>7.5363462594248498E-3</v>
      </c>
      <c r="E97" s="58">
        <f>IF(585.96995="","-",585.96995/5415671.45304*100)</f>
        <v>1.0819894727385563E-2</v>
      </c>
      <c r="F97" s="58">
        <f>IF(OR(5760057.05112="",684.74546="",440.30985=""),"-",(440.30985-684.74546)/5760057.05112*100)</f>
        <v>-4.2436317527874369E-3</v>
      </c>
      <c r="G97" s="58">
        <f>IF(OR(5842484.3398="",585.96995="",440.30985=""),"-",(585.96995-440.30985)/5842484.3398*100)</f>
        <v>2.4931192199821334E-3</v>
      </c>
    </row>
    <row r="98" spans="1:7" x14ac:dyDescent="0.25">
      <c r="A98" s="56" t="s">
        <v>95</v>
      </c>
      <c r="B98" s="57">
        <v>539.55736999999999</v>
      </c>
      <c r="C98" s="58">
        <f>IF(OR(455.70396="",539.55737=""),"-",539.55737/455.70396*100)</f>
        <v>118.40085172838964</v>
      </c>
      <c r="D98" s="58">
        <f>IF(455.70396="","-",455.70396/5842484.3398*100)</f>
        <v>7.7998319464147618E-3</v>
      </c>
      <c r="E98" s="58">
        <f>IF(539.55737="","-",539.55737/5415671.45304*100)</f>
        <v>9.9628896375744541E-3</v>
      </c>
      <c r="F98" s="58">
        <f>IF(OR(5760057.05112="",607.63097="",455.70396=""),"-",(455.70396-607.63097)/5760057.05112*100)</f>
        <v>-2.6375955767740009E-3</v>
      </c>
      <c r="G98" s="58">
        <f>IF(OR(5842484.3398="",539.55737="",455.70396=""),"-",(539.55737-455.70396)/5842484.3398*100)</f>
        <v>1.4352355115233475E-3</v>
      </c>
    </row>
    <row r="99" spans="1:7" x14ac:dyDescent="0.25">
      <c r="A99" s="56" t="s">
        <v>91</v>
      </c>
      <c r="B99" s="57">
        <v>535.15261999999996</v>
      </c>
      <c r="C99" s="58">
        <f>IF(OR(483.33448="",535.15262=""),"-",535.15262/483.33448*100)</f>
        <v>110.72096904818376</v>
      </c>
      <c r="D99" s="58">
        <f>IF(483.33448="","-",483.33448/5842484.3398*100)</f>
        <v>8.2727561066350333E-3</v>
      </c>
      <c r="E99" s="58">
        <f>IF(535.15262="","-",535.15262/5415671.45304*100)</f>
        <v>9.8815562325074331E-3</v>
      </c>
      <c r="F99" s="58">
        <f>IF(OR(5760057.05112="",1252.14911="",483.33448=""),"-",(483.33448-1252.14911)/5760057.05112*100)</f>
        <v>-1.3347344013728299E-2</v>
      </c>
      <c r="G99" s="58">
        <f>IF(OR(5842484.3398="",535.15262="",483.33448=""),"-",(535.15262-483.33448)/5842484.3398*100)</f>
        <v>8.869196216240746E-4</v>
      </c>
    </row>
    <row r="100" spans="1:7" x14ac:dyDescent="0.25">
      <c r="A100" s="56" t="s">
        <v>111</v>
      </c>
      <c r="B100" s="57">
        <v>510.06297999999998</v>
      </c>
      <c r="C100" s="58">
        <f>IF(OR(488.78097="",510.06298=""),"-",510.06298/488.78097*100)</f>
        <v>104.35409954687881</v>
      </c>
      <c r="D100" s="58">
        <f>IF(488.78097="","-",488.78097/5842484.3398*100)</f>
        <v>8.3659782649367267E-3</v>
      </c>
      <c r="E100" s="58">
        <f>IF(510.06298="","-",510.06298/5415671.45304*100)</f>
        <v>9.4182777596983729E-3</v>
      </c>
      <c r="F100" s="58">
        <f>IF(OR(5760057.05112="",75.01705="",488.78097=""),"-",(488.78097-75.01705)/5760057.05112*100)</f>
        <v>7.1833302400979987E-3</v>
      </c>
      <c r="G100" s="58">
        <f>IF(OR(5842484.3398="",510.06298="",488.78097=""),"-",(510.06298-488.78097)/5842484.3398*100)</f>
        <v>3.6426302172559152E-4</v>
      </c>
    </row>
    <row r="101" spans="1:7" x14ac:dyDescent="0.25">
      <c r="A101" s="56" t="s">
        <v>99</v>
      </c>
      <c r="B101" s="57">
        <v>437.69983000000002</v>
      </c>
      <c r="C101" s="58">
        <f>IF(OR(807.44856="",437.69983=""),"-",437.69983/807.44856*100)</f>
        <v>54.20776649846276</v>
      </c>
      <c r="D101" s="58">
        <f>IF(807.44856="","-",807.44856/5842484.3398*100)</f>
        <v>1.3820294810197826E-2</v>
      </c>
      <c r="E101" s="58">
        <f>IF(437.69983="","-",437.69983/5415671.45304*100)</f>
        <v>8.0820971839845324E-3</v>
      </c>
      <c r="F101" s="58">
        <f>IF(OR(5760057.05112="",743.43902="",807.44856=""),"-",(807.44856-743.43902)/5760057.05112*100)</f>
        <v>1.1112657293481814E-3</v>
      </c>
      <c r="G101" s="58">
        <f>IF(OR(5842484.3398="",437.69983="",807.44856=""),"-",(437.69983-807.44856)/5842484.3398*100)</f>
        <v>-6.3286216700866194E-3</v>
      </c>
    </row>
    <row r="102" spans="1:7" x14ac:dyDescent="0.25">
      <c r="A102" s="56" t="s">
        <v>132</v>
      </c>
      <c r="B102" s="57">
        <v>424.96280000000002</v>
      </c>
      <c r="C102" s="58">
        <f>IF(OR(941.81715="",424.9628=""),"-",424.9628/941.81715*100)</f>
        <v>45.121582251926505</v>
      </c>
      <c r="D102" s="58">
        <f>IF(941.81715="","-",941.81715/5842484.3398*100)</f>
        <v>1.6120148471501769E-2</v>
      </c>
      <c r="E102" s="58">
        <f>IF(424.9628="","-",424.9628/5415671.45304*100)</f>
        <v>7.8469088031818107E-3</v>
      </c>
      <c r="F102" s="58">
        <f>IF(OR(5760057.05112="",1599.82487="",941.81715=""),"-",(941.81715-1599.82487)/5760057.05112*100)</f>
        <v>-1.1423631991145908E-2</v>
      </c>
      <c r="G102" s="58">
        <f>IF(OR(5842484.3398="",424.9628="",941.81715=""),"-",(424.9628-941.81715)/5842484.3398*100)</f>
        <v>-8.8464824198004246E-3</v>
      </c>
    </row>
    <row r="103" spans="1:7" x14ac:dyDescent="0.25">
      <c r="A103" s="56" t="s">
        <v>133</v>
      </c>
      <c r="B103" s="57">
        <v>281.36216999999999</v>
      </c>
      <c r="C103" s="58">
        <f>IF(OR(240.60935="",281.36217=""),"-",281.36217/240.60935*100)</f>
        <v>116.93733847001373</v>
      </c>
      <c r="D103" s="58">
        <f>IF(240.60935="","-",240.60935/5842484.3398*100)</f>
        <v>4.1182712011896732E-3</v>
      </c>
      <c r="E103" s="58">
        <f>IF(281.36217="","-",281.36217/5415671.45304*100)</f>
        <v>5.1953330706954511E-3</v>
      </c>
      <c r="F103" s="58">
        <f>IF(OR(5760057.05112="",209.294="",240.60935=""),"-",(240.60935-209.294)/5760057.05112*100)</f>
        <v>5.4366388600111102E-4</v>
      </c>
      <c r="G103" s="58">
        <f>IF(OR(5842484.3398="",281.36217="",240.60935=""),"-",(281.36217-240.60935)/5842484.3398*100)</f>
        <v>6.9752553245859517E-4</v>
      </c>
    </row>
    <row r="104" spans="1:7" x14ac:dyDescent="0.25">
      <c r="A104" s="56" t="s">
        <v>108</v>
      </c>
      <c r="B104" s="57">
        <v>281.27566000000002</v>
      </c>
      <c r="C104" s="58">
        <f>IF(OR(273.72948="",281.27566=""),"-",281.27566/273.72948*100)</f>
        <v>102.75680208065276</v>
      </c>
      <c r="D104" s="58">
        <f>IF(273.72948="","-",273.72948/5842484.3398*100)</f>
        <v>4.6851555619123889E-3</v>
      </c>
      <c r="E104" s="58">
        <f>IF(281.27566="","-",281.27566/5415671.45304*100)</f>
        <v>5.1937356695098344E-3</v>
      </c>
      <c r="F104" s="58">
        <f>IF(OR(5760057.05112="",56.54058="",273.72948=""),"-",(273.72948-56.54058)/5760057.05112*100)</f>
        <v>3.7706032782742886E-3</v>
      </c>
      <c r="G104" s="58">
        <f>IF(OR(5842484.3398="",281.27566="",273.72948=""),"-",(281.27566-273.72948)/5842484.3398*100)</f>
        <v>1.2916046601261943E-4</v>
      </c>
    </row>
    <row r="105" spans="1:7" x14ac:dyDescent="0.25">
      <c r="A105" s="56" t="s">
        <v>61</v>
      </c>
      <c r="B105" s="57">
        <v>246.5155</v>
      </c>
      <c r="C105" s="58">
        <f>IF(OR(386.6045="",246.5155=""),"-",246.5155/386.6045*100)</f>
        <v>63.764260374620584</v>
      </c>
      <c r="D105" s="58">
        <f>IF(386.6045="","-",386.6045/5842484.3398*100)</f>
        <v>6.6171251391532902E-3</v>
      </c>
      <c r="E105" s="58">
        <f>IF(246.5155="","-",246.5155/5415671.45304*100)</f>
        <v>4.5518917116292657E-3</v>
      </c>
      <c r="F105" s="58">
        <f>IF(OR(5760057.05112="",482.18557="",386.6045=""),"-",(386.6045-482.18557)/5760057.05112*100)</f>
        <v>-1.6593771407422951E-3</v>
      </c>
      <c r="G105" s="58">
        <f>IF(OR(5842484.3398="",246.5155="",386.6045=""),"-",(246.5155-386.6045)/5842484.3398*100)</f>
        <v>-2.397764236109112E-3</v>
      </c>
    </row>
    <row r="106" spans="1:7" x14ac:dyDescent="0.25">
      <c r="A106" s="56" t="s">
        <v>151</v>
      </c>
      <c r="B106" s="57">
        <v>214.02949000000001</v>
      </c>
      <c r="C106" s="58">
        <f>IF(OR(443.11682="",214.02949=""),"-",214.02949/443.11682*100)</f>
        <v>48.300917577446057</v>
      </c>
      <c r="D106" s="58">
        <f>IF(443.11682="","-",443.11682/5842484.3398*100)</f>
        <v>7.5843903762208243E-3</v>
      </c>
      <c r="E106" s="58">
        <f>IF(214.02949="","-",214.02949/5415671.45304*100)</f>
        <v>3.9520397767087217E-3</v>
      </c>
      <c r="F106" s="58">
        <f>IF(OR(5760057.05112="",131.62717="",443.11682=""),"-",(443.11682-131.62717)/5760057.05112*100)</f>
        <v>5.4077528613962799E-3</v>
      </c>
      <c r="G106" s="58">
        <f>IF(OR(5842484.3398="",214.02949="",443.11682=""),"-",(214.02949-443.11682)/5842484.3398*100)</f>
        <v>-3.9210602318506529E-3</v>
      </c>
    </row>
    <row r="107" spans="1:7" x14ac:dyDescent="0.25">
      <c r="A107" s="56" t="s">
        <v>146</v>
      </c>
      <c r="B107" s="57">
        <v>205.14183</v>
      </c>
      <c r="C107" s="58" t="s">
        <v>104</v>
      </c>
      <c r="D107" s="58">
        <f>IF(122.78442="","-",122.78442/5842484.3398*100)</f>
        <v>2.1015789321602728E-3</v>
      </c>
      <c r="E107" s="58">
        <f>IF(205.14183="","-",205.14183/5415671.45304*100)</f>
        <v>3.7879297475633782E-3</v>
      </c>
      <c r="F107" s="58">
        <f>IF(OR(5760057.05112="",485.45244="",122.78442=""),"-",(122.78442-485.45244)/5760057.05112*100)</f>
        <v>-6.29625742907324E-3</v>
      </c>
      <c r="G107" s="58">
        <f>IF(OR(5842484.3398="",205.14183="",122.78442=""),"-",(205.14183-122.78442)/5842484.3398*100)</f>
        <v>1.4096299657830021E-3</v>
      </c>
    </row>
    <row r="108" spans="1:7" x14ac:dyDescent="0.25">
      <c r="A108" s="56" t="s">
        <v>262</v>
      </c>
      <c r="B108" s="57">
        <v>194.42840000000001</v>
      </c>
      <c r="C108" s="58" t="str">
        <f>IF(OR(""="",194.4284=""),"-",194.4284/""*100)</f>
        <v>-</v>
      </c>
      <c r="D108" s="58" t="str">
        <f>IF(""="","-",""/5842484.3398*100)</f>
        <v>-</v>
      </c>
      <c r="E108" s="58">
        <f>IF(194.4284="","-",194.4284/5415671.45304*100)</f>
        <v>3.5901070012447074E-3</v>
      </c>
      <c r="F108" s="58" t="str">
        <f>IF(OR(5760057.05112="",0.02723="",""=""),"-",(""-0.02723)/5760057.05112*100)</f>
        <v>-</v>
      </c>
      <c r="G108" s="58" t="str">
        <f>IF(OR(5842484.3398="",194.4284="",""=""),"-",(194.4284-"")/5842484.3398*100)</f>
        <v>-</v>
      </c>
    </row>
    <row r="109" spans="1:7" x14ac:dyDescent="0.25">
      <c r="A109" s="56" t="s">
        <v>176</v>
      </c>
      <c r="B109" s="57">
        <v>144.63516999999999</v>
      </c>
      <c r="C109" s="58" t="s">
        <v>284</v>
      </c>
      <c r="D109" s="58">
        <f>IF(52.51835="","-",52.51835/5842484.3398*100)</f>
        <v>8.9890442054309043E-4</v>
      </c>
      <c r="E109" s="58">
        <f>IF(144.63517="","-",144.63517/5415671.45304*100)</f>
        <v>2.6706784422605872E-3</v>
      </c>
      <c r="F109" s="58">
        <f>IF(OR(5760057.05112="",14.3375="",52.51835=""),"-",(52.51835-14.3375)/5760057.05112*100)</f>
        <v>6.6285541377712602E-4</v>
      </c>
      <c r="G109" s="58">
        <f>IF(OR(5842484.3398="",144.63517="",52.51835=""),"-",(144.63517-52.51835)/5842484.3398*100)</f>
        <v>1.5766720908857981E-3</v>
      </c>
    </row>
    <row r="110" spans="1:7" x14ac:dyDescent="0.25">
      <c r="A110" s="56" t="s">
        <v>162</v>
      </c>
      <c r="B110" s="57">
        <v>141.91721000000001</v>
      </c>
      <c r="C110" s="58">
        <f>IF(OR(154.66594="",141.91721=""),"-",141.91721/154.66594*100)</f>
        <v>91.757247911207855</v>
      </c>
      <c r="D110" s="58">
        <f>IF(154.66594="","-",154.66594/5842484.3398*100)</f>
        <v>2.6472632360584904E-3</v>
      </c>
      <c r="E110" s="58">
        <f>IF(141.91721="","-",141.91721/5415671.45304*100)</f>
        <v>2.6204914982487916E-3</v>
      </c>
      <c r="F110" s="58">
        <f>IF(OR(5760057.05112="",52.91395="",154.66594=""),"-",(154.66594-52.91395)/5760057.05112*100)</f>
        <v>1.7665101073992852E-3</v>
      </c>
      <c r="G110" s="58">
        <f>IF(OR(5842484.3398="",141.91721="",154.66594=""),"-",(141.91721-154.66594)/5842484.3398*100)</f>
        <v>-2.1820734568603754E-4</v>
      </c>
    </row>
    <row r="111" spans="1:7" x14ac:dyDescent="0.25">
      <c r="A111" s="56" t="s">
        <v>237</v>
      </c>
      <c r="B111" s="57">
        <v>141.60894999999999</v>
      </c>
      <c r="C111" s="58" t="s">
        <v>240</v>
      </c>
      <c r="D111" s="58">
        <f>IF(77.42192="","-",77.42192/5842484.3398*100)</f>
        <v>1.3251540868083919E-3</v>
      </c>
      <c r="E111" s="58">
        <f>IF(141.60895="","-",141.60895/5415671.45304*100)</f>
        <v>2.6147994986016015E-3</v>
      </c>
      <c r="F111" s="58">
        <f>IF(OR(5760057.05112="",46.64707="",77.42192=""),"-",(77.42192-46.64707)/5760057.05112*100)</f>
        <v>5.3428029838725397E-4</v>
      </c>
      <c r="G111" s="58">
        <f>IF(OR(5842484.3398="",141.60895="",77.42192=""),"-",(141.60895-77.42192)/5842484.3398*100)</f>
        <v>1.0986256233970024E-3</v>
      </c>
    </row>
    <row r="112" spans="1:7" x14ac:dyDescent="0.25">
      <c r="A112" s="56" t="s">
        <v>153</v>
      </c>
      <c r="B112" s="57">
        <v>140.77517</v>
      </c>
      <c r="C112" s="58" t="s">
        <v>106</v>
      </c>
      <c r="D112" s="58">
        <f>IF(74.62118="","-",74.62118/5842484.3398*100)</f>
        <v>1.277216602732981E-3</v>
      </c>
      <c r="E112" s="58">
        <f>IF(140.77517="","-",140.77517/5415671.45304*100)</f>
        <v>2.5994038083860891E-3</v>
      </c>
      <c r="F112" s="58">
        <f>IF(OR(5760057.05112="",4.37082="",74.62118=""),"-",(74.62118-4.37082)/5760057.05112*100)</f>
        <v>1.2196122256521807E-3</v>
      </c>
      <c r="G112" s="58">
        <f>IF(OR(5842484.3398="",140.77517="",74.62118=""),"-",(140.77517-74.62118)/5842484.3398*100)</f>
        <v>1.1322921235637337E-3</v>
      </c>
    </row>
    <row r="113" spans="1:7" x14ac:dyDescent="0.25">
      <c r="A113" s="56" t="s">
        <v>152</v>
      </c>
      <c r="B113" s="57">
        <v>132.44779</v>
      </c>
      <c r="C113" s="58">
        <f>IF(OR(149.14976="",132.44779=""),"-",132.44779/149.14976*100)</f>
        <v>88.801879399604815</v>
      </c>
      <c r="D113" s="58">
        <f>IF(149.14976="","-",149.14976/5842484.3398*100)</f>
        <v>2.5528482632630502E-3</v>
      </c>
      <c r="E113" s="58">
        <f>IF(132.44779="","-",132.44779/5415671.45304*100)</f>
        <v>2.44563931081256E-3</v>
      </c>
      <c r="F113" s="58">
        <f>IF(OR(5760057.05112="",136.93004="",149.14976=""),"-",(149.14976-136.93004)/5760057.05112*100)</f>
        <v>2.1214581542424067E-4</v>
      </c>
      <c r="G113" s="58">
        <f>IF(OR(5842484.3398="",132.44779="",149.14976=""),"-",(132.44779-149.14976)/5842484.3398*100)</f>
        <v>-2.8587102726529054E-4</v>
      </c>
    </row>
    <row r="114" spans="1:7" x14ac:dyDescent="0.25">
      <c r="A114" s="56" t="s">
        <v>172</v>
      </c>
      <c r="B114" s="57">
        <v>132.25442000000001</v>
      </c>
      <c r="C114" s="58">
        <f>IF(OR(120.81373="",132.25442=""),"-",132.25442/120.81373*100)</f>
        <v>109.46969355221464</v>
      </c>
      <c r="D114" s="58">
        <f>IF(120.81373="","-",120.81373/5842484.3398*100)</f>
        <v>2.067848589289256E-3</v>
      </c>
      <c r="E114" s="58">
        <f>IF(132.25442="","-",132.25442/5415671.45304*100)</f>
        <v>2.4420687470943442E-3</v>
      </c>
      <c r="F114" s="58">
        <f>IF(OR(5760057.05112="",102.06242="",120.81373=""),"-",(120.81373-102.06242)/5760057.05112*100)</f>
        <v>3.2554035200665161E-4</v>
      </c>
      <c r="G114" s="58">
        <f>IF(OR(5842484.3398="",132.25442="",120.81373=""),"-",(132.25442-120.81373)/5842484.3398*100)</f>
        <v>1.9581892452948606E-4</v>
      </c>
    </row>
    <row r="115" spans="1:7" x14ac:dyDescent="0.25">
      <c r="A115" s="56" t="s">
        <v>161</v>
      </c>
      <c r="B115" s="57">
        <v>129.56075999999999</v>
      </c>
      <c r="C115" s="58">
        <f>IF(OR(144.92703="",129.56076=""),"-",129.56076/144.92703*100)</f>
        <v>89.397236664547663</v>
      </c>
      <c r="D115" s="58">
        <f>IF(144.92703="","-",144.92703/5842484.3398*100)</f>
        <v>2.4805719890891682E-3</v>
      </c>
      <c r="E115" s="58">
        <f>IF(129.56076="","-",129.56076/5415671.45304*100)</f>
        <v>2.3923305009071988E-3</v>
      </c>
      <c r="F115" s="58">
        <f>IF(OR(5760057.05112="",76.65429="",144.92703=""),"-",(144.92703-76.65429)/5760057.05112*100)</f>
        <v>1.1852788851583489E-3</v>
      </c>
      <c r="G115" s="58">
        <f>IF(OR(5842484.3398="",129.56076="",144.92703=""),"-",(129.56076-144.92703)/5842484.3398*100)</f>
        <v>-2.6300917736864714E-4</v>
      </c>
    </row>
    <row r="116" spans="1:7" x14ac:dyDescent="0.25">
      <c r="A116" s="56" t="s">
        <v>147</v>
      </c>
      <c r="B116" s="57">
        <v>120.67559</v>
      </c>
      <c r="C116" s="58">
        <f>IF(OR(124.0622="",120.67559=""),"-",120.67559/124.0622*100)</f>
        <v>97.270232189982124</v>
      </c>
      <c r="D116" s="58">
        <f>IF(124.0622="","-",124.0622/5842484.3398*100)</f>
        <v>2.1234494229598038E-3</v>
      </c>
      <c r="E116" s="58">
        <f>IF(120.67559="","-",120.67559/5415671.45304*100)</f>
        <v>2.2282664494401834E-3</v>
      </c>
      <c r="F116" s="58">
        <f>IF(OR(5760057.05112="",40.84512="",124.0622=""),"-",(124.0622-40.84512)/5760057.05112*100)</f>
        <v>1.4447266626260078E-3</v>
      </c>
      <c r="G116" s="58">
        <f>IF(OR(5842484.3398="",120.67559="",124.0622=""),"-",(120.67559-124.0622)/5842484.3398*100)</f>
        <v>-5.7965238809967188E-5</v>
      </c>
    </row>
    <row r="117" spans="1:7" x14ac:dyDescent="0.25">
      <c r="A117" s="56" t="s">
        <v>145</v>
      </c>
      <c r="B117" s="57">
        <v>98.703299999999999</v>
      </c>
      <c r="C117" s="58" t="s">
        <v>254</v>
      </c>
      <c r="D117" s="58">
        <f>IF(38.97204="","-",38.97204/5842484.3398*100)</f>
        <v>6.670456903840685E-4</v>
      </c>
      <c r="E117" s="58">
        <f>IF(98.7033="","-",98.7033/5415671.45304*100)</f>
        <v>1.822549629457202E-3</v>
      </c>
      <c r="F117" s="58">
        <f>IF(OR(5760057.05112="",20.54753="",38.97204=""),"-",(38.97204-20.54753)/5760057.05112*100)</f>
        <v>3.1986679709044712E-4</v>
      </c>
      <c r="G117" s="58">
        <f>IF(OR(5842484.3398="",98.7033="",38.97204=""),"-",(98.7033-38.97204)/5842484.3398*100)</f>
        <v>1.0223606350658139E-3</v>
      </c>
    </row>
    <row r="118" spans="1:7" x14ac:dyDescent="0.25">
      <c r="A118" s="56" t="s">
        <v>110</v>
      </c>
      <c r="B118" s="57">
        <v>89.467250000000007</v>
      </c>
      <c r="C118" s="58">
        <f>IF(OR(68.82296="",89.46725=""),"-",89.46725/68.82296*100)</f>
        <v>129.99622509697346</v>
      </c>
      <c r="D118" s="58">
        <f>IF(68.82296="","-",68.82296/5842484.3398*100)</f>
        <v>1.1779742314611996E-3</v>
      </c>
      <c r="E118" s="58">
        <f>IF(89.46725="","-",89.46725/5415671.45304*100)</f>
        <v>1.6520066029814089E-3</v>
      </c>
      <c r="F118" s="58">
        <f>IF(OR(5760057.05112="",206.8009="",68.82296=""),"-",(68.82296-206.8009)/5760057.05112*100)</f>
        <v>-2.3954266212202055E-3</v>
      </c>
      <c r="G118" s="58">
        <f>IF(OR(5842484.3398="",89.46725="",68.82296=""),"-",(89.46725-68.82296)/5842484.3398*100)</f>
        <v>3.5334780205344471E-4</v>
      </c>
    </row>
    <row r="119" spans="1:7" x14ac:dyDescent="0.25">
      <c r="A119" s="56" t="s">
        <v>244</v>
      </c>
      <c r="B119" s="57">
        <v>85.128339999999994</v>
      </c>
      <c r="C119" s="58">
        <f>IF(OR(80.93385="",85.12834=""),"-",85.12834/80.93385*100)</f>
        <v>105.18261518511723</v>
      </c>
      <c r="D119" s="58">
        <f>IF(80.93385="","-",80.93385/5842484.3398*100)</f>
        <v>1.3852643035543084E-3</v>
      </c>
      <c r="E119" s="58">
        <f>IF(85.12834="","-",85.12834/5415671.45304*100)</f>
        <v>1.5718889289750872E-3</v>
      </c>
      <c r="F119" s="58">
        <f>IF(OR(5760057.05112="",117.20447="",80.93385=""),"-",(80.93385-117.20447)/5760057.05112*100)</f>
        <v>-6.2969202697302185E-4</v>
      </c>
      <c r="G119" s="58">
        <f>IF(OR(5842484.3398="",85.12834="",80.93385=""),"-",(85.12834-80.93385)/5842484.3398*100)</f>
        <v>7.1792918150013788E-5</v>
      </c>
    </row>
    <row r="120" spans="1:7" x14ac:dyDescent="0.25">
      <c r="A120" s="56" t="s">
        <v>142</v>
      </c>
      <c r="B120" s="57">
        <v>75.034360000000007</v>
      </c>
      <c r="C120" s="58">
        <f>IF(OR(76.14691="",75.03436=""),"-",75.03436/76.14691*100)</f>
        <v>98.538942683294707</v>
      </c>
      <c r="D120" s="58">
        <f>IF(76.14691="","-",76.14691/5842484.3398*100)</f>
        <v>1.3033310073468963E-3</v>
      </c>
      <c r="E120" s="58">
        <f>IF(75.03436="","-",75.03436/5415671.45304*100)</f>
        <v>1.3855042841987891E-3</v>
      </c>
      <c r="F120" s="58">
        <f>IF(OR(5760057.05112="",265.26104="",76.14691=""),"-",(76.14691-265.26104)/5760057.05112*100)</f>
        <v>-3.283198904483562E-3</v>
      </c>
      <c r="G120" s="58">
        <f>IF(OR(5842484.3398="",75.03436="",76.14691=""),"-",(75.03436-76.14691)/5842484.3398*100)</f>
        <v>-1.9042413043730703E-5</v>
      </c>
    </row>
    <row r="121" spans="1:7" x14ac:dyDescent="0.25">
      <c r="A121" s="63" t="s">
        <v>177</v>
      </c>
      <c r="B121" s="64">
        <v>68.532439999999994</v>
      </c>
      <c r="C121" s="65">
        <f>IF(OR(115.01897="",68.53244=""),"-",68.53244/115.01897*100)</f>
        <v>59.583597383979345</v>
      </c>
      <c r="D121" s="65">
        <f>IF(115.01897="","-",115.01897/5842484.3398*100)</f>
        <v>1.9686654394000021E-3</v>
      </c>
      <c r="E121" s="65">
        <f>IF(68.53244="","-",68.53244/5415671.45304*100)</f>
        <v>1.2654467796699596E-3</v>
      </c>
      <c r="F121" s="65">
        <f>IF(OR(5760057.05112="",128.82825="",115.01897=""),"-",(115.01897-128.82825)/5760057.05112*100)</f>
        <v>-2.3974206986916718E-4</v>
      </c>
      <c r="G121" s="65">
        <f>IF(OR(5842484.3398="",68.53244="",115.01897=""),"-",(68.53244-115.01897)/5842484.3398*100)</f>
        <v>-7.9566375015035682E-4</v>
      </c>
    </row>
    <row r="122" spans="1:7" x14ac:dyDescent="0.25">
      <c r="A122" s="59" t="s">
        <v>175</v>
      </c>
      <c r="B122" s="60">
        <v>50.55077</v>
      </c>
      <c r="C122" s="61" t="s">
        <v>96</v>
      </c>
      <c r="D122" s="61">
        <f>IF(24.26916="","-",24.26916/5842484.3398*100)</f>
        <v>4.1539110057470485E-4</v>
      </c>
      <c r="E122" s="61">
        <f>IF(50.55077="","-",50.55077/5415671.45304*100)</f>
        <v>9.334164828559558E-4</v>
      </c>
      <c r="F122" s="61">
        <f>IF(OR(5760057.05112="",27.00102="",24.26916=""),"-",(24.26916-27.00102)/5760057.05112*100)</f>
        <v>-4.7427655242907904E-5</v>
      </c>
      <c r="G122" s="61">
        <f>IF(OR(5842484.3398="",50.55077="",24.26916=""),"-",(50.55077-24.26916)/5842484.3398*100)</f>
        <v>4.4983620787761796E-4</v>
      </c>
    </row>
    <row r="123" spans="1:7" x14ac:dyDescent="0.25">
      <c r="A123" s="66" t="s">
        <v>21</v>
      </c>
    </row>
  </sheetData>
  <mergeCells count="5">
    <mergeCell ref="A1:G1"/>
    <mergeCell ref="A3:A4"/>
    <mergeCell ref="B3:C3"/>
    <mergeCell ref="D3:E3"/>
    <mergeCell ref="F3:G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1"/>
  <sheetViews>
    <sheetView workbookViewId="0">
      <selection activeCell="D4" sqref="D4:D150"/>
    </sheetView>
  </sheetViews>
  <sheetFormatPr defaultRowHeight="15.75" x14ac:dyDescent="0.25"/>
  <cols>
    <col min="1" max="1" width="43.25" customWidth="1"/>
    <col min="2" max="2" width="16" customWidth="1"/>
    <col min="3" max="3" width="15.625" customWidth="1"/>
    <col min="4" max="4" width="14.875" customWidth="1"/>
  </cols>
  <sheetData>
    <row r="1" spans="1:5" x14ac:dyDescent="0.25">
      <c r="A1" s="98" t="s">
        <v>157</v>
      </c>
      <c r="B1" s="98"/>
      <c r="C1" s="98"/>
      <c r="D1" s="98"/>
    </row>
    <row r="2" spans="1:5" x14ac:dyDescent="0.25">
      <c r="A2" s="4"/>
    </row>
    <row r="3" spans="1:5" ht="39.75" customHeight="1" x14ac:dyDescent="0.25">
      <c r="A3" s="43"/>
      <c r="B3" s="43">
        <v>2019</v>
      </c>
      <c r="C3" s="44">
        <v>2020</v>
      </c>
      <c r="D3" s="49" t="s">
        <v>276</v>
      </c>
      <c r="E3" s="1"/>
    </row>
    <row r="4" spans="1:5" ht="16.5" customHeight="1" x14ac:dyDescent="0.25">
      <c r="A4" s="36" t="s">
        <v>252</v>
      </c>
      <c r="B4" s="52">
        <v>-3063319.8746199999</v>
      </c>
      <c r="C4" s="52">
        <v>-2930511.5083099999</v>
      </c>
      <c r="D4" s="53">
        <f>IF(-3063319.87462="","-",-2930511.50831/-3063319.87462*100)</f>
        <v>95.664560942187777</v>
      </c>
    </row>
    <row r="5" spans="1:5" x14ac:dyDescent="0.25">
      <c r="A5" s="37" t="s">
        <v>149</v>
      </c>
      <c r="B5" s="89"/>
      <c r="C5" s="89"/>
      <c r="D5" s="90"/>
    </row>
    <row r="6" spans="1:5" x14ac:dyDescent="0.25">
      <c r="A6" s="34" t="s">
        <v>257</v>
      </c>
      <c r="B6" s="54">
        <v>-1050634.5660999999</v>
      </c>
      <c r="C6" s="54">
        <v>-811994.99329000001</v>
      </c>
      <c r="D6" s="55">
        <f>IF(-1050634.5661="","-",-811994.99329/-1050634.5661*100)</f>
        <v>77.286148722877059</v>
      </c>
    </row>
    <row r="7" spans="1:5" x14ac:dyDescent="0.25">
      <c r="A7" s="56" t="s">
        <v>4</v>
      </c>
      <c r="B7" s="57">
        <v>-238154.79895</v>
      </c>
      <c r="C7" s="57">
        <v>-226684.16089999999</v>
      </c>
      <c r="D7" s="58">
        <f>IF(OR(-238154.79895="",-226684.1609="",-238154.79895=0),"-",-226684.1609/-238154.79895*100)</f>
        <v>95.183536884172455</v>
      </c>
    </row>
    <row r="8" spans="1:5" x14ac:dyDescent="0.25">
      <c r="A8" s="56" t="s">
        <v>3</v>
      </c>
      <c r="B8" s="57">
        <v>-139378.98086000001</v>
      </c>
      <c r="C8" s="57">
        <v>-133112.52747</v>
      </c>
      <c r="D8" s="58">
        <f>IF(OR(-139378.98086="",-133112.52747="",-139378.98086=0),"-",-133112.52747/-139378.98086*100)</f>
        <v>95.504018359630294</v>
      </c>
    </row>
    <row r="9" spans="1:5" x14ac:dyDescent="0.25">
      <c r="A9" s="56" t="s">
        <v>5</v>
      </c>
      <c r="B9" s="57">
        <v>-88584.867989999999</v>
      </c>
      <c r="C9" s="57">
        <v>-107434.91846</v>
      </c>
      <c r="D9" s="58">
        <f>IF(OR(-88584.86799="",-107434.91846="",-88584.86799=0),"-",-107434.91846/-88584.86799*100)</f>
        <v>121.27908625672718</v>
      </c>
    </row>
    <row r="10" spans="1:5" x14ac:dyDescent="0.25">
      <c r="A10" s="56" t="s">
        <v>288</v>
      </c>
      <c r="B10" s="57">
        <v>-111004.36913000001</v>
      </c>
      <c r="C10" s="57">
        <v>-91663.800289999999</v>
      </c>
      <c r="D10" s="58">
        <f>IF(OR(-111004.36913="",-91663.80029="",-111004.36913=0),"-",-91663.80029/-111004.36913*100)</f>
        <v>82.576749913915748</v>
      </c>
    </row>
    <row r="11" spans="1:5" x14ac:dyDescent="0.25">
      <c r="A11" s="56" t="s">
        <v>43</v>
      </c>
      <c r="B11" s="57">
        <v>-97756.882620000004</v>
      </c>
      <c r="C11" s="57">
        <v>-73200.021099999998</v>
      </c>
      <c r="D11" s="58">
        <f>IF(OR(-97756.88262="",-73200.0211="",-97756.88262=0),"-",-73200.0211/-97756.88262*100)</f>
        <v>74.87965976221102</v>
      </c>
    </row>
    <row r="12" spans="1:5" x14ac:dyDescent="0.25">
      <c r="A12" s="56" t="s">
        <v>41</v>
      </c>
      <c r="B12" s="57">
        <v>-42820.588530000001</v>
      </c>
      <c r="C12" s="57">
        <v>-43649.73704</v>
      </c>
      <c r="D12" s="58">
        <f>IF(OR(-42820.58853="",-43649.73704="",-42820.58853=0),"-",-43649.73704/-42820.58853*100)</f>
        <v>101.93633142015108</v>
      </c>
    </row>
    <row r="13" spans="1:5" x14ac:dyDescent="0.25">
      <c r="A13" s="56" t="s">
        <v>8</v>
      </c>
      <c r="B13" s="57">
        <v>-61161.189089999898</v>
      </c>
      <c r="C13" s="57">
        <v>-40020.435389999897</v>
      </c>
      <c r="D13" s="58">
        <f>IF(OR(-61161.1890899999="",-40020.4353899999="",-61161.1890899999=0),"-",-40020.4353899999/-61161.1890899999*100)</f>
        <v>65.434364480894956</v>
      </c>
    </row>
    <row r="14" spans="1:5" x14ac:dyDescent="0.25">
      <c r="A14" s="56" t="s">
        <v>42</v>
      </c>
      <c r="B14" s="57">
        <v>-28146.520840000001</v>
      </c>
      <c r="C14" s="57">
        <v>-29110.86852</v>
      </c>
      <c r="D14" s="58">
        <f>IF(OR(-28146.52084="",-29110.86852="",-28146.52084=0),"-",-29110.86852/-28146.52084*100)</f>
        <v>103.42617009569983</v>
      </c>
    </row>
    <row r="15" spans="1:5" x14ac:dyDescent="0.25">
      <c r="A15" s="56" t="s">
        <v>53</v>
      </c>
      <c r="B15" s="57">
        <v>-23433.512719999901</v>
      </c>
      <c r="C15" s="57">
        <v>-26410.26569</v>
      </c>
      <c r="D15" s="58">
        <f>IF(OR(-23433.5127199999="",-26410.26569="",-23433.5127199999=0),"-",-26410.26569/-23433.5127199999*100)</f>
        <v>112.70297375202958</v>
      </c>
    </row>
    <row r="16" spans="1:5" x14ac:dyDescent="0.25">
      <c r="A16" s="56" t="s">
        <v>51</v>
      </c>
      <c r="B16" s="57">
        <v>-24522.87225</v>
      </c>
      <c r="C16" s="57">
        <v>-21776.12962</v>
      </c>
      <c r="D16" s="58">
        <f>IF(OR(-24522.87225="",-21776.12962="",-24522.87225=0),"-",-21776.12962/-24522.87225*100)</f>
        <v>88.799262166363889</v>
      </c>
    </row>
    <row r="17" spans="1:4" x14ac:dyDescent="0.25">
      <c r="A17" s="56" t="s">
        <v>45</v>
      </c>
      <c r="B17" s="57">
        <v>-21650.58682</v>
      </c>
      <c r="C17" s="57">
        <v>-20778.80932</v>
      </c>
      <c r="D17" s="58">
        <f>IF(OR(-21650.58682="",-20778.80932="",-21650.58682=0),"-",-20778.80932/-21650.58682*100)</f>
        <v>95.973423227518779</v>
      </c>
    </row>
    <row r="18" spans="1:4" x14ac:dyDescent="0.25">
      <c r="A18" s="56" t="s">
        <v>7</v>
      </c>
      <c r="B18" s="57">
        <v>-48113.476040000001</v>
      </c>
      <c r="C18" s="57">
        <v>-15647.289720000001</v>
      </c>
      <c r="D18" s="58">
        <f>IF(OR(-48113.47604="",-15647.28972="",-48113.47604=0),"-",-15647.28972/-48113.47604*100)</f>
        <v>32.521636364396841</v>
      </c>
    </row>
    <row r="19" spans="1:4" x14ac:dyDescent="0.25">
      <c r="A19" s="56" t="s">
        <v>49</v>
      </c>
      <c r="B19" s="57">
        <v>-12012.14264</v>
      </c>
      <c r="C19" s="57">
        <v>-13243.41768</v>
      </c>
      <c r="D19" s="58">
        <f>IF(OR(-12012.14264="",-13243.41768="",-12012.14264=0),"-",-13243.41768/-12012.14264*100)</f>
        <v>110.25025323875109</v>
      </c>
    </row>
    <row r="20" spans="1:4" x14ac:dyDescent="0.25">
      <c r="A20" s="56" t="s">
        <v>52</v>
      </c>
      <c r="B20" s="57">
        <v>-12092.99057</v>
      </c>
      <c r="C20" s="57">
        <v>-11390.26117</v>
      </c>
      <c r="D20" s="58">
        <f>IF(OR(-12092.99057="",-11390.26117="",-12092.99057=0),"-",-11390.26117/-12092.99057*100)</f>
        <v>94.188952716598379</v>
      </c>
    </row>
    <row r="21" spans="1:4" x14ac:dyDescent="0.25">
      <c r="A21" s="56" t="s">
        <v>50</v>
      </c>
      <c r="B21" s="57">
        <v>-12825.613579999999</v>
      </c>
      <c r="C21" s="57">
        <v>-10762.251990000001</v>
      </c>
      <c r="D21" s="58">
        <f>IF(OR(-12825.61358="",-10762.25199="",-12825.61358=0),"-",-10762.25199/-12825.61358*100)</f>
        <v>83.912180285724787</v>
      </c>
    </row>
    <row r="22" spans="1:4" x14ac:dyDescent="0.25">
      <c r="A22" s="56" t="s">
        <v>44</v>
      </c>
      <c r="B22" s="57">
        <v>-6868.6792100000002</v>
      </c>
      <c r="C22" s="57">
        <v>-7201.4776000000002</v>
      </c>
      <c r="D22" s="58">
        <f>IF(OR(-6868.67921="",-7201.4776="",-6868.67921=0),"-",-7201.4776/-6868.67921*100)</f>
        <v>104.84515843330526</v>
      </c>
    </row>
    <row r="23" spans="1:4" x14ac:dyDescent="0.25">
      <c r="A23" s="56" t="s">
        <v>54</v>
      </c>
      <c r="B23" s="57">
        <v>-8032.7206500000002</v>
      </c>
      <c r="C23" s="57">
        <v>-7020.5472099999997</v>
      </c>
      <c r="D23" s="58">
        <f>IF(OR(-8032.72065="",-7020.54721="",-8032.72065=0),"-",-7020.54721/-8032.72065*100)</f>
        <v>87.399369602128502</v>
      </c>
    </row>
    <row r="24" spans="1:4" x14ac:dyDescent="0.25">
      <c r="A24" s="56" t="s">
        <v>10</v>
      </c>
      <c r="B24" s="57">
        <v>-19234.356489999998</v>
      </c>
      <c r="C24" s="57">
        <v>-5725.3285599999999</v>
      </c>
      <c r="D24" s="58">
        <f>IF(OR(-19234.35649="",-5725.32856="",-19234.35649=0),"-",-5725.32856/-19234.35649*100)</f>
        <v>29.766156008268936</v>
      </c>
    </row>
    <row r="25" spans="1:4" x14ac:dyDescent="0.25">
      <c r="A25" s="56" t="s">
        <v>46</v>
      </c>
      <c r="B25" s="57">
        <v>-4453.1942099999997</v>
      </c>
      <c r="C25" s="57">
        <v>-5191.9368700000005</v>
      </c>
      <c r="D25" s="58">
        <f>IF(OR(-4453.19421="",-5191.93687="",-4453.19421=0),"-",-5191.93687/-4453.19421*100)</f>
        <v>116.58905103085546</v>
      </c>
    </row>
    <row r="26" spans="1:4" x14ac:dyDescent="0.25">
      <c r="A26" s="56" t="s">
        <v>6</v>
      </c>
      <c r="B26" s="57">
        <v>6745.0880999999999</v>
      </c>
      <c r="C26" s="57">
        <v>-4569.1194599999999</v>
      </c>
      <c r="D26" s="58" t="s">
        <v>22</v>
      </c>
    </row>
    <row r="27" spans="1:4" x14ac:dyDescent="0.25">
      <c r="A27" s="56" t="s">
        <v>289</v>
      </c>
      <c r="B27" s="57">
        <v>-4716.6261999999997</v>
      </c>
      <c r="C27" s="57">
        <v>-3879.8318899999999</v>
      </c>
      <c r="D27" s="58">
        <f>IF(OR(-4716.6262="",-3879.83189="",-4716.6262=0),"-",-3879.83189/-4716.6262*100)</f>
        <v>82.258625667643543</v>
      </c>
    </row>
    <row r="28" spans="1:4" x14ac:dyDescent="0.25">
      <c r="A28" s="56" t="s">
        <v>55</v>
      </c>
      <c r="B28" s="57">
        <v>-1881.1136899999999</v>
      </c>
      <c r="C28" s="57">
        <v>-1515.0994499999999</v>
      </c>
      <c r="D28" s="58">
        <f>IF(OR(-1881.11369="",-1515.09945="",-1881.11369=0),"-",-1515.09945/-1881.11369*100)</f>
        <v>80.542683733272924</v>
      </c>
    </row>
    <row r="29" spans="1:4" x14ac:dyDescent="0.25">
      <c r="A29" s="56" t="s">
        <v>56</v>
      </c>
      <c r="B29" s="57">
        <v>354.96048999999999</v>
      </c>
      <c r="C29" s="57">
        <v>-107.34613</v>
      </c>
      <c r="D29" s="58" t="s">
        <v>22</v>
      </c>
    </row>
    <row r="30" spans="1:4" x14ac:dyDescent="0.25">
      <c r="A30" s="56" t="s">
        <v>47</v>
      </c>
      <c r="B30" s="57">
        <v>-1159.7816399999999</v>
      </c>
      <c r="C30" s="57">
        <v>1505.0843</v>
      </c>
      <c r="D30" s="58" t="s">
        <v>22</v>
      </c>
    </row>
    <row r="31" spans="1:4" x14ac:dyDescent="0.25">
      <c r="A31" s="56" t="s">
        <v>9</v>
      </c>
      <c r="B31" s="57">
        <v>17052.572400000001</v>
      </c>
      <c r="C31" s="57">
        <v>1981.962</v>
      </c>
      <c r="D31" s="58">
        <f>IF(OR(17052.5724="",1981.962="",17052.5724=0),"-",1981.962/17052.5724*100)</f>
        <v>11.622657001591149</v>
      </c>
    </row>
    <row r="32" spans="1:4" x14ac:dyDescent="0.25">
      <c r="A32" s="56" t="s">
        <v>48</v>
      </c>
      <c r="B32" s="57">
        <v>8991.8681899999992</v>
      </c>
      <c r="C32" s="57">
        <v>9512.6416200000003</v>
      </c>
      <c r="D32" s="58">
        <f>IF(OR(8991.86819="",9512.64162="",8991.86819=0),"-",9512.64162/8991.86819*100)</f>
        <v>105.79160435847092</v>
      </c>
    </row>
    <row r="33" spans="1:4" x14ac:dyDescent="0.25">
      <c r="A33" s="56" t="s">
        <v>2</v>
      </c>
      <c r="B33" s="57">
        <v>-75773.190560000003</v>
      </c>
      <c r="C33" s="57">
        <v>75100.900320000001</v>
      </c>
      <c r="D33" s="58" t="s">
        <v>22</v>
      </c>
    </row>
    <row r="34" spans="1:4" x14ac:dyDescent="0.25">
      <c r="A34" s="34" t="s">
        <v>243</v>
      </c>
      <c r="B34" s="54">
        <v>-982275.06952999998</v>
      </c>
      <c r="C34" s="54">
        <v>-940632.64645999996</v>
      </c>
      <c r="D34" s="55">
        <f>IF(-982275.06953="","-",-940632.64646/-982275.06953*100)</f>
        <v>95.760614886629952</v>
      </c>
    </row>
    <row r="35" spans="1:4" x14ac:dyDescent="0.25">
      <c r="A35" s="56" t="s">
        <v>12</v>
      </c>
      <c r="B35" s="57">
        <f>IF(-488780.83321="","-",-488780.83321)</f>
        <v>-488780.83321000001</v>
      </c>
      <c r="C35" s="57">
        <v>-458085.21143000002</v>
      </c>
      <c r="D35" s="58">
        <f>IF(OR(-488780.83321="",-458085.21143="",-488780.83321=0),"-",-458085.21143/-488780.83321*100)</f>
        <v>93.719962057756902</v>
      </c>
    </row>
    <row r="36" spans="1:4" x14ac:dyDescent="0.25">
      <c r="A36" s="56" t="s">
        <v>290</v>
      </c>
      <c r="B36" s="57">
        <f>IF(-442655.22188="","-",-442655.22188)</f>
        <v>-442655.22188000003</v>
      </c>
      <c r="C36" s="57">
        <v>-386334.41428000003</v>
      </c>
      <c r="D36" s="58">
        <f>IF(OR(-442655.22188="",-386334.41428="",-442655.22188=0),"-",-386334.41428/-442655.22188*100)</f>
        <v>87.27659704073973</v>
      </c>
    </row>
    <row r="37" spans="1:4" x14ac:dyDescent="0.25">
      <c r="A37" s="56" t="s">
        <v>11</v>
      </c>
      <c r="B37" s="57">
        <f>IF(-50556.58735="","-",-50556.58735)</f>
        <v>-50556.587350000002</v>
      </c>
      <c r="C37" s="57">
        <v>-47982.164380000002</v>
      </c>
      <c r="D37" s="58">
        <f>IF(OR(-50556.58735="",-47982.16438="",-50556.58735=0),"-",-47982.16438/-50556.58735*100)</f>
        <v>94.90783871115066</v>
      </c>
    </row>
    <row r="38" spans="1:4" x14ac:dyDescent="0.25">
      <c r="A38" s="56" t="s">
        <v>13</v>
      </c>
      <c r="B38" s="57">
        <f>IF(-1700.47677="","-",-1700.47677)</f>
        <v>-1700.47677</v>
      </c>
      <c r="C38" s="57">
        <v>-44445.84431</v>
      </c>
      <c r="D38" s="58" t="s">
        <v>299</v>
      </c>
    </row>
    <row r="39" spans="1:4" x14ac:dyDescent="0.25">
      <c r="A39" s="56" t="s">
        <v>15</v>
      </c>
      <c r="B39" s="57">
        <f>IF(-4393.14283="","-",-4393.14283)</f>
        <v>-4393.1428299999998</v>
      </c>
      <c r="C39" s="57">
        <v>-2629.13222</v>
      </c>
      <c r="D39" s="58">
        <f>IF(OR(-4393.14283="",-2629.13222="",-4393.14283=0),"-",-2629.13222/-4393.14283*100)</f>
        <v>59.846272287031468</v>
      </c>
    </row>
    <row r="40" spans="1:4" x14ac:dyDescent="0.25">
      <c r="A40" s="56" t="s">
        <v>14</v>
      </c>
      <c r="B40" s="57">
        <f>IF(4201.36512="","-",4201.36512)</f>
        <v>4201.3651200000004</v>
      </c>
      <c r="C40" s="57">
        <v>-1089.5458900000001</v>
      </c>
      <c r="D40" s="58" t="s">
        <v>22</v>
      </c>
    </row>
    <row r="41" spans="1:4" x14ac:dyDescent="0.25">
      <c r="A41" s="56" t="s">
        <v>16</v>
      </c>
      <c r="B41" s="57">
        <f>IF(-2235.68735="","-",-2235.68735)</f>
        <v>-2235.6873500000002</v>
      </c>
      <c r="C41" s="57">
        <v>-1022.5654500000001</v>
      </c>
      <c r="D41" s="58">
        <f>IF(OR(-2235.68735="",-1022.56545="",-2235.68735=0),"-",-1022.56545/-2235.68735*100)</f>
        <v>45.738302808753645</v>
      </c>
    </row>
    <row r="42" spans="1:4" x14ac:dyDescent="0.25">
      <c r="A42" s="56" t="s">
        <v>18</v>
      </c>
      <c r="B42" s="57">
        <f>IF(176.2514="","-",176.2514)</f>
        <v>176.25139999999999</v>
      </c>
      <c r="C42" s="57">
        <v>293.67174</v>
      </c>
      <c r="D42" s="58" t="s">
        <v>104</v>
      </c>
    </row>
    <row r="43" spans="1:4" x14ac:dyDescent="0.25">
      <c r="A43" s="56" t="s">
        <v>17</v>
      </c>
      <c r="B43" s="57">
        <f>IF(2434.97259="","-",2434.97259)</f>
        <v>2434.9725899999999</v>
      </c>
      <c r="C43" s="57">
        <v>328.44123999999999</v>
      </c>
      <c r="D43" s="58">
        <f>IF(OR(2434.97259="",328.44124="",2434.97259=0),"-",328.44124/2434.97259*100)</f>
        <v>13.488498447532832</v>
      </c>
    </row>
    <row r="44" spans="1:4" x14ac:dyDescent="0.25">
      <c r="A44" s="56" t="s">
        <v>127</v>
      </c>
      <c r="B44" s="57">
        <f>IF(1234.29075="","-",1234.29075)</f>
        <v>1234.2907499999999</v>
      </c>
      <c r="C44" s="57">
        <v>334.11851999999999</v>
      </c>
      <c r="D44" s="58">
        <f>IF(OR(1234.29075="",334.11852="",1234.29075=0),"-",334.11852/1234.29075*100)</f>
        <v>27.069677059477275</v>
      </c>
    </row>
    <row r="45" spans="1:4" x14ac:dyDescent="0.25">
      <c r="A45" s="34" t="s">
        <v>168</v>
      </c>
      <c r="B45" s="54">
        <v>-1030410.23899</v>
      </c>
      <c r="C45" s="54">
        <v>-1177883.8685600001</v>
      </c>
      <c r="D45" s="55">
        <f>IF(-1030410.23899="","-",-1177883.86856/-1030410.23899*100)</f>
        <v>114.31212773220815</v>
      </c>
    </row>
    <row r="46" spans="1:4" x14ac:dyDescent="0.25">
      <c r="A46" s="56" t="s">
        <v>60</v>
      </c>
      <c r="B46" s="57">
        <v>-584871.00967000006</v>
      </c>
      <c r="C46" s="57">
        <v>-633479.32877999998</v>
      </c>
      <c r="D46" s="58">
        <f>IF(OR(-584871.00967="",-633479.32878="",-584871.00967=0),"-",-633479.32878/-584871.00967*100)</f>
        <v>108.31094691074294</v>
      </c>
    </row>
    <row r="47" spans="1:4" x14ac:dyDescent="0.25">
      <c r="A47" s="56" t="s">
        <v>57</v>
      </c>
      <c r="B47" s="57">
        <v>-225005.25594</v>
      </c>
      <c r="C47" s="57">
        <v>-216485.22988999999</v>
      </c>
      <c r="D47" s="58">
        <f>IF(OR(-225005.25594="",-216485.22989="",-225005.25594=0),"-",-216485.22989/-225005.25594*100)</f>
        <v>96.213410209283296</v>
      </c>
    </row>
    <row r="48" spans="1:4" x14ac:dyDescent="0.25">
      <c r="A48" s="56" t="s">
        <v>77</v>
      </c>
      <c r="B48" s="57">
        <v>-49786.664239999998</v>
      </c>
      <c r="C48" s="57">
        <v>-54193.833140000002</v>
      </c>
      <c r="D48" s="58">
        <f>IF(OR(-49786.66424="",-54193.83314="",-49786.66424=0),"-",-54193.83314/-49786.66424*100)</f>
        <v>108.85210722042945</v>
      </c>
    </row>
    <row r="49" spans="1:5" x14ac:dyDescent="0.25">
      <c r="A49" s="56" t="s">
        <v>73</v>
      </c>
      <c r="B49" s="57">
        <v>-45685.857459999999</v>
      </c>
      <c r="C49" s="57">
        <v>-44018.878519999998</v>
      </c>
      <c r="D49" s="58">
        <f>IF(OR(-45685.85746="",-44018.87852="",-45685.85746=0),"-",-44018.87852/-45685.85746*100)</f>
        <v>96.35121450558411</v>
      </c>
    </row>
    <row r="50" spans="1:5" x14ac:dyDescent="0.25">
      <c r="A50" s="56" t="s">
        <v>19</v>
      </c>
      <c r="B50" s="57">
        <v>-49993.835650000001</v>
      </c>
      <c r="C50" s="57">
        <v>-42757.923340000001</v>
      </c>
      <c r="D50" s="58">
        <f>IF(OR(-49993.83565="",-42757.92334="",-49993.83565=0),"-",-42757.92334/-49993.83565*100)</f>
        <v>85.526390972163796</v>
      </c>
    </row>
    <row r="51" spans="1:5" x14ac:dyDescent="0.25">
      <c r="A51" s="56" t="s">
        <v>37</v>
      </c>
      <c r="B51" s="57">
        <v>-40679.313099999999</v>
      </c>
      <c r="C51" s="57">
        <v>-42619.21875</v>
      </c>
      <c r="D51" s="58">
        <f>IF(OR(-40679.3131="",-42619.21875="",-40679.3131=0),"-",-42619.21875/-40679.3131*100)</f>
        <v>104.76877681103225</v>
      </c>
    </row>
    <row r="52" spans="1:5" x14ac:dyDescent="0.25">
      <c r="A52" s="56" t="s">
        <v>70</v>
      </c>
      <c r="B52" s="57">
        <v>-35380.508900000001</v>
      </c>
      <c r="C52" s="57">
        <v>-39466.49699</v>
      </c>
      <c r="D52" s="58">
        <f>IF(OR(-35380.5089="",-39466.49699="",-35380.5089=0),"-",-39466.49699/-35380.5089*100)</f>
        <v>111.54869790468163</v>
      </c>
    </row>
    <row r="53" spans="1:5" x14ac:dyDescent="0.25">
      <c r="A53" s="56" t="s">
        <v>67</v>
      </c>
      <c r="B53" s="57">
        <v>-15699.1248</v>
      </c>
      <c r="C53" s="57">
        <v>-24657.038759999999</v>
      </c>
      <c r="D53" s="58" t="s">
        <v>105</v>
      </c>
    </row>
    <row r="54" spans="1:5" x14ac:dyDescent="0.25">
      <c r="A54" s="56" t="s">
        <v>80</v>
      </c>
      <c r="B54" s="57">
        <v>-17090.721430000001</v>
      </c>
      <c r="C54" s="57">
        <v>-19563.713339999998</v>
      </c>
      <c r="D54" s="58">
        <f>IF(OR(-17090.72143="",-19563.71334="",-17090.72143=0),"-",-19563.71334/-17090.72143*100)</f>
        <v>114.46979239658694</v>
      </c>
    </row>
    <row r="55" spans="1:5" x14ac:dyDescent="0.25">
      <c r="A55" s="56" t="s">
        <v>71</v>
      </c>
      <c r="B55" s="57">
        <v>-18657.057130000001</v>
      </c>
      <c r="C55" s="57">
        <v>-16518.304649999998</v>
      </c>
      <c r="D55" s="58">
        <f>IF(OR(-18657.05713="",-16518.30465="",-18657.05713=0),"-",-16518.30465/-18657.05713*100)</f>
        <v>88.536496055634885</v>
      </c>
    </row>
    <row r="56" spans="1:5" x14ac:dyDescent="0.25">
      <c r="A56" s="56" t="s">
        <v>62</v>
      </c>
      <c r="B56" s="57">
        <v>-1334.1519499999999</v>
      </c>
      <c r="C56" s="57">
        <v>-10871.405629999999</v>
      </c>
      <c r="D56" s="58" t="s">
        <v>300</v>
      </c>
    </row>
    <row r="57" spans="1:5" x14ac:dyDescent="0.25">
      <c r="A57" s="56" t="s">
        <v>72</v>
      </c>
      <c r="B57" s="57">
        <v>-8490.7551000000003</v>
      </c>
      <c r="C57" s="57">
        <v>-10588.866609999999</v>
      </c>
      <c r="D57" s="58">
        <f>IF(OR(-8490.7551="",-10588.86661="",-8490.7551=0),"-",-10588.86661/-8490.7551*100)</f>
        <v>124.71054087992715</v>
      </c>
    </row>
    <row r="58" spans="1:5" x14ac:dyDescent="0.25">
      <c r="A58" s="56" t="s">
        <v>83</v>
      </c>
      <c r="B58" s="57">
        <v>-9526.8842499999992</v>
      </c>
      <c r="C58" s="57">
        <v>-9833.7157599999991</v>
      </c>
      <c r="D58" s="58">
        <f>IF(OR(-9526.88425="",-9833.71576="",-9526.88425=0),"-",-9833.71576/-9526.88425*100)</f>
        <v>103.22069106696662</v>
      </c>
    </row>
    <row r="59" spans="1:5" x14ac:dyDescent="0.25">
      <c r="A59" s="56" t="s">
        <v>75</v>
      </c>
      <c r="B59" s="57">
        <v>-6111.6109699999997</v>
      </c>
      <c r="C59" s="57">
        <v>-9532.3740099999995</v>
      </c>
      <c r="D59" s="58" t="s">
        <v>105</v>
      </c>
    </row>
    <row r="60" spans="1:5" x14ac:dyDescent="0.25">
      <c r="A60" s="56" t="s">
        <v>84</v>
      </c>
      <c r="B60" s="57">
        <v>-10594.938529999999</v>
      </c>
      <c r="C60" s="57">
        <v>-9250.2698899999996</v>
      </c>
      <c r="D60" s="58">
        <f>IF(OR(-10594.93853="",-9250.26989="",-10594.93853=0),"-",-9250.26989/-10594.93853*100)</f>
        <v>87.308386582965852</v>
      </c>
      <c r="E60" s="1"/>
    </row>
    <row r="61" spans="1:5" x14ac:dyDescent="0.25">
      <c r="A61" s="56" t="s">
        <v>79</v>
      </c>
      <c r="B61" s="57">
        <v>-9673.5212900000006</v>
      </c>
      <c r="C61" s="57">
        <v>-8799.2630399999998</v>
      </c>
      <c r="D61" s="58">
        <f>IF(OR(-9673.52129="",-8799.26304="",-9673.52129=0),"-",-8799.26304/-9673.52129*100)</f>
        <v>90.962357720721982</v>
      </c>
    </row>
    <row r="62" spans="1:5" x14ac:dyDescent="0.25">
      <c r="A62" s="56" t="s">
        <v>291</v>
      </c>
      <c r="B62" s="57">
        <v>-8797.7557500000003</v>
      </c>
      <c r="C62" s="57">
        <v>-7382.5673100000004</v>
      </c>
      <c r="D62" s="58">
        <f>IF(OR(-8797.75575="",-7382.56731="",-8797.75575=0),"-",-7382.56731/-8797.75575*100)</f>
        <v>83.91421084860194</v>
      </c>
    </row>
    <row r="63" spans="1:5" x14ac:dyDescent="0.25">
      <c r="A63" s="56" t="s">
        <v>64</v>
      </c>
      <c r="B63" s="57">
        <v>-5860.1495500000001</v>
      </c>
      <c r="C63" s="57">
        <v>-6419.07035</v>
      </c>
      <c r="D63" s="58">
        <f>IF(OR(-5860.14955="",-6419.07035="",-5860.14955=0),"-",-6419.07035/-5860.14955*100)</f>
        <v>109.53765420542894</v>
      </c>
    </row>
    <row r="64" spans="1:5" x14ac:dyDescent="0.25">
      <c r="A64" s="56" t="s">
        <v>85</v>
      </c>
      <c r="B64" s="57">
        <v>-7424.0539399999998</v>
      </c>
      <c r="C64" s="57">
        <v>-6249.4882299999999</v>
      </c>
      <c r="D64" s="58">
        <f>IF(OR(-7424.05394="",-6249.48823="",-7424.05394=0),"-",-6249.48823/-7424.05394*100)</f>
        <v>84.178917347682955</v>
      </c>
    </row>
    <row r="65" spans="1:5" x14ac:dyDescent="0.25">
      <c r="A65" s="56" t="s">
        <v>63</v>
      </c>
      <c r="B65" s="57">
        <v>-4055.2113199999999</v>
      </c>
      <c r="C65" s="57">
        <v>-4802.0530600000002</v>
      </c>
      <c r="D65" s="58">
        <f>IF(OR(-4055.21132="",-4802.05306="",-4055.21132=0),"-",-4802.05306/-4055.21132*100)</f>
        <v>118.41683900211643</v>
      </c>
    </row>
    <row r="66" spans="1:5" x14ac:dyDescent="0.25">
      <c r="A66" s="56" t="s">
        <v>141</v>
      </c>
      <c r="B66" s="57">
        <v>-2771.9553799999999</v>
      </c>
      <c r="C66" s="57">
        <v>-4595.7009799999996</v>
      </c>
      <c r="D66" s="58" t="s">
        <v>104</v>
      </c>
    </row>
    <row r="67" spans="1:5" x14ac:dyDescent="0.25">
      <c r="A67" s="56" t="s">
        <v>81</v>
      </c>
      <c r="B67" s="57">
        <v>-6087.7961699999996</v>
      </c>
      <c r="C67" s="57">
        <v>-4490.1569099999997</v>
      </c>
      <c r="D67" s="58">
        <f>IF(OR(-6087.79617="",-4490.15691="",-6087.79617=0),"-",-4490.15691/-6087.79617*100)</f>
        <v>73.756689360379809</v>
      </c>
      <c r="E67" s="1"/>
    </row>
    <row r="68" spans="1:5" x14ac:dyDescent="0.25">
      <c r="A68" s="56" t="s">
        <v>86</v>
      </c>
      <c r="B68" s="57">
        <v>-5946.0409099999997</v>
      </c>
      <c r="C68" s="57">
        <v>-4391.1367099999998</v>
      </c>
      <c r="D68" s="58">
        <f>IF(OR(-5946.04091="",-4391.13671="",-5946.04091=0),"-",-4391.13671/-5946.04091*100)</f>
        <v>73.849756106033922</v>
      </c>
    </row>
    <row r="69" spans="1:5" x14ac:dyDescent="0.25">
      <c r="A69" s="56" t="s">
        <v>76</v>
      </c>
      <c r="B69" s="57">
        <v>-3013.2996400000002</v>
      </c>
      <c r="C69" s="57">
        <v>-4328.4658099999997</v>
      </c>
      <c r="D69" s="58">
        <f>IF(OR(-3013.29964="",-4328.46581="",-3013.29964=0),"-",-4328.46581/-3013.29964*100)</f>
        <v>143.64538303930502</v>
      </c>
    </row>
    <row r="70" spans="1:5" x14ac:dyDescent="0.25">
      <c r="A70" s="56" t="s">
        <v>82</v>
      </c>
      <c r="B70" s="57">
        <v>-3549.3969999999999</v>
      </c>
      <c r="C70" s="57">
        <v>-4095.70784</v>
      </c>
      <c r="D70" s="58">
        <f>IF(OR(-3549.397="",-4095.70784="",-3549.397=0),"-",-4095.70784/-3549.397*100)</f>
        <v>115.39165215950766</v>
      </c>
    </row>
    <row r="71" spans="1:5" x14ac:dyDescent="0.25">
      <c r="A71" s="56" t="s">
        <v>87</v>
      </c>
      <c r="B71" s="57">
        <v>-3922.2184200000002</v>
      </c>
      <c r="C71" s="57">
        <v>-3410.3379</v>
      </c>
      <c r="D71" s="58">
        <f>IF(OR(-3922.21842="",-3410.3379="",-3922.21842=0),"-",-3410.3379/-3922.21842*100)</f>
        <v>86.949209218185246</v>
      </c>
    </row>
    <row r="72" spans="1:5" x14ac:dyDescent="0.25">
      <c r="A72" s="56" t="s">
        <v>144</v>
      </c>
      <c r="B72" s="57">
        <v>-2516.7317400000002</v>
      </c>
      <c r="C72" s="57">
        <v>-2588.7758800000001</v>
      </c>
      <c r="D72" s="58">
        <f>IF(OR(-2516.73174="",-2588.77588="",-2516.73174=0),"-",-2588.77588/-2516.73174*100)</f>
        <v>102.86260704130508</v>
      </c>
    </row>
    <row r="73" spans="1:5" x14ac:dyDescent="0.25">
      <c r="A73" s="56" t="s">
        <v>88</v>
      </c>
      <c r="B73" s="57">
        <v>-2638.3342200000002</v>
      </c>
      <c r="C73" s="57">
        <v>-2288.0186600000002</v>
      </c>
      <c r="D73" s="58">
        <f>IF(OR(-2638.33422="",-2288.01866="",-2638.33422=0),"-",-2288.01866/-2638.33422*100)</f>
        <v>86.722093154672422</v>
      </c>
    </row>
    <row r="74" spans="1:5" x14ac:dyDescent="0.25">
      <c r="A74" s="56" t="s">
        <v>92</v>
      </c>
      <c r="B74" s="57">
        <v>-1204.5348799999999</v>
      </c>
      <c r="C74" s="57">
        <v>-2183.15146</v>
      </c>
      <c r="D74" s="58" t="s">
        <v>240</v>
      </c>
    </row>
    <row r="75" spans="1:5" x14ac:dyDescent="0.25">
      <c r="A75" s="56" t="s">
        <v>74</v>
      </c>
      <c r="B75" s="57">
        <v>-1737.84007</v>
      </c>
      <c r="C75" s="57">
        <v>-2085.74811</v>
      </c>
      <c r="D75" s="58">
        <f>IF(OR(-1737.84007="",-2085.74811="",-1737.84007=0),"-",-2085.74811/-1737.84007*100)</f>
        <v>120.01956601219352</v>
      </c>
      <c r="E75" s="12"/>
    </row>
    <row r="76" spans="1:5" x14ac:dyDescent="0.25">
      <c r="A76" s="56" t="s">
        <v>89</v>
      </c>
      <c r="B76" s="57">
        <v>-2312.0272100000002</v>
      </c>
      <c r="C76" s="57">
        <v>-2076.1027800000002</v>
      </c>
      <c r="D76" s="58">
        <f>IF(OR(-2312.02721="",-2076.10278="",-2312.02721=0),"-",-2076.10278/-2312.02721*100)</f>
        <v>89.795776235695769</v>
      </c>
    </row>
    <row r="77" spans="1:5" x14ac:dyDescent="0.25">
      <c r="A77" s="56" t="s">
        <v>40</v>
      </c>
      <c r="B77" s="57">
        <v>-1882.64573</v>
      </c>
      <c r="C77" s="57">
        <v>-1636.28809</v>
      </c>
      <c r="D77" s="58">
        <f>IF(OR(-1882.64573="",-1636.28809="",-1882.64573=0),"-",-1636.28809/-1882.64573*100)</f>
        <v>86.914285780150465</v>
      </c>
    </row>
    <row r="78" spans="1:5" x14ac:dyDescent="0.25">
      <c r="A78" s="56" t="s">
        <v>90</v>
      </c>
      <c r="B78" s="57">
        <v>-1267.1985500000001</v>
      </c>
      <c r="C78" s="57">
        <v>-1586.29097</v>
      </c>
      <c r="D78" s="58">
        <f>IF(OR(-1267.19855="",-1586.29097="",-1267.19855=0),"-",-1586.29097/-1267.19855*100)</f>
        <v>125.18093316947056</v>
      </c>
    </row>
    <row r="79" spans="1:5" x14ac:dyDescent="0.25">
      <c r="A79" s="56" t="s">
        <v>66</v>
      </c>
      <c r="B79" s="57">
        <v>6284.3468899999998</v>
      </c>
      <c r="C79" s="57">
        <v>-1534.6862799999999</v>
      </c>
      <c r="D79" s="58" t="s">
        <v>22</v>
      </c>
    </row>
    <row r="80" spans="1:5" x14ac:dyDescent="0.25">
      <c r="A80" s="56" t="s">
        <v>143</v>
      </c>
      <c r="B80" s="57">
        <v>85.473389999999995</v>
      </c>
      <c r="C80" s="57">
        <v>-1283.6922300000001</v>
      </c>
      <c r="D80" s="58" t="s">
        <v>22</v>
      </c>
    </row>
    <row r="81" spans="1:5" x14ac:dyDescent="0.25">
      <c r="A81" s="56" t="s">
        <v>98</v>
      </c>
      <c r="B81" s="57">
        <v>-1027.6477400000001</v>
      </c>
      <c r="C81" s="57">
        <v>-1268.1539499999999</v>
      </c>
      <c r="D81" s="58">
        <f>IF(OR(-1027.64774="",-1268.15395="",-1027.64774=0),"-",-1268.15395/-1027.64774*100)</f>
        <v>123.40356531120283</v>
      </c>
    </row>
    <row r="82" spans="1:5" x14ac:dyDescent="0.25">
      <c r="A82" s="56" t="s">
        <v>171</v>
      </c>
      <c r="B82" s="57">
        <v>-602.94375000000002</v>
      </c>
      <c r="C82" s="57">
        <v>-1134.02755</v>
      </c>
      <c r="D82" s="58" t="s">
        <v>106</v>
      </c>
    </row>
    <row r="83" spans="1:5" x14ac:dyDescent="0.25">
      <c r="A83" s="56" t="s">
        <v>39</v>
      </c>
      <c r="B83" s="57">
        <v>-2583.67976</v>
      </c>
      <c r="C83" s="57">
        <v>-1029.4744800000001</v>
      </c>
      <c r="D83" s="58">
        <f>IF(OR(-2583.67976="",-1029.47448="",-2583.67976=0),"-",-1029.47448/-2583.67976*100)</f>
        <v>39.845281754268186</v>
      </c>
    </row>
    <row r="84" spans="1:5" x14ac:dyDescent="0.25">
      <c r="A84" s="56" t="s">
        <v>65</v>
      </c>
      <c r="B84" s="57">
        <v>882.13512000000003</v>
      </c>
      <c r="C84" s="57">
        <v>-825.02733000000001</v>
      </c>
      <c r="D84" s="58" t="s">
        <v>22</v>
      </c>
    </row>
    <row r="85" spans="1:5" x14ac:dyDescent="0.25">
      <c r="A85" s="56" t="s">
        <v>69</v>
      </c>
      <c r="B85" s="57">
        <v>410.74876</v>
      </c>
      <c r="C85" s="57">
        <v>-723.22595999999999</v>
      </c>
      <c r="D85" s="58" t="s">
        <v>22</v>
      </c>
    </row>
    <row r="86" spans="1:5" x14ac:dyDescent="0.25">
      <c r="A86" s="56" t="s">
        <v>93</v>
      </c>
      <c r="B86" s="57">
        <v>-877.55777</v>
      </c>
      <c r="C86" s="57">
        <v>-625.68601999999998</v>
      </c>
      <c r="D86" s="58">
        <f>IF(OR(-877.55777="",-625.68602="",-877.55777=0),"-",-625.68602/-877.55777*100)</f>
        <v>71.298556219267468</v>
      </c>
    </row>
    <row r="87" spans="1:5" x14ac:dyDescent="0.25">
      <c r="A87" s="56" t="s">
        <v>292</v>
      </c>
      <c r="B87" s="57">
        <v>3</v>
      </c>
      <c r="C87" s="57">
        <v>-624.85532000000001</v>
      </c>
      <c r="D87" s="58" t="s">
        <v>22</v>
      </c>
    </row>
    <row r="88" spans="1:5" x14ac:dyDescent="0.25">
      <c r="A88" s="56" t="s">
        <v>170</v>
      </c>
      <c r="B88" s="57">
        <v>-861.07335</v>
      </c>
      <c r="C88" s="57">
        <v>-579.07420000000002</v>
      </c>
      <c r="D88" s="58">
        <f>IF(OR(-861.07335="",-579.0742="",-861.07335=0),"-",-579.0742/-861.07335*100)</f>
        <v>67.250275484661088</v>
      </c>
    </row>
    <row r="89" spans="1:5" x14ac:dyDescent="0.25">
      <c r="A89" s="56" t="s">
        <v>111</v>
      </c>
      <c r="B89" s="57">
        <v>-232.32902999999999</v>
      </c>
      <c r="C89" s="57">
        <v>-510.06297999999998</v>
      </c>
      <c r="D89" s="58" t="s">
        <v>239</v>
      </c>
    </row>
    <row r="90" spans="1:5" x14ac:dyDescent="0.25">
      <c r="A90" s="56" t="s">
        <v>293</v>
      </c>
      <c r="B90" s="57">
        <v>-798.80178999999998</v>
      </c>
      <c r="C90" s="57">
        <v>-459.87151999999998</v>
      </c>
      <c r="D90" s="58">
        <f>IF(OR(-798.80179="",-459.87152="",-798.80179=0),"-",-459.87152/-798.80179*100)</f>
        <v>57.570166436407213</v>
      </c>
    </row>
    <row r="91" spans="1:5" x14ac:dyDescent="0.25">
      <c r="A91" s="56" t="s">
        <v>132</v>
      </c>
      <c r="B91" s="57">
        <v>-941.81714999999997</v>
      </c>
      <c r="C91" s="57">
        <v>-424.96280000000002</v>
      </c>
      <c r="D91" s="58">
        <f>IF(OR(-941.81715="",-424.9628="",-941.81715=0),"-",-424.9628/-941.81715*100)</f>
        <v>45.121582251926505</v>
      </c>
    </row>
    <row r="92" spans="1:5" x14ac:dyDescent="0.25">
      <c r="A92" s="56" t="s">
        <v>95</v>
      </c>
      <c r="B92" s="57">
        <v>-373.82422000000003</v>
      </c>
      <c r="C92" s="57">
        <v>-417.05801000000002</v>
      </c>
      <c r="D92" s="58">
        <f>IF(OR(-373.82422="",-417.05801="",-373.82422=0),"-",-417.05801/-373.82422*100)</f>
        <v>111.56527257650669</v>
      </c>
    </row>
    <row r="93" spans="1:5" x14ac:dyDescent="0.25">
      <c r="A93" s="56" t="s">
        <v>91</v>
      </c>
      <c r="B93" s="57">
        <v>-373.81509</v>
      </c>
      <c r="C93" s="57">
        <v>-416.20021000000003</v>
      </c>
      <c r="D93" s="58">
        <f>IF(OR(-373.81509="",-416.20021="",-373.81509=0),"-",-416.20021/-373.81509*100)</f>
        <v>111.33852568659013</v>
      </c>
    </row>
    <row r="94" spans="1:5" x14ac:dyDescent="0.25">
      <c r="A94" s="56" t="s">
        <v>94</v>
      </c>
      <c r="B94" s="57">
        <v>-462.36381</v>
      </c>
      <c r="C94" s="57">
        <v>-400.10865000000001</v>
      </c>
      <c r="D94" s="58">
        <f>IF(OR(-462.36381="",-400.10865="",-462.36381=0),"-",-400.10865/-462.36381*100)</f>
        <v>86.535460030922408</v>
      </c>
    </row>
    <row r="95" spans="1:5" x14ac:dyDescent="0.25">
      <c r="A95" s="56" t="s">
        <v>102</v>
      </c>
      <c r="B95" s="57">
        <v>-658.06889999999999</v>
      </c>
      <c r="C95" s="57">
        <v>-336.81117999999998</v>
      </c>
      <c r="D95" s="58">
        <f>IF(OR(-658.0689="",-336.81118="",-658.0689=0),"-",-336.81118/-658.0689*100)</f>
        <v>51.181750117654857</v>
      </c>
      <c r="E95" s="12"/>
    </row>
    <row r="96" spans="1:5" x14ac:dyDescent="0.25">
      <c r="A96" s="56" t="s">
        <v>99</v>
      </c>
      <c r="B96" s="57">
        <v>-705.01174000000003</v>
      </c>
      <c r="C96" s="57">
        <v>-308.28321999999997</v>
      </c>
      <c r="D96" s="58">
        <f>IF(OR(-705.01174="",-308.28322="",-705.01174=0),"-",-308.28322/-705.01174*100)</f>
        <v>43.727388142500992</v>
      </c>
    </row>
    <row r="97" spans="1:5" x14ac:dyDescent="0.25">
      <c r="A97" s="56" t="s">
        <v>151</v>
      </c>
      <c r="B97" s="57">
        <v>-382.53334000000001</v>
      </c>
      <c r="C97" s="57">
        <v>-210.36138</v>
      </c>
      <c r="D97" s="58">
        <f>IF(OR(-382.53334="",-210.36138="",-382.53334=0),"-",-210.36138/-382.53334*100)</f>
        <v>54.991645956924948</v>
      </c>
      <c r="E97" s="11"/>
    </row>
    <row r="98" spans="1:5" x14ac:dyDescent="0.25">
      <c r="A98" s="56" t="s">
        <v>146</v>
      </c>
      <c r="B98" s="57">
        <v>-122.78442</v>
      </c>
      <c r="C98" s="57">
        <v>-205.14183</v>
      </c>
      <c r="D98" s="58" t="s">
        <v>104</v>
      </c>
    </row>
    <row r="99" spans="1:5" x14ac:dyDescent="0.25">
      <c r="A99" s="56" t="s">
        <v>262</v>
      </c>
      <c r="B99" s="57">
        <v>459.89037000000002</v>
      </c>
      <c r="C99" s="57">
        <v>-165.13908000000001</v>
      </c>
      <c r="D99" s="58" t="s">
        <v>22</v>
      </c>
      <c r="E99" s="11"/>
    </row>
    <row r="100" spans="1:5" x14ac:dyDescent="0.25">
      <c r="A100" s="56" t="s">
        <v>237</v>
      </c>
      <c r="B100" s="57">
        <v>-77.255930000000006</v>
      </c>
      <c r="C100" s="57">
        <v>-141.60894999999999</v>
      </c>
      <c r="D100" s="58" t="s">
        <v>240</v>
      </c>
      <c r="E100" s="1"/>
    </row>
    <row r="101" spans="1:5" x14ac:dyDescent="0.25">
      <c r="A101" s="56" t="s">
        <v>108</v>
      </c>
      <c r="B101" s="57">
        <v>228.64049</v>
      </c>
      <c r="C101" s="57">
        <v>-133.8964</v>
      </c>
      <c r="D101" s="58" t="s">
        <v>22</v>
      </c>
    </row>
    <row r="102" spans="1:5" x14ac:dyDescent="0.25">
      <c r="A102" s="56" t="s">
        <v>152</v>
      </c>
      <c r="B102" s="57">
        <v>-149.14975999999999</v>
      </c>
      <c r="C102" s="57">
        <v>-132.44779</v>
      </c>
      <c r="D102" s="58">
        <f>IF(OR(-149.14976="",-132.44779="",-149.14976=0),"-",-132.44779/-149.14976*100)</f>
        <v>88.801879399604815</v>
      </c>
    </row>
    <row r="103" spans="1:5" x14ac:dyDescent="0.25">
      <c r="A103" s="56" t="s">
        <v>172</v>
      </c>
      <c r="B103" s="57">
        <v>-120.81373000000001</v>
      </c>
      <c r="C103" s="57">
        <v>-132.25442000000001</v>
      </c>
      <c r="D103" s="58">
        <f>IF(OR(-120.81373="",-132.25442="",-120.81373=0),"-",-132.25442/-120.81373*100)</f>
        <v>109.46969355221464</v>
      </c>
    </row>
    <row r="104" spans="1:5" x14ac:dyDescent="0.25">
      <c r="A104" s="56" t="s">
        <v>161</v>
      </c>
      <c r="B104" s="57">
        <v>-143.88905</v>
      </c>
      <c r="C104" s="57">
        <v>-129.56075999999999</v>
      </c>
      <c r="D104" s="58">
        <f>IF(OR(-143.88905="",-129.56076="",-143.88905=0),"-",-129.56076/-143.88905*100)</f>
        <v>90.042126207657901</v>
      </c>
      <c r="E104" s="12"/>
    </row>
    <row r="105" spans="1:5" x14ac:dyDescent="0.25">
      <c r="A105" s="56" t="s">
        <v>176</v>
      </c>
      <c r="B105" s="57">
        <v>-52.19115</v>
      </c>
      <c r="C105" s="57">
        <v>-129.35686000000001</v>
      </c>
      <c r="D105" s="58" t="s">
        <v>254</v>
      </c>
      <c r="E105" s="10"/>
    </row>
    <row r="106" spans="1:5" x14ac:dyDescent="0.25">
      <c r="A106" s="56" t="s">
        <v>162</v>
      </c>
      <c r="B106" s="57">
        <v>-154.1063</v>
      </c>
      <c r="C106" s="57">
        <v>-119.00731</v>
      </c>
      <c r="D106" s="58">
        <f>IF(OR(-154.1063="",-119.00731="",-154.1063=0),"-",-119.00731/-154.1063*100)</f>
        <v>77.224169290937496</v>
      </c>
    </row>
    <row r="107" spans="1:5" x14ac:dyDescent="0.25">
      <c r="A107" s="56" t="s">
        <v>294</v>
      </c>
      <c r="B107" s="57">
        <v>-38.97204</v>
      </c>
      <c r="C107" s="57">
        <v>-98.105419999999995</v>
      </c>
      <c r="D107" s="58" t="s">
        <v>254</v>
      </c>
    </row>
    <row r="108" spans="1:5" x14ac:dyDescent="0.25">
      <c r="A108" s="56" t="s">
        <v>147</v>
      </c>
      <c r="B108" s="57">
        <v>1163.2995000000001</v>
      </c>
      <c r="C108" s="57">
        <v>-82.375470000000007</v>
      </c>
      <c r="D108" s="58" t="s">
        <v>22</v>
      </c>
    </row>
    <row r="109" spans="1:5" x14ac:dyDescent="0.25">
      <c r="A109" s="56" t="s">
        <v>244</v>
      </c>
      <c r="B109" s="57">
        <v>-67.947749999999999</v>
      </c>
      <c r="C109" s="57">
        <v>-82.228340000000003</v>
      </c>
      <c r="D109" s="58">
        <f>IF(OR(-67.94775="",-82.22834="",-67.94775=0),"-",-82.22834/-67.94775*100)</f>
        <v>121.01701675184242</v>
      </c>
    </row>
    <row r="110" spans="1:5" x14ac:dyDescent="0.25">
      <c r="A110" s="56" t="s">
        <v>177</v>
      </c>
      <c r="B110" s="57">
        <v>-115.01897</v>
      </c>
      <c r="C110" s="57">
        <v>-68.532439999999994</v>
      </c>
      <c r="D110" s="58">
        <f>IF(OR(-115.01897="",-68.53244="",-115.01897=0),"-",-68.53244/-115.01897*100)</f>
        <v>59.583597383979345</v>
      </c>
    </row>
    <row r="111" spans="1:5" x14ac:dyDescent="0.25">
      <c r="A111" s="56" t="s">
        <v>153</v>
      </c>
      <c r="B111" s="57">
        <v>21.334980000000002</v>
      </c>
      <c r="C111" s="57">
        <v>-47.770220000000002</v>
      </c>
      <c r="D111" s="58" t="s">
        <v>22</v>
      </c>
    </row>
    <row r="112" spans="1:5" x14ac:dyDescent="0.25">
      <c r="A112" s="56" t="s">
        <v>263</v>
      </c>
      <c r="B112" s="57">
        <v>-49.371940000000002</v>
      </c>
      <c r="C112" s="57">
        <v>-40.428690000000003</v>
      </c>
      <c r="D112" s="58">
        <f>IF(OR(-49.37194="",-40.42869="",-49.37194=0),"-",-40.42869/-49.37194*100)</f>
        <v>81.885965996069828</v>
      </c>
    </row>
    <row r="113" spans="1:4" x14ac:dyDescent="0.25">
      <c r="A113" s="56" t="s">
        <v>295</v>
      </c>
      <c r="B113" s="57">
        <v>-68.16386</v>
      </c>
      <c r="C113" s="57">
        <v>-34.112189999999998</v>
      </c>
      <c r="D113" s="58">
        <f>IF(OR(-68.16386="",-34.11219="",-68.16386=0),"-",-34.11219/-68.16386*100)</f>
        <v>50.044393025864444</v>
      </c>
    </row>
    <row r="114" spans="1:4" x14ac:dyDescent="0.25">
      <c r="A114" s="56" t="s">
        <v>264</v>
      </c>
      <c r="B114" s="57">
        <v>-17.592790000000001</v>
      </c>
      <c r="C114" s="57">
        <v>-33.153170000000003</v>
      </c>
      <c r="D114" s="58" t="s">
        <v>106</v>
      </c>
    </row>
    <row r="115" spans="1:4" x14ac:dyDescent="0.25">
      <c r="A115" s="56" t="s">
        <v>258</v>
      </c>
      <c r="B115" s="57">
        <v>-16.98227</v>
      </c>
      <c r="C115" s="57">
        <v>-31.003910000000001</v>
      </c>
      <c r="D115" s="58" t="s">
        <v>240</v>
      </c>
    </row>
    <row r="116" spans="1:4" x14ac:dyDescent="0.25">
      <c r="A116" s="56" t="s">
        <v>249</v>
      </c>
      <c r="B116" s="57">
        <v>-102.08399</v>
      </c>
      <c r="C116" s="57">
        <v>-24.27074</v>
      </c>
      <c r="D116" s="58">
        <f>IF(OR(-102.08399="",-24.27074="",-102.08399=0),"-",-24.27074/-102.08399*100)</f>
        <v>23.775265837473633</v>
      </c>
    </row>
    <row r="117" spans="1:4" x14ac:dyDescent="0.25">
      <c r="A117" s="56" t="s">
        <v>265</v>
      </c>
      <c r="B117" s="57">
        <v>-66.85624</v>
      </c>
      <c r="C117" s="57">
        <v>-24.190740000000002</v>
      </c>
      <c r="D117" s="58">
        <f>IF(OR(-66.85624="",-24.19074="",-66.85624=0),"-",-24.19074/-66.85624*100)</f>
        <v>36.183219397321778</v>
      </c>
    </row>
    <row r="118" spans="1:4" x14ac:dyDescent="0.25">
      <c r="A118" s="56" t="s">
        <v>266</v>
      </c>
      <c r="B118" s="57">
        <v>-39.745950000000001</v>
      </c>
      <c r="C118" s="57">
        <v>-20.653729999999999</v>
      </c>
      <c r="D118" s="58">
        <f>IF(OR(-39.74595="",-20.65373="",-39.74595=0),"-",-20.65373/-39.74595*100)</f>
        <v>51.964363664725589</v>
      </c>
    </row>
    <row r="119" spans="1:4" x14ac:dyDescent="0.25">
      <c r="A119" s="56" t="s">
        <v>267</v>
      </c>
      <c r="B119" s="57">
        <v>-38.54242</v>
      </c>
      <c r="C119" s="57">
        <v>-18.305260000000001</v>
      </c>
      <c r="D119" s="58">
        <f>IF(OR(-38.54242="",-18.30526="",-38.54242=0),"-",-18.30526/-38.54242*100)</f>
        <v>47.493800337394489</v>
      </c>
    </row>
    <row r="120" spans="1:4" x14ac:dyDescent="0.25">
      <c r="A120" s="56" t="s">
        <v>142</v>
      </c>
      <c r="B120" s="57">
        <v>-76.146910000000005</v>
      </c>
      <c r="C120" s="57">
        <v>-18.20711</v>
      </c>
      <c r="D120" s="58">
        <f>IF(OR(-76.14691="",-18.20711="",-76.14691=0),"-",-18.20711/-76.14691*100)</f>
        <v>23.910504050656815</v>
      </c>
    </row>
    <row r="121" spans="1:4" x14ac:dyDescent="0.25">
      <c r="A121" s="56" t="s">
        <v>175</v>
      </c>
      <c r="B121" s="57">
        <v>763.11433999999997</v>
      </c>
      <c r="C121" s="57">
        <v>21.72973</v>
      </c>
      <c r="D121" s="58">
        <f>IF(OR(763.11434="",21.72973="",763.11434=0),"-",21.72973/763.11434*100)</f>
        <v>2.8475064431366865</v>
      </c>
    </row>
    <row r="122" spans="1:4" x14ac:dyDescent="0.25">
      <c r="A122" s="56" t="s">
        <v>251</v>
      </c>
      <c r="B122" s="57">
        <v>21.9375</v>
      </c>
      <c r="C122" s="57">
        <v>22.872900000000001</v>
      </c>
      <c r="D122" s="58">
        <f>IF(OR(21.9375="",22.8729="",21.9375=0),"-",22.8729/21.9375*100)</f>
        <v>104.26393162393164</v>
      </c>
    </row>
    <row r="123" spans="1:4" x14ac:dyDescent="0.25">
      <c r="A123" s="56" t="s">
        <v>259</v>
      </c>
      <c r="B123" s="57">
        <v>42.05433</v>
      </c>
      <c r="C123" s="57">
        <v>24.012</v>
      </c>
      <c r="D123" s="58">
        <f>IF(OR(42.05433="",24.012="",42.05433=0),"-",24.012/42.05433*100)</f>
        <v>57.097568787803773</v>
      </c>
    </row>
    <row r="124" spans="1:4" x14ac:dyDescent="0.25">
      <c r="A124" s="56" t="s">
        <v>296</v>
      </c>
      <c r="B124" s="57">
        <v>26.56861</v>
      </c>
      <c r="C124" s="57">
        <v>25.66751</v>
      </c>
      <c r="D124" s="58">
        <f>IF(OR(26.56861="",25.66751="",26.56861=0),"-",25.66751/26.56861*100)</f>
        <v>96.608403676368468</v>
      </c>
    </row>
    <row r="125" spans="1:4" x14ac:dyDescent="0.25">
      <c r="A125" s="56" t="s">
        <v>297</v>
      </c>
      <c r="B125" s="57">
        <v>89.754819999999995</v>
      </c>
      <c r="C125" s="57">
        <v>27.193049999999999</v>
      </c>
      <c r="D125" s="58">
        <f>IF(OR(89.75482="",27.19305="",89.75482=0),"-",27.19305/89.75482*100)</f>
        <v>30.297035858352789</v>
      </c>
    </row>
    <row r="126" spans="1:4" x14ac:dyDescent="0.25">
      <c r="A126" s="56" t="s">
        <v>260</v>
      </c>
      <c r="B126" s="57">
        <v>30.162579999999998</v>
      </c>
      <c r="C126" s="57">
        <v>27.49258</v>
      </c>
      <c r="D126" s="58">
        <f>IF(OR(30.16258="",27.49258="",30.16258=0),"-",27.49258/30.16258*100)</f>
        <v>91.1479720899207</v>
      </c>
    </row>
    <row r="127" spans="1:4" x14ac:dyDescent="0.25">
      <c r="A127" s="56" t="s">
        <v>269</v>
      </c>
      <c r="B127" s="57">
        <v>290.47910999999999</v>
      </c>
      <c r="C127" s="57">
        <v>39.386719999999997</v>
      </c>
      <c r="D127" s="58">
        <f>IF(OR(290.47911="",39.38672="",290.47911=0),"-",39.38672/290.47911*100)</f>
        <v>13.559226341611966</v>
      </c>
    </row>
    <row r="128" spans="1:4" x14ac:dyDescent="0.25">
      <c r="A128" s="56" t="s">
        <v>250</v>
      </c>
      <c r="B128" s="57">
        <v>165.17824999999999</v>
      </c>
      <c r="C128" s="57">
        <v>40.752800000000001</v>
      </c>
      <c r="D128" s="58">
        <f>IF(OR(165.17825="",40.7528="",165.17825=0),"-",40.7528/165.17825*100)</f>
        <v>24.672013415809893</v>
      </c>
    </row>
    <row r="129" spans="1:4" x14ac:dyDescent="0.25">
      <c r="A129" s="56" t="s">
        <v>103</v>
      </c>
      <c r="B129" s="57">
        <v>-61.978020000000001</v>
      </c>
      <c r="C129" s="57">
        <v>88.491590000000002</v>
      </c>
      <c r="D129" s="58" t="s">
        <v>22</v>
      </c>
    </row>
    <row r="130" spans="1:4" x14ac:dyDescent="0.25">
      <c r="A130" s="56" t="s">
        <v>163</v>
      </c>
      <c r="B130" s="57">
        <v>61.888599999999997</v>
      </c>
      <c r="C130" s="57">
        <v>92.674549999999996</v>
      </c>
      <c r="D130" s="58">
        <f>IF(OR(61.8886="",92.67455="",61.8886=0),"-",92.67455/61.8886*100)</f>
        <v>149.74413704624115</v>
      </c>
    </row>
    <row r="131" spans="1:4" x14ac:dyDescent="0.25">
      <c r="A131" s="56" t="s">
        <v>130</v>
      </c>
      <c r="B131" s="57">
        <v>3534.0675799999999</v>
      </c>
      <c r="C131" s="57">
        <v>128.92515</v>
      </c>
      <c r="D131" s="58">
        <f>IF(OR(3534.06758="",128.92515="",3534.06758=0),"-",128.92515/3534.06758*100)</f>
        <v>3.648066911046449</v>
      </c>
    </row>
    <row r="132" spans="1:4" x14ac:dyDescent="0.25">
      <c r="A132" s="56" t="s">
        <v>150</v>
      </c>
      <c r="B132" s="57">
        <v>76.747709999999998</v>
      </c>
      <c r="C132" s="57">
        <v>148.09012999999999</v>
      </c>
      <c r="D132" s="58" t="s">
        <v>106</v>
      </c>
    </row>
    <row r="133" spans="1:4" x14ac:dyDescent="0.25">
      <c r="A133" s="56" t="s">
        <v>169</v>
      </c>
      <c r="B133" s="57">
        <v>197.6455</v>
      </c>
      <c r="C133" s="57">
        <v>223.99680000000001</v>
      </c>
      <c r="D133" s="58">
        <f>IF(OR(197.6455="",223.9968="",197.6455=0),"-",223.9968/197.6455*100)</f>
        <v>113.33260812920103</v>
      </c>
    </row>
    <row r="134" spans="1:4" x14ac:dyDescent="0.25">
      <c r="A134" s="56" t="s">
        <v>173</v>
      </c>
      <c r="B134" s="57">
        <v>181.44336000000001</v>
      </c>
      <c r="C134" s="57">
        <v>359.51620000000003</v>
      </c>
      <c r="D134" s="58" t="s">
        <v>20</v>
      </c>
    </row>
    <row r="135" spans="1:4" x14ac:dyDescent="0.25">
      <c r="A135" s="56" t="s">
        <v>135</v>
      </c>
      <c r="B135" s="57">
        <v>433.50590999999997</v>
      </c>
      <c r="C135" s="57">
        <v>365.33168999999998</v>
      </c>
      <c r="D135" s="58">
        <f>IF(OR(433.50591="",365.33169="",433.50591=0),"-",365.33169/433.50591*100)</f>
        <v>84.273750731564419</v>
      </c>
    </row>
    <row r="136" spans="1:4" x14ac:dyDescent="0.25">
      <c r="A136" s="56" t="s">
        <v>38</v>
      </c>
      <c r="B136" s="57">
        <v>174.73956000000001</v>
      </c>
      <c r="C136" s="57">
        <v>374.60338000000002</v>
      </c>
      <c r="D136" s="58" t="s">
        <v>96</v>
      </c>
    </row>
    <row r="137" spans="1:4" x14ac:dyDescent="0.25">
      <c r="A137" s="56" t="s">
        <v>97</v>
      </c>
      <c r="B137" s="57">
        <v>949.30280000000005</v>
      </c>
      <c r="C137" s="57">
        <v>462.87738999999999</v>
      </c>
      <c r="D137" s="58">
        <f>IF(OR(949.3028="",462.87739="",949.3028=0),"-",462.87739/949.3028*100)</f>
        <v>48.759720291565557</v>
      </c>
    </row>
    <row r="138" spans="1:4" x14ac:dyDescent="0.25">
      <c r="A138" s="56" t="s">
        <v>174</v>
      </c>
      <c r="B138" s="57">
        <v>967.47554000000002</v>
      </c>
      <c r="C138" s="57">
        <v>499.15267999999998</v>
      </c>
      <c r="D138" s="58">
        <f>IF(OR(967.47554="",499.15268="",967.47554=0),"-",499.15268/967.47554*100)</f>
        <v>51.593312632999478</v>
      </c>
    </row>
    <row r="139" spans="1:4" x14ac:dyDescent="0.25">
      <c r="A139" s="56" t="s">
        <v>164</v>
      </c>
      <c r="B139" s="57">
        <v>427.79730000000001</v>
      </c>
      <c r="C139" s="57">
        <v>548.22361000000001</v>
      </c>
      <c r="D139" s="58">
        <f>IF(OR(427.7973="",548.22361="",427.7973=0),"-",548.22361/427.7973*100)</f>
        <v>128.15032025681322</v>
      </c>
    </row>
    <row r="140" spans="1:4" x14ac:dyDescent="0.25">
      <c r="A140" s="56" t="s">
        <v>110</v>
      </c>
      <c r="B140" s="57">
        <v>1474.15933</v>
      </c>
      <c r="C140" s="57">
        <v>620.51111000000003</v>
      </c>
      <c r="D140" s="58">
        <f>IF(OR(1474.15933="",620.51111="",1474.15933=0),"-",620.51111/1474.15933*100)</f>
        <v>42.092540295491673</v>
      </c>
    </row>
    <row r="141" spans="1:4" x14ac:dyDescent="0.25">
      <c r="A141" s="56" t="s">
        <v>140</v>
      </c>
      <c r="B141" s="57">
        <v>113.15797000000001</v>
      </c>
      <c r="C141" s="57">
        <v>676.33705999999995</v>
      </c>
      <c r="D141" s="58" t="s">
        <v>274</v>
      </c>
    </row>
    <row r="142" spans="1:4" x14ac:dyDescent="0.25">
      <c r="A142" s="56" t="s">
        <v>134</v>
      </c>
      <c r="B142" s="57">
        <v>676.75144999999998</v>
      </c>
      <c r="C142" s="57">
        <v>1210.4412299999999</v>
      </c>
      <c r="D142" s="58" t="s">
        <v>240</v>
      </c>
    </row>
    <row r="143" spans="1:4" x14ac:dyDescent="0.25">
      <c r="A143" s="56" t="s">
        <v>78</v>
      </c>
      <c r="B143" s="57">
        <v>1647.0312899999999</v>
      </c>
      <c r="C143" s="57">
        <v>1361.97362</v>
      </c>
      <c r="D143" s="58">
        <f>IF(OR(1647.03129="",1361.97362="",1647.03129=0),"-",1361.97362/1647.03129*100)</f>
        <v>82.692637855107179</v>
      </c>
    </row>
    <row r="144" spans="1:4" x14ac:dyDescent="0.25">
      <c r="A144" s="56" t="s">
        <v>68</v>
      </c>
      <c r="B144" s="57">
        <v>-1689.26854</v>
      </c>
      <c r="C144" s="57">
        <v>1642.8100999999999</v>
      </c>
      <c r="D144" s="58" t="s">
        <v>22</v>
      </c>
    </row>
    <row r="145" spans="1:4" x14ac:dyDescent="0.25">
      <c r="A145" s="56" t="s">
        <v>129</v>
      </c>
      <c r="B145" s="57">
        <v>15895.534089999999</v>
      </c>
      <c r="C145" s="57">
        <v>3734.8108200000001</v>
      </c>
      <c r="D145" s="58">
        <f>IF(OR(15895.53409="",3734.81082="",15895.53409=0),"-",3734.81082/15895.53409*100)</f>
        <v>23.495975654882827</v>
      </c>
    </row>
    <row r="146" spans="1:4" x14ac:dyDescent="0.25">
      <c r="A146" s="56" t="s">
        <v>133</v>
      </c>
      <c r="B146" s="57">
        <v>767.00319999999999</v>
      </c>
      <c r="C146" s="57">
        <v>4505.0389699999996</v>
      </c>
      <c r="D146" s="58" t="s">
        <v>273</v>
      </c>
    </row>
    <row r="147" spans="1:4" x14ac:dyDescent="0.25">
      <c r="A147" s="56" t="s">
        <v>58</v>
      </c>
      <c r="B147" s="57">
        <v>8587.7356400000008</v>
      </c>
      <c r="C147" s="57">
        <v>6555.7668899999999</v>
      </c>
      <c r="D147" s="58">
        <f>IF(OR(8587.73564="",6555.76689="",8587.73564=0),"-",6555.76689/8587.73564*100)</f>
        <v>76.338713309530789</v>
      </c>
    </row>
    <row r="148" spans="1:4" x14ac:dyDescent="0.25">
      <c r="A148" s="56" t="s">
        <v>61</v>
      </c>
      <c r="B148" s="57">
        <v>13975.8462</v>
      </c>
      <c r="C148" s="57">
        <v>11379.43952</v>
      </c>
      <c r="D148" s="58">
        <f>IF(OR(13975.8462="",11379.43952="",13975.8462=0),"-",11379.43952/13975.8462*100)</f>
        <v>81.422186228695054</v>
      </c>
    </row>
    <row r="149" spans="1:4" x14ac:dyDescent="0.25">
      <c r="A149" s="56" t="s">
        <v>59</v>
      </c>
      <c r="B149" s="57">
        <v>17874.503799999999</v>
      </c>
      <c r="C149" s="57">
        <v>17956.47539</v>
      </c>
      <c r="D149" s="58">
        <f>IF(OR(17874.5038="",17956.47539="",17874.5038=0),"-",17956.47539/17874.5038*100)</f>
        <v>100.45859505202041</v>
      </c>
    </row>
    <row r="150" spans="1:4" x14ac:dyDescent="0.25">
      <c r="A150" s="59" t="s">
        <v>298</v>
      </c>
      <c r="B150" s="60">
        <v>50506.421240000003</v>
      </c>
      <c r="C150" s="60">
        <v>26877.774839999998</v>
      </c>
      <c r="D150" s="61">
        <f>IF(OR(50506.42124="",26877.77484="",50506.42124=0),"-",26877.77484/50506.42124*100)</f>
        <v>53.216549856661345</v>
      </c>
    </row>
    <row r="151" spans="1:4" x14ac:dyDescent="0.25">
      <c r="A151" s="66" t="s">
        <v>21</v>
      </c>
    </row>
  </sheetData>
  <sortState ref="A48:G113">
    <sortCondition ref="C48:C113"/>
  </sortState>
  <mergeCells count="1">
    <mergeCell ref="A1:D1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workbookViewId="0">
      <selection activeCell="H21" sqref="H21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11" x14ac:dyDescent="0.25">
      <c r="A1" s="91" t="s">
        <v>241</v>
      </c>
      <c r="B1" s="91"/>
      <c r="C1" s="91"/>
      <c r="D1" s="91"/>
      <c r="E1" s="91"/>
    </row>
    <row r="2" spans="1:11" x14ac:dyDescent="0.25">
      <c r="A2" s="9"/>
      <c r="B2" s="9"/>
      <c r="C2" s="9"/>
      <c r="D2" s="9"/>
      <c r="E2" s="9"/>
    </row>
    <row r="3" spans="1:11" x14ac:dyDescent="0.25">
      <c r="A3" s="92"/>
      <c r="B3" s="94">
        <v>2020</v>
      </c>
      <c r="C3" s="95"/>
      <c r="D3" s="94" t="s">
        <v>109</v>
      </c>
      <c r="E3" s="99"/>
      <c r="F3" s="1"/>
    </row>
    <row r="4" spans="1:11" ht="22.5" customHeight="1" x14ac:dyDescent="0.25">
      <c r="A4" s="93"/>
      <c r="B4" s="41" t="s">
        <v>277</v>
      </c>
      <c r="C4" s="41" t="s">
        <v>275</v>
      </c>
      <c r="D4" s="22">
        <v>2019</v>
      </c>
      <c r="E4" s="21">
        <v>2020</v>
      </c>
      <c r="F4" s="1"/>
    </row>
    <row r="5" spans="1:11" ht="15.75" customHeight="1" x14ac:dyDescent="0.25">
      <c r="A5" s="36" t="s">
        <v>154</v>
      </c>
      <c r="B5" s="75">
        <v>2485159.9447400002</v>
      </c>
      <c r="C5" s="53">
        <v>89.421118320863471</v>
      </c>
      <c r="D5" s="81">
        <v>100</v>
      </c>
      <c r="E5" s="81">
        <v>100</v>
      </c>
    </row>
    <row r="6" spans="1:11" ht="15.75" customHeight="1" x14ac:dyDescent="0.25">
      <c r="A6" s="37" t="s">
        <v>136</v>
      </c>
      <c r="B6" s="26"/>
      <c r="C6" s="76"/>
      <c r="D6" s="46"/>
      <c r="E6" s="46"/>
    </row>
    <row r="7" spans="1:11" x14ac:dyDescent="0.25">
      <c r="A7" s="38" t="s">
        <v>112</v>
      </c>
      <c r="B7" s="57">
        <v>173525.94511</v>
      </c>
      <c r="C7" s="77">
        <v>88.454485469266658</v>
      </c>
      <c r="D7" s="58">
        <f>IF(196175.405="","-",196175.405/2779164.46518*100)</f>
        <v>7.0587907789506872</v>
      </c>
      <c r="E7" s="58">
        <f>IF(173525.94511="","-",173525.94511/2485159.94474*100)</f>
        <v>6.9824859956108156</v>
      </c>
    </row>
    <row r="8" spans="1:11" x14ac:dyDescent="0.25">
      <c r="A8" s="38" t="s">
        <v>113</v>
      </c>
      <c r="B8" s="57">
        <v>69085.228780000005</v>
      </c>
      <c r="C8" s="77">
        <v>54.786923007348506</v>
      </c>
      <c r="D8" s="58">
        <f>IF(126098.02666="","-",126098.02666/2779164.46518*100)</f>
        <v>4.537263923739502</v>
      </c>
      <c r="E8" s="58">
        <f>IF(69085.22878="","-",69085.22878/2485159.94474*100)</f>
        <v>2.7799107629359354</v>
      </c>
    </row>
    <row r="9" spans="1:11" x14ac:dyDescent="0.25">
      <c r="A9" s="38" t="s">
        <v>114</v>
      </c>
      <c r="B9" s="57">
        <v>2195922.0806200001</v>
      </c>
      <c r="C9" s="77">
        <v>91.128536417294029</v>
      </c>
      <c r="D9" s="58">
        <f>IF(2409697.51842="","-",2409697.51842/2779164.46518*100)</f>
        <v>86.705826467305883</v>
      </c>
      <c r="E9" s="58">
        <f>IF(2195922.08062="","-",2195922.08062/2485159.94474*100)</f>
        <v>88.361398439074705</v>
      </c>
    </row>
    <row r="10" spans="1:11" x14ac:dyDescent="0.25">
      <c r="A10" s="38" t="s">
        <v>115</v>
      </c>
      <c r="B10" s="57">
        <v>45340.449119999997</v>
      </c>
      <c r="C10" s="77">
        <v>103.70549650388608</v>
      </c>
      <c r="D10" s="58">
        <f>IF(43720.39154="","-",43720.39154/2779164.46518*100)</f>
        <v>1.5731487678318574</v>
      </c>
      <c r="E10" s="58">
        <f>IF(45340.44912="","-",45340.44912/2485159.94474*100)</f>
        <v>1.8244479280283732</v>
      </c>
    </row>
    <row r="11" spans="1:11" x14ac:dyDescent="0.25">
      <c r="A11" s="38" t="s">
        <v>116</v>
      </c>
      <c r="B11" s="57">
        <v>1052.4532999999999</v>
      </c>
      <c r="C11" s="77">
        <v>35.566490071517599</v>
      </c>
      <c r="D11" s="58">
        <f>IF(2959.11488="","-",2959.11488/2779164.46518*100)</f>
        <v>0.10647498257388467</v>
      </c>
      <c r="E11" s="58">
        <f>IF(1052.4533="","-",1052.4533/2485159.94474*100)</f>
        <v>4.2349519684943604E-2</v>
      </c>
    </row>
    <row r="12" spans="1:11" x14ac:dyDescent="0.25">
      <c r="A12" s="38" t="s">
        <v>117</v>
      </c>
      <c r="B12" s="57">
        <v>7.0755299999999997</v>
      </c>
      <c r="C12" s="77">
        <v>90.435977402285332</v>
      </c>
      <c r="D12" s="58">
        <f>IF(7.8238="","-",7.8238/2779164.46518*100)</f>
        <v>2.8151626497905985E-4</v>
      </c>
      <c r="E12" s="58">
        <f>IF(7.07553="","-",7.07553/2485159.94474*100)</f>
        <v>2.847112522868321E-4</v>
      </c>
    </row>
    <row r="13" spans="1:11" x14ac:dyDescent="0.25">
      <c r="A13" s="38" t="s">
        <v>118</v>
      </c>
      <c r="B13" s="57">
        <v>226.71227999999999</v>
      </c>
      <c r="C13" s="77">
        <v>44.788433822835636</v>
      </c>
      <c r="D13" s="58">
        <f>IF(506.18488="","-",506.18488/2779164.46518*100)</f>
        <v>1.8213563333223451E-2</v>
      </c>
      <c r="E13" s="58">
        <f>IF(226.71228="","-",226.71228/2485159.94474*100)</f>
        <v>9.1226434129461562E-3</v>
      </c>
    </row>
    <row r="14" spans="1:11" x14ac:dyDescent="0.25">
      <c r="A14" s="34" t="s">
        <v>246</v>
      </c>
      <c r="B14" s="54">
        <v>1658388.67407</v>
      </c>
      <c r="C14" s="78">
        <v>93.135867371178676</v>
      </c>
      <c r="D14" s="55">
        <f>IF(1780612.26129="","-",1780612.26129/2779164.46518*100)</f>
        <v>64.070057155637755</v>
      </c>
      <c r="E14" s="55">
        <f>IF(1658388.67407="","-",1658388.67407/2485159.94474*100)</f>
        <v>66.731667616810171</v>
      </c>
    </row>
    <row r="15" spans="1:11" x14ac:dyDescent="0.25">
      <c r="A15" s="37" t="s">
        <v>136</v>
      </c>
      <c r="B15" s="27"/>
      <c r="C15" s="78"/>
      <c r="D15" s="32"/>
      <c r="E15" s="32"/>
    </row>
    <row r="16" spans="1:11" x14ac:dyDescent="0.25">
      <c r="A16" s="38" t="s">
        <v>112</v>
      </c>
      <c r="B16" s="57">
        <v>85011.579519999999</v>
      </c>
      <c r="C16" s="79">
        <v>84.668942159294332</v>
      </c>
      <c r="D16" s="58">
        <f>IF(100404.67892="","-",100404.67892/2779164.46518*100)</f>
        <v>3.6127649219024192</v>
      </c>
      <c r="E16" s="58">
        <f>IF(85011.57952="","-",85011.57952/2485159.94474*100)</f>
        <v>3.4207689408455351</v>
      </c>
      <c r="K16" s="24"/>
    </row>
    <row r="17" spans="1:7" x14ac:dyDescent="0.25">
      <c r="A17" s="38" t="s">
        <v>113</v>
      </c>
      <c r="B17" s="57">
        <v>13958.29873</v>
      </c>
      <c r="C17" s="79">
        <v>39.782147765565313</v>
      </c>
      <c r="D17" s="58">
        <f>IF(35086.84049="","-",35086.84049/2779164.46518*100)</f>
        <v>1.2624960102074245</v>
      </c>
      <c r="E17" s="58">
        <f>IF(13958.29873="","-",13958.29873/2485159.94474*100)</f>
        <v>0.56166601105669811</v>
      </c>
    </row>
    <row r="18" spans="1:7" x14ac:dyDescent="0.25">
      <c r="A18" s="38" t="s">
        <v>114</v>
      </c>
      <c r="B18" s="57">
        <v>1535737.20386</v>
      </c>
      <c r="C18" s="79">
        <v>93.708767496933362</v>
      </c>
      <c r="D18" s="58">
        <f>IF(1638840.46806="","-",1638840.46806/2779164.46518*100)</f>
        <v>58.96881917543719</v>
      </c>
      <c r="E18" s="58">
        <f>IF(1535737.20386="","-",1535737.20386/2485159.94474*100)</f>
        <v>61.796312430935721</v>
      </c>
    </row>
    <row r="19" spans="1:7" x14ac:dyDescent="0.25">
      <c r="A19" s="38" t="s">
        <v>115</v>
      </c>
      <c r="B19" s="57">
        <v>22923.494340000001</v>
      </c>
      <c r="C19" s="79" t="s">
        <v>301</v>
      </c>
      <c r="D19" s="58">
        <f>IF(5344.6735="","-",5344.6735/2779164.46518*100)</f>
        <v>0.19231224229307486</v>
      </c>
      <c r="E19" s="58">
        <f>IF(22923.49434="","-",22923.49434/2485159.94474*100)</f>
        <v>0.92241525091851895</v>
      </c>
    </row>
    <row r="20" spans="1:7" x14ac:dyDescent="0.25">
      <c r="A20" s="38" t="s">
        <v>116</v>
      </c>
      <c r="B20" s="57">
        <v>546.81966999999997</v>
      </c>
      <c r="C20" s="79">
        <v>98.126955167123413</v>
      </c>
      <c r="D20" s="58">
        <f>IF(557.25735="","-",557.25735/2779164.46518*100)</f>
        <v>2.0051254863893336E-2</v>
      </c>
      <c r="E20" s="58">
        <f>IF(546.81967="","-",546.81967/2485159.94474*100)</f>
        <v>2.2003399465590885E-2</v>
      </c>
    </row>
    <row r="21" spans="1:7" x14ac:dyDescent="0.25">
      <c r="A21" s="33" t="s">
        <v>118</v>
      </c>
      <c r="B21" s="57">
        <v>211.27795</v>
      </c>
      <c r="C21" s="79">
        <v>55.842969673785667</v>
      </c>
      <c r="D21" s="58">
        <f>IF(378.34297="","-",378.34297/2779164.46518*100)</f>
        <v>1.3613550933751438E-2</v>
      </c>
      <c r="E21" s="58">
        <f>IF(211.27795="","-",211.27795/2485159.94474*100)</f>
        <v>8.5015835880979523E-3</v>
      </c>
    </row>
    <row r="22" spans="1:7" x14ac:dyDescent="0.25">
      <c r="A22" s="34" t="s">
        <v>247</v>
      </c>
      <c r="B22" s="54">
        <v>376976.71730000002</v>
      </c>
      <c r="C22" s="78">
        <v>86.671375123108703</v>
      </c>
      <c r="D22" s="55">
        <f>IF(434949.50526="","-",434949.50526/2779164.46518*100)</f>
        <v>15.650369408124586</v>
      </c>
      <c r="E22" s="55">
        <f>IF(376976.7173="","-",376976.7173/2485159.94474*100)</f>
        <v>15.169112881361835</v>
      </c>
    </row>
    <row r="23" spans="1:7" x14ac:dyDescent="0.25">
      <c r="A23" s="37" t="s">
        <v>136</v>
      </c>
      <c r="B23" s="27"/>
      <c r="C23" s="78"/>
      <c r="D23" s="32"/>
      <c r="E23" s="32"/>
    </row>
    <row r="24" spans="1:7" x14ac:dyDescent="0.25">
      <c r="A24" s="38" t="s">
        <v>112</v>
      </c>
      <c r="B24" s="57">
        <v>6268.2026800000003</v>
      </c>
      <c r="C24" s="79">
        <v>84.47622269738396</v>
      </c>
      <c r="D24" s="58">
        <f>IF(7420.07926="","-",7420.07926/2779164.46518*100)</f>
        <v>0.26698957017354563</v>
      </c>
      <c r="E24" s="58">
        <f>IF(6268.20268="","-",6268.20268/2485159.94474*100)</f>
        <v>0.25222532228829181</v>
      </c>
    </row>
    <row r="25" spans="1:7" x14ac:dyDescent="0.25">
      <c r="A25" s="38" t="s">
        <v>113</v>
      </c>
      <c r="B25" s="57">
        <v>7461.3495300000004</v>
      </c>
      <c r="C25" s="79">
        <v>48.263892060709928</v>
      </c>
      <c r="D25" s="58">
        <f>IF(15459.48578="","-",15459.48578/2779164.46518*100)</f>
        <v>0.55626379704011963</v>
      </c>
      <c r="E25" s="58">
        <f>IF(7461.34953="","-",7461.34953/2485159.94474*100)</f>
        <v>0.30023618985942629</v>
      </c>
      <c r="F25" s="1"/>
      <c r="G25" s="1"/>
    </row>
    <row r="26" spans="1:7" x14ac:dyDescent="0.25">
      <c r="A26" s="38" t="s">
        <v>114</v>
      </c>
      <c r="B26" s="57">
        <v>354132.50416000001</v>
      </c>
      <c r="C26" s="79">
        <v>88.566725798041134</v>
      </c>
      <c r="D26" s="58">
        <f>IF(399848.2511="","-",399848.2511/2779164.46518*100)</f>
        <v>14.387354764702733</v>
      </c>
      <c r="E26" s="58">
        <f>IF(354132.50416="","-",354132.50416/2485159.94474*100)</f>
        <v>14.249887815452041</v>
      </c>
      <c r="F26" s="12"/>
      <c r="G26" s="12"/>
    </row>
    <row r="27" spans="1:7" x14ac:dyDescent="0.25">
      <c r="A27" s="38" t="s">
        <v>115</v>
      </c>
      <c r="B27" s="57">
        <v>8979.15661</v>
      </c>
      <c r="C27" s="79">
        <v>83.978040148902366</v>
      </c>
      <c r="D27" s="58">
        <f>IF(10692.2674="","-",10692.2674/2779164.46518*100)</f>
        <v>0.38472956652845974</v>
      </c>
      <c r="E27" s="58">
        <f>IF(8979.15661="","-",8979.15661/2485159.94474*100)</f>
        <v>0.36131101456889964</v>
      </c>
    </row>
    <row r="28" spans="1:7" x14ac:dyDescent="0.25">
      <c r="A28" s="38" t="s">
        <v>116</v>
      </c>
      <c r="B28" s="57">
        <v>112.99446</v>
      </c>
      <c r="C28" s="79">
        <v>7.5007583439340397</v>
      </c>
      <c r="D28" s="58">
        <f>IF(1506.44048="","-",1506.44048/2779164.46518*100)</f>
        <v>5.4204797840290156E-2</v>
      </c>
      <c r="E28" s="58">
        <f>IF(112.99446="","-",112.99446/2485159.94474*100)</f>
        <v>4.5467681160385673E-3</v>
      </c>
    </row>
    <row r="29" spans="1:7" x14ac:dyDescent="0.25">
      <c r="A29" s="38" t="s">
        <v>117</v>
      </c>
      <c r="B29" s="57">
        <v>7.0755299999999997</v>
      </c>
      <c r="C29" s="79">
        <v>90.435977402285332</v>
      </c>
      <c r="D29" s="58">
        <f>IF(7.8238="","-",7.8238/2779164.46518*100)</f>
        <v>2.8151626497905985E-4</v>
      </c>
      <c r="E29" s="58">
        <f>IF(7.07553="","-",7.07553/2485159.94474*100)</f>
        <v>2.847112522868321E-4</v>
      </c>
    </row>
    <row r="30" spans="1:7" x14ac:dyDescent="0.25">
      <c r="A30" s="38" t="s">
        <v>118</v>
      </c>
      <c r="B30" s="57">
        <v>15.434329999999999</v>
      </c>
      <c r="C30" s="79">
        <v>101.82675966390103</v>
      </c>
      <c r="D30" s="58">
        <f>IF(15.15744="","-",15.15744/2779164.46518*100)</f>
        <v>5.4539557445796173E-4</v>
      </c>
      <c r="E30" s="58">
        <f>IF(15.43433="","-",15.43433/2485159.94474*100)</f>
        <v>6.2105982484820523E-4</v>
      </c>
    </row>
    <row r="31" spans="1:7" x14ac:dyDescent="0.25">
      <c r="A31" s="34" t="s">
        <v>256</v>
      </c>
      <c r="B31" s="54">
        <v>449794.55336999998</v>
      </c>
      <c r="C31" s="78">
        <v>79.807026201853944</v>
      </c>
      <c r="D31" s="82">
        <f>IF(563602.69863="","-",563602.69863/2779164.46518*100)</f>
        <v>20.279573436237673</v>
      </c>
      <c r="E31" s="55">
        <f>IF(449794.55337="","-",449794.55337/2485159.94474*100)</f>
        <v>18.099219501827996</v>
      </c>
    </row>
    <row r="32" spans="1:7" x14ac:dyDescent="0.25">
      <c r="A32" s="37" t="s">
        <v>136</v>
      </c>
      <c r="B32" s="27"/>
      <c r="C32" s="78"/>
      <c r="D32" s="48"/>
      <c r="E32" s="32"/>
    </row>
    <row r="33" spans="1:5" x14ac:dyDescent="0.25">
      <c r="A33" s="38" t="s">
        <v>112</v>
      </c>
      <c r="B33" s="57">
        <v>82246.162909999999</v>
      </c>
      <c r="C33" s="79">
        <v>93.090617749028041</v>
      </c>
      <c r="D33" s="65">
        <f>IF(88350.64682="","-",88350.64682/2779164.46518*100)</f>
        <v>3.1790362868747222</v>
      </c>
      <c r="E33" s="58">
        <f>IF(82246.16291="","-",82246.16291/2485159.94474*100)</f>
        <v>3.3094917324769888</v>
      </c>
    </row>
    <row r="34" spans="1:5" x14ac:dyDescent="0.25">
      <c r="A34" s="38" t="s">
        <v>113</v>
      </c>
      <c r="B34" s="57">
        <v>47665.580520000003</v>
      </c>
      <c r="C34" s="79">
        <v>63.090016867851993</v>
      </c>
      <c r="D34" s="65">
        <f>IF(75551.70039="","-",75551.70039/2779164.46518*100)</f>
        <v>2.7185041164919577</v>
      </c>
      <c r="E34" s="58">
        <f>IF(47665.58052="","-",47665.58052/2485159.94474*100)</f>
        <v>1.9180085620198108</v>
      </c>
    </row>
    <row r="35" spans="1:5" x14ac:dyDescent="0.25">
      <c r="A35" s="38" t="s">
        <v>114</v>
      </c>
      <c r="B35" s="57">
        <v>306052.3726</v>
      </c>
      <c r="C35" s="79">
        <v>82.491944452649207</v>
      </c>
      <c r="D35" s="65">
        <f>IF(371008.79926="","-",371008.79926/2779164.46518*100)</f>
        <v>13.349652527165953</v>
      </c>
      <c r="E35" s="58">
        <f>IF(306052.3726="","-",306052.3726/2485159.94474*100)</f>
        <v>12.31519819268693</v>
      </c>
    </row>
    <row r="36" spans="1:5" x14ac:dyDescent="0.25">
      <c r="A36" s="38" t="s">
        <v>115</v>
      </c>
      <c r="B36" s="57">
        <v>13437.79817</v>
      </c>
      <c r="C36" s="79">
        <v>48.540907507330886</v>
      </c>
      <c r="D36" s="65">
        <f>IF(27683.45064="","-",27683.45064/2779164.46518*100)</f>
        <v>0.99610695901032276</v>
      </c>
      <c r="E36" s="58">
        <f>IF(13437.79817="","-",13437.79817/2485159.94474*100)</f>
        <v>0.54072166254095477</v>
      </c>
    </row>
    <row r="37" spans="1:5" x14ac:dyDescent="0.25">
      <c r="A37" s="33" t="s">
        <v>116</v>
      </c>
      <c r="B37" s="57">
        <v>392.63916999999998</v>
      </c>
      <c r="C37" s="79">
        <v>43.849865266693321</v>
      </c>
      <c r="D37" s="65">
        <f>IF(895.41705="","-",895.41705/2779164.46518*100)</f>
        <v>3.2218929869701179E-2</v>
      </c>
      <c r="E37" s="58">
        <f>IF(392.63917="","-",392.63917/2485159.94474*100)</f>
        <v>1.5799352103314152E-2</v>
      </c>
    </row>
    <row r="38" spans="1:5" x14ac:dyDescent="0.25">
      <c r="A38" s="39" t="s">
        <v>118</v>
      </c>
      <c r="B38" s="60" t="s">
        <v>148</v>
      </c>
      <c r="C38" s="80" t="s">
        <v>22</v>
      </c>
      <c r="D38" s="61">
        <f>IF(112.68447="","-",112.68447/2779164.46518*100)</f>
        <v>4.0546168250140497E-3</v>
      </c>
      <c r="E38" s="61" t="s">
        <v>148</v>
      </c>
    </row>
    <row r="39" spans="1:5" x14ac:dyDescent="0.25">
      <c r="A39" s="25" t="s">
        <v>21</v>
      </c>
    </row>
  </sheetData>
  <mergeCells count="4">
    <mergeCell ref="A1:E1"/>
    <mergeCell ref="A3:A4"/>
    <mergeCell ref="B3:C3"/>
    <mergeCell ref="D3:E3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D29" sqref="D29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91" t="s">
        <v>242</v>
      </c>
      <c r="B1" s="91"/>
      <c r="C1" s="91"/>
      <c r="D1" s="91"/>
      <c r="E1" s="91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92"/>
      <c r="B3" s="94">
        <v>2020</v>
      </c>
      <c r="C3" s="95"/>
      <c r="D3" s="94" t="s">
        <v>109</v>
      </c>
      <c r="E3" s="99"/>
      <c r="F3" s="1"/>
    </row>
    <row r="4" spans="1:6" ht="20.25" customHeight="1" x14ac:dyDescent="0.25">
      <c r="A4" s="93"/>
      <c r="B4" s="41" t="s">
        <v>277</v>
      </c>
      <c r="C4" s="41" t="s">
        <v>275</v>
      </c>
      <c r="D4" s="42">
        <v>2019</v>
      </c>
      <c r="E4" s="40">
        <v>2020</v>
      </c>
      <c r="F4" s="1"/>
    </row>
    <row r="5" spans="1:6" ht="15.75" customHeight="1" x14ac:dyDescent="0.25">
      <c r="A5" s="36" t="s">
        <v>137</v>
      </c>
      <c r="B5" s="75">
        <v>5415671.4530400001</v>
      </c>
      <c r="C5" s="83">
        <v>92.694667851268719</v>
      </c>
      <c r="D5" s="81">
        <v>100</v>
      </c>
      <c r="E5" s="81">
        <v>100</v>
      </c>
    </row>
    <row r="6" spans="1:6" ht="15.75" customHeight="1" x14ac:dyDescent="0.25">
      <c r="A6" s="37" t="s">
        <v>136</v>
      </c>
      <c r="B6" s="26"/>
      <c r="C6" s="50"/>
      <c r="D6" s="46"/>
      <c r="E6" s="46"/>
    </row>
    <row r="7" spans="1:6" x14ac:dyDescent="0.25">
      <c r="A7" s="38" t="s">
        <v>112</v>
      </c>
      <c r="B7" s="57">
        <v>80272.786200000002</v>
      </c>
      <c r="C7" s="77">
        <v>64.672711952372168</v>
      </c>
      <c r="D7" s="58">
        <f>IF(124121.57118="","-",124121.57118/5842484.3398*100)</f>
        <v>2.1244656204632451</v>
      </c>
      <c r="E7" s="58">
        <f>IF(80272.7862="","-",80272.7862/5415671.45304*100)</f>
        <v>1.4822314628214783</v>
      </c>
    </row>
    <row r="8" spans="1:6" x14ac:dyDescent="0.25">
      <c r="A8" s="38" t="s">
        <v>113</v>
      </c>
      <c r="B8" s="57">
        <v>247054.91222999999</v>
      </c>
      <c r="C8" s="77">
        <v>91.507984830489775</v>
      </c>
      <c r="D8" s="58">
        <f>IF(269981.80835="","-",269981.80835/5842484.3398*100)</f>
        <v>4.6210103895501762</v>
      </c>
      <c r="E8" s="58">
        <f>IF(247054.91223="","-",247054.91223/5415671.45304*100)</f>
        <v>4.5618519212667472</v>
      </c>
    </row>
    <row r="9" spans="1:6" x14ac:dyDescent="0.25">
      <c r="A9" s="38" t="s">
        <v>114</v>
      </c>
      <c r="B9" s="57">
        <v>4743094.9109300002</v>
      </c>
      <c r="C9" s="77">
        <v>95.943822621492032</v>
      </c>
      <c r="D9" s="58">
        <f>IF(4943616.77629="","-",4943616.77629/5842484.3398*100)</f>
        <v>84.61497693050265</v>
      </c>
      <c r="E9" s="58">
        <f>IF(4743094.91093="","-",4743094.91093/5415671.45304*100)</f>
        <v>87.580920520345444</v>
      </c>
    </row>
    <row r="10" spans="1:6" x14ac:dyDescent="0.25">
      <c r="A10" s="38" t="s">
        <v>115</v>
      </c>
      <c r="B10" s="57">
        <v>129596.47188</v>
      </c>
      <c r="C10" s="77">
        <v>79.321294698696548</v>
      </c>
      <c r="D10" s="58">
        <f>IF(163381.69009="","-",163381.69009/5842484.3398*100)</f>
        <v>2.7964420713465339</v>
      </c>
      <c r="E10" s="58">
        <f>IF(129596.47188="","-",129596.47188/5415671.45304*100)</f>
        <v>2.3929899183092638</v>
      </c>
    </row>
    <row r="11" spans="1:6" x14ac:dyDescent="0.25">
      <c r="A11" s="38" t="s">
        <v>116</v>
      </c>
      <c r="B11" s="57">
        <v>13027.00518</v>
      </c>
      <c r="C11" s="77">
        <v>115.13072687157626</v>
      </c>
      <c r="D11" s="58">
        <f>IF(11314.96824="","-",11314.96824/5842484.3398*100)</f>
        <v>0.19366707006676093</v>
      </c>
      <c r="E11" s="58">
        <f>IF(13027.00518="","-",13027.00518/5415671.45304*100)</f>
        <v>0.24054275250924795</v>
      </c>
    </row>
    <row r="12" spans="1:6" x14ac:dyDescent="0.25">
      <c r="A12" s="38" t="s">
        <v>117</v>
      </c>
      <c r="B12" s="57">
        <v>171589.6936</v>
      </c>
      <c r="C12" s="77">
        <v>59.785333060467408</v>
      </c>
      <c r="D12" s="58">
        <f>IF(287009.68083="","-",287009.68083/5842484.3398*100)</f>
        <v>4.912459565785074</v>
      </c>
      <c r="E12" s="58">
        <f>IF(171589.6936="","-",171589.6936/5415671.45304*100)</f>
        <v>3.1683918621703109</v>
      </c>
    </row>
    <row r="13" spans="1:6" x14ac:dyDescent="0.25">
      <c r="A13" s="38" t="s">
        <v>118</v>
      </c>
      <c r="B13" s="57">
        <v>31035.673019999998</v>
      </c>
      <c r="C13" s="77">
        <v>72.079021023328764</v>
      </c>
      <c r="D13" s="58">
        <f>IF(43057.8448199999="","-",43057.8448199999/5842484.3398*100)</f>
        <v>0.73697835228555963</v>
      </c>
      <c r="E13" s="58">
        <f>IF(31035.67302="","-",31035.67302/5415671.45304*100)</f>
        <v>0.57307156257750136</v>
      </c>
    </row>
    <row r="14" spans="1:6" x14ac:dyDescent="0.25">
      <c r="A14" s="34" t="s">
        <v>246</v>
      </c>
      <c r="B14" s="54">
        <v>2470383.6673499998</v>
      </c>
      <c r="C14" s="78">
        <v>87.25426704062167</v>
      </c>
      <c r="D14" s="55">
        <f>IF(2831246.82739="","-",2831246.82739/5842484.3398*100)</f>
        <v>48.459639131645829</v>
      </c>
      <c r="E14" s="55">
        <f>IF(2470383.66735="","-",2470383.66735/5415671.45304*100)</f>
        <v>45.615464098422912</v>
      </c>
    </row>
    <row r="15" spans="1:6" x14ac:dyDescent="0.25">
      <c r="A15" s="37" t="s">
        <v>136</v>
      </c>
      <c r="B15" s="26"/>
      <c r="C15" s="78"/>
      <c r="D15" s="46"/>
      <c r="E15" s="46"/>
    </row>
    <row r="16" spans="1:6" x14ac:dyDescent="0.25">
      <c r="A16" s="38" t="s">
        <v>112</v>
      </c>
      <c r="B16" s="57">
        <v>28145.34937</v>
      </c>
      <c r="C16" s="79">
        <v>34.270025646195052</v>
      </c>
      <c r="D16" s="58">
        <f>IF(82128.18298="","-",82128.18298/5842484.3398*100)</f>
        <v>1.4057065146162018</v>
      </c>
      <c r="E16" s="58">
        <f>IF(28145.34937="","-",28145.34937/5415671.45304*100)</f>
        <v>0.51970193565196909</v>
      </c>
    </row>
    <row r="17" spans="1:7" x14ac:dyDescent="0.25">
      <c r="A17" s="38" t="s">
        <v>113</v>
      </c>
      <c r="B17" s="57">
        <v>32037.751660000002</v>
      </c>
      <c r="C17" s="79">
        <v>66.598271082676177</v>
      </c>
      <c r="D17" s="58">
        <f>IF(48105.98104="","-",48105.98104/5842484.3398*100)</f>
        <v>0.82338228469512276</v>
      </c>
      <c r="E17" s="58">
        <f>IF(32037.75166="","-",32037.75166/5415671.45304*100)</f>
        <v>0.59157487557736033</v>
      </c>
    </row>
    <row r="18" spans="1:7" x14ac:dyDescent="0.25">
      <c r="A18" s="38" t="s">
        <v>114</v>
      </c>
      <c r="B18" s="57">
        <v>2349778.62194</v>
      </c>
      <c r="C18" s="79">
        <v>89.77099221250775</v>
      </c>
      <c r="D18" s="58">
        <f>IF(2617525.51022="","-",2617525.51022/5842484.3398*100)</f>
        <v>44.801583675440419</v>
      </c>
      <c r="E18" s="58">
        <f>IF(2349778.62194="","-",2349778.62194/5415671.45304*100)</f>
        <v>43.388500249973426</v>
      </c>
    </row>
    <row r="19" spans="1:7" x14ac:dyDescent="0.25">
      <c r="A19" s="38" t="s">
        <v>115</v>
      </c>
      <c r="B19" s="57">
        <v>29754.293030000001</v>
      </c>
      <c r="C19" s="79">
        <v>67.491271830080905</v>
      </c>
      <c r="D19" s="58">
        <f>IF(44086.13473="","-",44086.13473/5842484.3398*100)</f>
        <v>0.7545785690802409</v>
      </c>
      <c r="E19" s="58">
        <f>IF(29754.29303="","-",29754.29303/5415671.45304*100)</f>
        <v>0.54941096940616485</v>
      </c>
    </row>
    <row r="20" spans="1:7" x14ac:dyDescent="0.25">
      <c r="A20" s="38" t="s">
        <v>116</v>
      </c>
      <c r="B20" s="57">
        <v>4721.8138499999995</v>
      </c>
      <c r="C20" s="79">
        <v>98.043108850031331</v>
      </c>
      <c r="D20" s="58">
        <f>IF(4816.05888="","-",4816.05888/5842484.3398*100)</f>
        <v>8.243169514708297E-2</v>
      </c>
      <c r="E20" s="58">
        <f>IF(4721.81385="","-",4721.81385/5415671.45304*100)</f>
        <v>8.7187967197483618E-2</v>
      </c>
    </row>
    <row r="21" spans="1:7" x14ac:dyDescent="0.25">
      <c r="A21" s="38" t="s">
        <v>117</v>
      </c>
      <c r="B21" s="57">
        <v>78.447419999999994</v>
      </c>
      <c r="C21" s="79" t="s">
        <v>22</v>
      </c>
      <c r="D21" s="58" t="s">
        <v>245</v>
      </c>
      <c r="E21" s="58">
        <f>IF(78.44742="","-",78.44742/5415671.45304*100)</f>
        <v>1.4485262017873111E-3</v>
      </c>
    </row>
    <row r="22" spans="1:7" x14ac:dyDescent="0.25">
      <c r="A22" s="38" t="s">
        <v>118</v>
      </c>
      <c r="B22" s="57">
        <v>25867.390080000001</v>
      </c>
      <c r="C22" s="79">
        <v>74.793755505431477</v>
      </c>
      <c r="D22" s="58">
        <f>IF(34584.95954="","-",34584.95954/5842484.3398*100)</f>
        <v>0.59195639266675237</v>
      </c>
      <c r="E22" s="58">
        <f>IF(25867.39008="","-",25867.39008/5415671.45304*100)</f>
        <v>0.47763957441472482</v>
      </c>
    </row>
    <row r="23" spans="1:7" x14ac:dyDescent="0.25">
      <c r="A23" s="34" t="s">
        <v>247</v>
      </c>
      <c r="B23" s="54">
        <v>1317609.3637600001</v>
      </c>
      <c r="C23" s="82">
        <v>92.97110614633813</v>
      </c>
      <c r="D23" s="55">
        <f>IF(1417224.57479="","-",1417224.57479/5842484.3398*100)</f>
        <v>24.257225049549973</v>
      </c>
      <c r="E23" s="55">
        <f>IF(1317609.36376="","-",1317609.36376/5415671.45304*100)</f>
        <v>24.329566060001319</v>
      </c>
    </row>
    <row r="24" spans="1:7" x14ac:dyDescent="0.25">
      <c r="A24" s="38" t="s">
        <v>136</v>
      </c>
      <c r="B24" s="84"/>
      <c r="C24" s="85"/>
      <c r="D24" s="46"/>
      <c r="E24" s="46"/>
    </row>
    <row r="25" spans="1:7" x14ac:dyDescent="0.25">
      <c r="A25" s="38" t="s">
        <v>112</v>
      </c>
      <c r="B25" s="57">
        <v>39651.008220000003</v>
      </c>
      <c r="C25" s="77" t="s">
        <v>105</v>
      </c>
      <c r="D25" s="58">
        <f>IF(24410.63566="","-",24410.63566/5842484.3398*100)</f>
        <v>0.41781259889240241</v>
      </c>
      <c r="E25" s="58">
        <f>IF(39651.00822="","-",39651.00822/5415671.45304*100)</f>
        <v>0.73215313306612329</v>
      </c>
      <c r="F25" s="1"/>
      <c r="G25" s="1"/>
    </row>
    <row r="26" spans="1:7" x14ac:dyDescent="0.25">
      <c r="A26" s="38" t="s">
        <v>113</v>
      </c>
      <c r="B26" s="57">
        <v>214801.70800000001</v>
      </c>
      <c r="C26" s="77">
        <v>96.960102181557176</v>
      </c>
      <c r="D26" s="58">
        <f>IF(221536.18155="","-",221536.18155/5842484.3398*100)</f>
        <v>3.7918147258154846</v>
      </c>
      <c r="E26" s="58">
        <f>IF(214801.708="","-",214801.708/5415671.45304*100)</f>
        <v>3.9662987288385918</v>
      </c>
      <c r="F26" s="1"/>
      <c r="G26" s="1"/>
    </row>
    <row r="27" spans="1:7" x14ac:dyDescent="0.25">
      <c r="A27" s="38" t="s">
        <v>114</v>
      </c>
      <c r="B27" s="57">
        <v>873712.91705000005</v>
      </c>
      <c r="C27" s="77">
        <v>101.49260678513095</v>
      </c>
      <c r="D27" s="58">
        <f>IF(860863.60842="","-",860863.60842/5842484.3398*100)</f>
        <v>14.73454712673597</v>
      </c>
      <c r="E27" s="58">
        <f>IF(873712.91705="","-",873712.91705/5415671.45304*100)</f>
        <v>16.133048775688845</v>
      </c>
      <c r="F27" s="12"/>
      <c r="G27" s="12"/>
    </row>
    <row r="28" spans="1:7" x14ac:dyDescent="0.25">
      <c r="A28" s="38" t="s">
        <v>115</v>
      </c>
      <c r="B28" s="57">
        <v>15899.585150000001</v>
      </c>
      <c r="C28" s="77">
        <v>83.277874670475782</v>
      </c>
      <c r="D28" s="58">
        <f>IF(19092.20812="","-",19092.20812/5842484.3398*100)</f>
        <v>0.32678235848987425</v>
      </c>
      <c r="E28" s="58">
        <f>IF(15899.58515="","-",15899.58515/5415671.45304*100)</f>
        <v>0.29358474360690817</v>
      </c>
    </row>
    <row r="29" spans="1:7" x14ac:dyDescent="0.25">
      <c r="A29" s="38" t="s">
        <v>116</v>
      </c>
      <c r="B29" s="57">
        <v>384.66367000000002</v>
      </c>
      <c r="C29" s="77">
        <v>53.612392096438612</v>
      </c>
      <c r="D29" s="58">
        <f>IF(717.49022="","-",717.49022/5842484.3398*100)</f>
        <v>1.2280567277045729E-2</v>
      </c>
      <c r="E29" s="58">
        <f>IF(384.66367="","-",384.66367/5415671.45304*100)</f>
        <v>7.1027881461323741E-3</v>
      </c>
    </row>
    <row r="30" spans="1:7" x14ac:dyDescent="0.25">
      <c r="A30" s="38" t="s">
        <v>117</v>
      </c>
      <c r="B30" s="57">
        <v>171511.24617999999</v>
      </c>
      <c r="C30" s="77">
        <v>59.758000386610156</v>
      </c>
      <c r="D30" s="58">
        <f>IF(287009.68083="","-",287009.68083/5842484.3398*100)</f>
        <v>4.912459565785074</v>
      </c>
      <c r="E30" s="58">
        <f>IF(171511.24618="","-",171511.24618/5415671.45304*100)</f>
        <v>3.1669433359685235</v>
      </c>
    </row>
    <row r="31" spans="1:7" x14ac:dyDescent="0.25">
      <c r="A31" s="38" t="s">
        <v>118</v>
      </c>
      <c r="B31" s="57">
        <v>1648.23549</v>
      </c>
      <c r="C31" s="77">
        <v>45.850930506961312</v>
      </c>
      <c r="D31" s="58">
        <f>IF(3594.76999="","-",3594.76999/5842484.3398*100)</f>
        <v>6.1528106554121394E-2</v>
      </c>
      <c r="E31" s="58">
        <f>IF(1648.23549="","-",1648.23549/5415671.45304*100)</f>
        <v>3.043455468619297E-2</v>
      </c>
    </row>
    <row r="32" spans="1:7" x14ac:dyDescent="0.25">
      <c r="A32" s="34" t="s">
        <v>248</v>
      </c>
      <c r="B32" s="54">
        <v>1627678.42193</v>
      </c>
      <c r="C32" s="78">
        <v>102.11199567553481</v>
      </c>
      <c r="D32" s="82">
        <f>IF(1594012.93762="","-",1594012.93762/5842484.3398*100)</f>
        <v>27.283135818804201</v>
      </c>
      <c r="E32" s="55">
        <f>IF(1627678.42193="","-",1627678.42193/5415671.45304*100)</f>
        <v>30.054969841575762</v>
      </c>
    </row>
    <row r="33" spans="1:5" x14ac:dyDescent="0.25">
      <c r="A33" s="38" t="s">
        <v>136</v>
      </c>
      <c r="B33" s="26"/>
      <c r="C33" s="78"/>
      <c r="D33" s="47"/>
      <c r="E33" s="47"/>
    </row>
    <row r="34" spans="1:5" x14ac:dyDescent="0.25">
      <c r="A34" s="38" t="s">
        <v>112</v>
      </c>
      <c r="B34" s="64">
        <v>12476.428610000001</v>
      </c>
      <c r="C34" s="79">
        <v>70.958335912518052</v>
      </c>
      <c r="D34" s="65">
        <f>IF(17582.75254="","-",17582.75254/5842484.3398*100)</f>
        <v>0.3009465069546407</v>
      </c>
      <c r="E34" s="65">
        <f>IF(12476.42861="","-",12476.42861/5415671.45304*100)</f>
        <v>0.23037639410338598</v>
      </c>
    </row>
    <row r="35" spans="1:5" x14ac:dyDescent="0.25">
      <c r="A35" s="38" t="s">
        <v>113</v>
      </c>
      <c r="B35" s="64">
        <v>215.45257000000001</v>
      </c>
      <c r="C35" s="79">
        <v>63.434494221273361</v>
      </c>
      <c r="D35" s="65">
        <f>IF(339.64576="","-",339.64576/5842484.3398*100)</f>
        <v>5.8133790395684098E-3</v>
      </c>
      <c r="E35" s="65">
        <f>IF(215.45257="","-",215.45257/5415671.45304*100)</f>
        <v>3.9783168507952823E-3</v>
      </c>
    </row>
    <row r="36" spans="1:5" x14ac:dyDescent="0.25">
      <c r="A36" s="38" t="s">
        <v>114</v>
      </c>
      <c r="B36" s="64">
        <v>1519603.37194</v>
      </c>
      <c r="C36" s="79">
        <v>103.71107615981057</v>
      </c>
      <c r="D36" s="65">
        <f>IF(1465227.65765="","-",1465227.65765/5842484.3398*100)</f>
        <v>25.078846128326255</v>
      </c>
      <c r="E36" s="65">
        <f>IF(1519603.37194="","-",1519603.37194/5415671.45304*100)</f>
        <v>28.059371494683177</v>
      </c>
    </row>
    <row r="37" spans="1:5" x14ac:dyDescent="0.25">
      <c r="A37" s="38" t="s">
        <v>115</v>
      </c>
      <c r="B37" s="86">
        <v>83942.593699999998</v>
      </c>
      <c r="C37" s="79">
        <v>83.772245151598185</v>
      </c>
      <c r="D37" s="65">
        <f>IF(100203.34724="","-",100203.34724/5842484.3398*100)</f>
        <v>1.7150811437764188</v>
      </c>
      <c r="E37" s="65">
        <f>IF(83942.5937="","-",83942.5937/5415671.45304*100)</f>
        <v>1.5499942052961906</v>
      </c>
    </row>
    <row r="38" spans="1:5" x14ac:dyDescent="0.25">
      <c r="A38" s="38" t="s">
        <v>116</v>
      </c>
      <c r="B38" s="64">
        <v>7920.5276599999997</v>
      </c>
      <c r="C38" s="87">
        <v>136.99971353400264</v>
      </c>
      <c r="D38" s="65">
        <f>IF(5781.41914="","-",5781.41914/5842484.3398*100)</f>
        <v>9.8954807642632189E-2</v>
      </c>
      <c r="E38" s="65">
        <f>IF(7920.52766="","-",7920.52766/5415671.45304*100)</f>
        <v>0.14625199716563195</v>
      </c>
    </row>
    <row r="39" spans="1:5" x14ac:dyDescent="0.25">
      <c r="A39" s="39" t="s">
        <v>118</v>
      </c>
      <c r="B39" s="60">
        <v>3520.04745</v>
      </c>
      <c r="C39" s="88">
        <v>72.159988863239846</v>
      </c>
      <c r="D39" s="61">
        <f>IF(4878.11529="","-",4878.11529/5842484.3398*100)</f>
        <v>8.3493853064687679E-2</v>
      </c>
      <c r="E39" s="61">
        <f>IF(3520.04745="","-",3520.04745/5415671.45304*100)</f>
        <v>6.4997433476583558E-2</v>
      </c>
    </row>
    <row r="40" spans="1:5" x14ac:dyDescent="0.25">
      <c r="A40" s="25" t="s">
        <v>21</v>
      </c>
    </row>
  </sheetData>
  <mergeCells count="4">
    <mergeCell ref="A1:E1"/>
    <mergeCell ref="A3:A4"/>
    <mergeCell ref="B3:C3"/>
    <mergeCell ref="D3:E3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1"/>
  <sheetViews>
    <sheetView zoomScaleNormal="100" workbookViewId="0">
      <selection activeCell="K25" sqref="K25"/>
    </sheetView>
  </sheetViews>
  <sheetFormatPr defaultRowHeight="15.75" x14ac:dyDescent="0.25"/>
  <cols>
    <col min="1" max="1" width="28.25" customWidth="1"/>
    <col min="2" max="2" width="11.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8" t="s">
        <v>158</v>
      </c>
      <c r="B1" s="98"/>
      <c r="C1" s="98"/>
      <c r="D1" s="98"/>
      <c r="E1" s="98"/>
      <c r="F1" s="98"/>
      <c r="G1" s="98"/>
    </row>
    <row r="2" spans="1:9" x14ac:dyDescent="0.25">
      <c r="A2" s="98" t="s">
        <v>23</v>
      </c>
      <c r="B2" s="98"/>
      <c r="C2" s="98"/>
      <c r="D2" s="98"/>
      <c r="E2" s="98"/>
      <c r="F2" s="98"/>
      <c r="G2" s="98"/>
    </row>
    <row r="3" spans="1:9" x14ac:dyDescent="0.25">
      <c r="A3" s="6"/>
    </row>
    <row r="4" spans="1:9" ht="57" customHeight="1" x14ac:dyDescent="0.25">
      <c r="A4" s="100"/>
      <c r="B4" s="102">
        <v>2020</v>
      </c>
      <c r="C4" s="103"/>
      <c r="D4" s="102" t="s">
        <v>0</v>
      </c>
      <c r="E4" s="103"/>
      <c r="F4" s="104" t="s">
        <v>107</v>
      </c>
      <c r="G4" s="105"/>
    </row>
    <row r="5" spans="1:9" ht="29.25" customHeight="1" x14ac:dyDescent="0.25">
      <c r="A5" s="101"/>
      <c r="B5" s="41" t="s">
        <v>100</v>
      </c>
      <c r="C5" s="41" t="s">
        <v>275</v>
      </c>
      <c r="D5" s="23">
        <v>2019</v>
      </c>
      <c r="E5" s="23">
        <v>2020</v>
      </c>
      <c r="F5" s="23" t="s">
        <v>121</v>
      </c>
      <c r="G5" s="20" t="s">
        <v>139</v>
      </c>
    </row>
    <row r="6" spans="1:9" ht="16.5" customHeight="1" x14ac:dyDescent="0.25">
      <c r="A6" s="51" t="s">
        <v>101</v>
      </c>
      <c r="B6" s="52">
        <v>2485159.9447400002</v>
      </c>
      <c r="C6" s="53">
        <f>IF(2779164.46518="","-",2485159.94474/2779164.46518*100)</f>
        <v>89.421118320863471</v>
      </c>
      <c r="D6" s="52">
        <v>100</v>
      </c>
      <c r="E6" s="52">
        <v>100</v>
      </c>
      <c r="F6" s="53">
        <f>IF(2706173.30142="","-",(2779164.46518-2706173.30142)/2706173.30142*100)</f>
        <v>2.6972095143241392</v>
      </c>
      <c r="G6" s="53">
        <f>IF(2779164.46518="","-",(2485159.94474-2779164.46518)/2779164.46518*100)</f>
        <v>-10.578881679136527</v>
      </c>
    </row>
    <row r="7" spans="1:9" ht="13.5" customHeight="1" x14ac:dyDescent="0.25">
      <c r="A7" s="33" t="s">
        <v>136</v>
      </c>
      <c r="B7" s="29"/>
      <c r="C7" s="48"/>
      <c r="D7" s="29"/>
      <c r="E7" s="29"/>
      <c r="F7" s="48"/>
      <c r="G7" s="48"/>
    </row>
    <row r="8" spans="1:9" x14ac:dyDescent="0.25">
      <c r="A8" s="67" t="s">
        <v>216</v>
      </c>
      <c r="B8" s="54">
        <v>525921.18825999997</v>
      </c>
      <c r="C8" s="55">
        <f>IF(636764.92903="","-",525921.18826/636764.92903*100)</f>
        <v>82.592674986222775</v>
      </c>
      <c r="D8" s="54">
        <f>IF(636764.92903="","-",636764.92903/2779164.46518*100)</f>
        <v>22.91209955394843</v>
      </c>
      <c r="E8" s="54">
        <f>IF(525921.18826="","-",525921.18826/2485159.94474*100)</f>
        <v>21.162468410660882</v>
      </c>
      <c r="F8" s="55">
        <f>IF(2706173.30142="","-",(636764.92903-613010.75613)/2706173.30142*100)</f>
        <v>0.87777722467129393</v>
      </c>
      <c r="G8" s="55">
        <f>IF(2779164.46518="","-",(525921.18826-636764.92903)/2779164.46518*100)</f>
        <v>-3.9883836368360068</v>
      </c>
      <c r="I8" s="17"/>
    </row>
    <row r="9" spans="1:9" s="9" customFormat="1" x14ac:dyDescent="0.25">
      <c r="A9" s="56" t="s">
        <v>24</v>
      </c>
      <c r="B9" s="57">
        <v>9947.7565699999996</v>
      </c>
      <c r="C9" s="58">
        <f>IF(OR(10014.97748="",9947.75657=""),"-",9947.75657/10014.97748*100)</f>
        <v>99.328796194157803</v>
      </c>
      <c r="D9" s="57">
        <f>IF(10014.97748="","-",10014.97748/2779164.46518*100)</f>
        <v>0.36035929522981119</v>
      </c>
      <c r="E9" s="57">
        <f>IF(9947.75657="","-",9947.75657/2485159.94474*100)</f>
        <v>0.40028637154944741</v>
      </c>
      <c r="F9" s="58">
        <f>IF(OR(2706173.30142="",11656.0891="",10014.97748=""),"-",(10014.97748-11656.0891)/2706173.30142*100)</f>
        <v>-6.0643256628792601E-2</v>
      </c>
      <c r="G9" s="58">
        <f>IF(OR(2779164.46518="",9947.75657="",10014.97748=""),"-",(9947.75657-10014.97748)/2779164.46518*100)</f>
        <v>-2.4187453042886493E-3</v>
      </c>
      <c r="I9" s="17"/>
    </row>
    <row r="10" spans="1:9" s="9" customFormat="1" x14ac:dyDescent="0.25">
      <c r="A10" s="56" t="s">
        <v>217</v>
      </c>
      <c r="B10" s="57">
        <v>6096.6473900000001</v>
      </c>
      <c r="C10" s="58">
        <f>IF(OR(8727.95403="",6096.64739=""),"-",6096.64739/8727.95403*100)</f>
        <v>69.851964951286533</v>
      </c>
      <c r="D10" s="57">
        <f>IF(8727.95403="","-",8727.95403/2779164.46518*100)</f>
        <v>0.31404956919074284</v>
      </c>
      <c r="E10" s="57">
        <f>IF(6096.64739="","-",6096.64739/2485159.94474*100)</f>
        <v>0.2453221332053071</v>
      </c>
      <c r="F10" s="58">
        <f>IF(OR(2706173.30142="",9721.72759="",8727.95403=""),"-",(8727.95403-9721.72759)/2706173.30142*100)</f>
        <v>-3.6722465611442573E-2</v>
      </c>
      <c r="G10" s="58">
        <f>IF(OR(2779164.46518="",6096.64739="",8727.95403=""),"-",(6096.64739-8727.95403)/2779164.46518*100)</f>
        <v>-9.4679774189958835E-2</v>
      </c>
      <c r="I10" s="17"/>
    </row>
    <row r="11" spans="1:9" s="9" customFormat="1" x14ac:dyDescent="0.25">
      <c r="A11" s="56" t="s">
        <v>218</v>
      </c>
      <c r="B11" s="57">
        <v>11944.793009999999</v>
      </c>
      <c r="C11" s="58">
        <f>IF(OR(14388.67804="",11944.79301=""),"-",11944.79301/14388.67804*100)</f>
        <v>83.015221945990518</v>
      </c>
      <c r="D11" s="57">
        <f>IF(14388.67804="","-",14388.67804/2779164.46518*100)</f>
        <v>0.51773395278598888</v>
      </c>
      <c r="E11" s="57">
        <f>IF(11944.79301="","-",11944.79301/2485159.94474*100)</f>
        <v>0.48064483878721437</v>
      </c>
      <c r="F11" s="58">
        <f>IF(OR(2706173.30142="",19957.7309="",14388.67804=""),"-",(14388.67804-19957.7309)/2706173.30142*100)</f>
        <v>-0.20579069555810675</v>
      </c>
      <c r="G11" s="58">
        <f>IF(OR(2779164.46518="",11944.79301="",14388.67804=""),"-",(11944.79301-14388.67804)/2779164.46518*100)</f>
        <v>-8.7935962790950437E-2</v>
      </c>
      <c r="I11" s="17"/>
    </row>
    <row r="12" spans="1:9" s="9" customFormat="1" x14ac:dyDescent="0.25">
      <c r="A12" s="56" t="s">
        <v>219</v>
      </c>
      <c r="B12" s="57">
        <v>14.999280000000001</v>
      </c>
      <c r="C12" s="58">
        <f>IF(OR(23.27495="",14.99928=""),"-",14.99928/23.27495*100)</f>
        <v>64.443876356340184</v>
      </c>
      <c r="D12" s="57">
        <f>IF(23.27495="","-",23.27495/2779164.46518*100)</f>
        <v>8.3748012367064213E-4</v>
      </c>
      <c r="E12" s="57">
        <f>IF(14.99928="","-",14.99928/2485159.94474*100)</f>
        <v>6.0355390934683844E-4</v>
      </c>
      <c r="F12" s="58">
        <f>IF(OR(2706173.30142="",18.99308="",23.27495=""),"-",(23.27495-18.99308)/2706173.30142*100)</f>
        <v>1.5822600857650883E-4</v>
      </c>
      <c r="G12" s="58">
        <f>IF(OR(2779164.46518="",14.99928="",23.27495=""),"-",(14.99928-23.27495)/2779164.46518*100)</f>
        <v>-2.9777546826340864E-4</v>
      </c>
      <c r="I12" s="17"/>
    </row>
    <row r="13" spans="1:9" s="9" customFormat="1" x14ac:dyDescent="0.25">
      <c r="A13" s="56" t="s">
        <v>220</v>
      </c>
      <c r="B13" s="57">
        <v>131869.73436999999</v>
      </c>
      <c r="C13" s="58">
        <f>IF(OR(250060.03356="",131869.73437=""),"-",131869.73437/250060.03356*100)</f>
        <v>52.735230213571441</v>
      </c>
      <c r="D13" s="57">
        <f>IF(250060.03356="","-",250060.03356/2779164.46518*100)</f>
        <v>8.9976695043776118</v>
      </c>
      <c r="E13" s="57">
        <f>IF(131869.73437="","-",131869.73437/2485159.94474*100)</f>
        <v>5.3062876153750471</v>
      </c>
      <c r="F13" s="58">
        <f>IF(OR(2706173.30142="",240155.35652="",250060.03356=""),"-",(250060.03356-240155.35652)/2706173.30142*100)</f>
        <v>0.36600305807476435</v>
      </c>
      <c r="G13" s="58">
        <f>IF(OR(2779164.46518="",131869.73437="",250060.03356=""),"-",(131869.73437-250060.03356)/2779164.46518*100)</f>
        <v>-4.2527277773877667</v>
      </c>
      <c r="I13" s="17"/>
    </row>
    <row r="14" spans="1:9" s="9" customFormat="1" x14ac:dyDescent="0.25">
      <c r="A14" s="56" t="s">
        <v>221</v>
      </c>
      <c r="B14" s="57">
        <v>303433.17161999998</v>
      </c>
      <c r="C14" s="58">
        <f>IF(OR(293357.8022="",303433.17162=""),"-",303433.17162/293357.8022*100)</f>
        <v>103.43449853538615</v>
      </c>
      <c r="D14" s="57">
        <f>IF(293357.8022="","-",293357.8022/2779164.46518*100)</f>
        <v>10.555611439174035</v>
      </c>
      <c r="E14" s="57">
        <f>IF(303433.17162="","-",303433.17162/2485159.94474*100)</f>
        <v>12.209804534401727</v>
      </c>
      <c r="F14" s="58">
        <f>IF(OR(2706173.30142="",264226.49196="",293357.8022=""),"-",(293357.8022-264226.49196)/2706173.30142*100)</f>
        <v>1.0764761526807614</v>
      </c>
      <c r="G14" s="58">
        <f>IF(OR(2779164.46518="",303433.17162="",293357.8022=""),"-",(303433.17162-293357.8022)/2779164.46518*100)</f>
        <v>0.36253232027948534</v>
      </c>
      <c r="I14" s="17"/>
    </row>
    <row r="15" spans="1:9" s="9" customFormat="1" ht="15" customHeight="1" x14ac:dyDescent="0.25">
      <c r="A15" s="56" t="s">
        <v>178</v>
      </c>
      <c r="B15" s="57">
        <v>18680.729080000001</v>
      </c>
      <c r="C15" s="58">
        <f>IF(OR(21720.44973="",18680.72908=""),"-",18680.72908/21720.44973*100)</f>
        <v>86.00525915537753</v>
      </c>
      <c r="D15" s="57">
        <f>IF(21720.44973="","-",21720.44973/2779164.46518*100)</f>
        <v>0.78154603666441225</v>
      </c>
      <c r="E15" s="57">
        <f>IF(18680.72908="","-",18680.72908/2485159.94474*100)</f>
        <v>0.75169121889071799</v>
      </c>
      <c r="F15" s="58">
        <f>IF(OR(2706173.30142="",30883.44302="",21720.44973=""),"-",(21720.44973-30883.44302)/2706173.30142*100)</f>
        <v>-0.33859595337785414</v>
      </c>
      <c r="G15" s="58">
        <f>IF(OR(2779164.46518="",18680.72908="",21720.44973=""),"-",(18680.72908-21720.44973)/2779164.46518*100)</f>
        <v>-0.10937534241260256</v>
      </c>
      <c r="I15" s="17"/>
    </row>
    <row r="16" spans="1:9" s="9" customFormat="1" ht="25.5" x14ac:dyDescent="0.25">
      <c r="A16" s="56" t="s">
        <v>222</v>
      </c>
      <c r="B16" s="57">
        <v>8315.2739700000002</v>
      </c>
      <c r="C16" s="58">
        <f>IF(OR(10275.69611="",8315.27397=""),"-",8315.27397/10275.69611*100)</f>
        <v>80.92175830217306</v>
      </c>
      <c r="D16" s="57">
        <f>IF(10275.69611="","-",10275.69611/2779164.46518*100)</f>
        <v>0.36974048275097199</v>
      </c>
      <c r="E16" s="57">
        <f>IF(8315.27397="","-",8315.27397/2485159.94474*100)</f>
        <v>0.33459713478803682</v>
      </c>
      <c r="F16" s="58">
        <f>IF(OR(2706173.30142="",11597.86701="",10275.69611=""),"-",(10275.69611-11597.86701)/2706173.30142*100)</f>
        <v>-4.8857584224418354E-2</v>
      </c>
      <c r="G16" s="58">
        <f>IF(OR(2779164.46518="",8315.27397="",10275.69611=""),"-",(8315.27397-10275.69611)/2779164.46518*100)</f>
        <v>-7.0539982953942551E-2</v>
      </c>
      <c r="I16" s="17"/>
    </row>
    <row r="17" spans="1:9" s="9" customFormat="1" ht="25.5" x14ac:dyDescent="0.25">
      <c r="A17" s="56" t="s">
        <v>179</v>
      </c>
      <c r="B17" s="57">
        <v>31850.158169999999</v>
      </c>
      <c r="C17" s="58">
        <f>IF(OR(25508.17377="",31850.15817=""),"-",31850.15817/25508.17377*100)</f>
        <v>124.86255761460573</v>
      </c>
      <c r="D17" s="57">
        <f>IF(25508.17377="","-",25508.17377/2779164.46518*100)</f>
        <v>0.91783606510483717</v>
      </c>
      <c r="E17" s="57">
        <f>IF(31850.15817="","-",31850.15817/2485159.94474*100)</f>
        <v>1.2816140159273408</v>
      </c>
      <c r="F17" s="58">
        <f>IF(OR(2706173.30142="",22037.49392="",25508.17377=""),"-",(25508.17377-22037.49392)/2706173.30142*100)</f>
        <v>0.12825046526690823</v>
      </c>
      <c r="G17" s="58">
        <f>IF(OR(2779164.46518="",31850.15817="",25508.17377=""),"-",(31850.15817-25508.17377)/2779164.46518*100)</f>
        <v>0.22819752049432029</v>
      </c>
      <c r="I17" s="17"/>
    </row>
    <row r="18" spans="1:9" s="9" customFormat="1" x14ac:dyDescent="0.25">
      <c r="A18" s="56" t="s">
        <v>223</v>
      </c>
      <c r="B18" s="57">
        <v>3767.9247999999998</v>
      </c>
      <c r="C18" s="58">
        <f>IF(OR(2687.88916="",3767.9248=""),"-",3767.9248/2687.88916*100)</f>
        <v>140.18155421260005</v>
      </c>
      <c r="D18" s="57">
        <f>IF(2687.88916="","-",2687.88916/2779164.46518*100)</f>
        <v>9.6715728546346108E-2</v>
      </c>
      <c r="E18" s="57">
        <f>IF(3767.9248="","-",3767.9248/2485159.94474*100)</f>
        <v>0.1516169938266973</v>
      </c>
      <c r="F18" s="58">
        <f>IF(OR(2706173.30142="",2755.56303="",2687.88916=""),"-",(2687.88916-2755.56303)/2706173.30142*100)</f>
        <v>-2.5007219591032612E-3</v>
      </c>
      <c r="G18" s="58">
        <f>IF(OR(2779164.46518="",3767.9248="",2687.88916=""),"-",(3767.9248-2687.88916)/2779164.46518*100)</f>
        <v>3.8861882897961143E-2</v>
      </c>
    </row>
    <row r="19" spans="1:9" s="9" customFormat="1" x14ac:dyDescent="0.25">
      <c r="A19" s="67" t="s">
        <v>224</v>
      </c>
      <c r="B19" s="54">
        <v>187052.44534000001</v>
      </c>
      <c r="C19" s="55">
        <f>IF(218271.30497="","-",187052.44534/218271.30497*100)</f>
        <v>85.697222255444515</v>
      </c>
      <c r="D19" s="54">
        <f>IF(218271.30497="","-",218271.30497/2779164.46518*100)</f>
        <v>7.8538462802295177</v>
      </c>
      <c r="E19" s="54">
        <f>IF(187052.44534="","-",187052.44534/2485159.94474*100)</f>
        <v>7.5267769278153889</v>
      </c>
      <c r="F19" s="55">
        <f>IF(2706173.30142="","-",(218271.30497-218817.31491)/2706173.30142*100)</f>
        <v>-2.0176458755005944E-2</v>
      </c>
      <c r="G19" s="55">
        <f>IF(2779164.46518="","-",(187052.44534-218271.30497)/2779164.46518*100)</f>
        <v>-1.1233181778602663</v>
      </c>
    </row>
    <row r="20" spans="1:9" s="9" customFormat="1" x14ac:dyDescent="0.25">
      <c r="A20" s="56" t="s">
        <v>225</v>
      </c>
      <c r="B20" s="57">
        <v>178465.16073</v>
      </c>
      <c r="C20" s="58">
        <f>IF(OR(195898.85448="",178465.16073=""),"-",178465.16073/195898.85448*100)</f>
        <v>91.100665802116836</v>
      </c>
      <c r="D20" s="57">
        <f>IF(195898.85448="","-",195898.85448/2779164.46518*100)</f>
        <v>7.048839927769877</v>
      </c>
      <c r="E20" s="57">
        <f>IF(178465.16073="","-",178465.16073/2485159.94474*100)</f>
        <v>7.1812343953045321</v>
      </c>
      <c r="F20" s="58">
        <f>IF(OR(2706173.30142="",196000.3346="",195898.85448=""),"-",(195898.85448-196000.3346)/2706173.30142*100)</f>
        <v>-3.7499490497058564E-3</v>
      </c>
      <c r="G20" s="58">
        <f>IF(OR(2779164.46518="",178465.16073="",195898.85448=""),"-",(178465.16073-195898.85448)/2779164.46518*100)</f>
        <v>-0.62729982224606728</v>
      </c>
    </row>
    <row r="21" spans="1:9" s="9" customFormat="1" x14ac:dyDescent="0.25">
      <c r="A21" s="56" t="s">
        <v>226</v>
      </c>
      <c r="B21" s="57">
        <v>8587.2846100000006</v>
      </c>
      <c r="C21" s="58">
        <f>IF(OR(22372.45049="",8587.28461=""),"-",8587.28461/22372.45049*100)</f>
        <v>38.383299200229906</v>
      </c>
      <c r="D21" s="57">
        <f>IF(22372.45049="","-",22372.45049/2779164.46518*100)</f>
        <v>0.80500635245964081</v>
      </c>
      <c r="E21" s="57">
        <f>IF(8587.28461="","-",8587.28461/2485159.94474*100)</f>
        <v>0.34554253251085659</v>
      </c>
      <c r="F21" s="58">
        <f>IF(OR(2706173.30142="",22816.98031="",22372.45049=""),"-",(22372.45049-22816.98031)/2706173.30142*100)</f>
        <v>-1.6426509705300223E-2</v>
      </c>
      <c r="G21" s="58">
        <f>IF(OR(2779164.46518="",8587.28461="",22372.45049=""),"-",(8587.28461-22372.45049)/2779164.46518*100)</f>
        <v>-0.49601835561419955</v>
      </c>
    </row>
    <row r="22" spans="1:9" s="9" customFormat="1" ht="25.5" x14ac:dyDescent="0.25">
      <c r="A22" s="67" t="s">
        <v>25</v>
      </c>
      <c r="B22" s="54">
        <v>267223.87873</v>
      </c>
      <c r="C22" s="55">
        <f>IF(296070.22462="","-",267223.87873/296070.22462*100)</f>
        <v>90.256924374268408</v>
      </c>
      <c r="D22" s="54">
        <f>IF(296070.22462="","-",296070.22462/2779164.46518*100)</f>
        <v>10.653209924401658</v>
      </c>
      <c r="E22" s="54">
        <f>IF(267223.87873="","-",267223.87873/2485159.94474*100)</f>
        <v>10.752783912182249</v>
      </c>
      <c r="F22" s="55">
        <f>IF(2706173.30142="","-",(296070.22462-279951.1615)/2706173.30142*100)</f>
        <v>0.59564046070301235</v>
      </c>
      <c r="G22" s="55">
        <f>IF(2779164.46518="","-",(267223.87873-296070.22462)/2779164.46518*100)</f>
        <v>-1.037950299502397</v>
      </c>
      <c r="H22" s="7"/>
    </row>
    <row r="23" spans="1:9" s="9" customFormat="1" x14ac:dyDescent="0.25">
      <c r="A23" s="56" t="s">
        <v>233</v>
      </c>
      <c r="B23" s="57">
        <v>1232.11718</v>
      </c>
      <c r="C23" s="58">
        <f>IF(OR(1673.2817="",1232.11718=""),"-",1232.11718/1673.2817*100)</f>
        <v>73.634772913610419</v>
      </c>
      <c r="D23" s="57">
        <f>IF(1673.2817="","-",1673.2817/2779164.46518*100)</f>
        <v>6.0208084874589299E-2</v>
      </c>
      <c r="E23" s="57">
        <f>IF(1232.11718="","-",1232.11718/2485159.94474*100)</f>
        <v>4.9578989175640575E-2</v>
      </c>
      <c r="F23" s="58">
        <f>IF(OR(2706173.30142="",2946.41398="",1673.2817=""),"-",(1673.2817-2946.41398)/2706173.30142*100)</f>
        <v>-4.7045482243578192E-2</v>
      </c>
      <c r="G23" s="58">
        <f>IF(OR(2779164.46518="",1232.11718="",1673.2817=""),"-",(1232.11718-1673.2817)/2779164.46518*100)</f>
        <v>-1.5873998301551645E-2</v>
      </c>
      <c r="H23" s="8"/>
    </row>
    <row r="24" spans="1:9" s="9" customFormat="1" x14ac:dyDescent="0.25">
      <c r="A24" s="56" t="s">
        <v>227</v>
      </c>
      <c r="B24" s="57">
        <v>222432.54967000001</v>
      </c>
      <c r="C24" s="58">
        <f>IF(OR(260749.15602="",222432.54967=""),"-",222432.54967/260749.15602*100)</f>
        <v>85.305184900747662</v>
      </c>
      <c r="D24" s="57">
        <f>IF(260749.15602="","-",260749.15602/2779164.46518*100)</f>
        <v>9.3822859095570621</v>
      </c>
      <c r="E24" s="57">
        <f>IF(222432.54967="","-",222432.54967/2485159.94474*100)</f>
        <v>8.9504319486877577</v>
      </c>
      <c r="F24" s="58">
        <f>IF(OR(2706173.30142="",239980.65214="",260749.15602=""),"-",(260749.15602-239980.65214)/2706173.30142*100)</f>
        <v>0.767449145592495</v>
      </c>
      <c r="G24" s="58">
        <f>IF(OR(2779164.46518="",222432.54967="",260749.15602=""),"-",(222432.54967-260749.15602)/2779164.46518*100)</f>
        <v>-1.3787095664926152</v>
      </c>
      <c r="H24" s="8"/>
    </row>
    <row r="25" spans="1:9" s="9" customFormat="1" ht="25.5" x14ac:dyDescent="0.25">
      <c r="A25" s="56" t="s">
        <v>228</v>
      </c>
      <c r="B25" s="57">
        <v>0.16791</v>
      </c>
      <c r="C25" s="58">
        <f>IF(OR(1.25194="",0.16791=""),"-",0.16791/1.25194*100)</f>
        <v>13.411984599900952</v>
      </c>
      <c r="D25" s="57">
        <f>IF(1.25194="","-",1.25194/2779164.46518*100)</f>
        <v>4.5047352025599349E-5</v>
      </c>
      <c r="E25" s="57">
        <f>IF(0.16791="","-",0.16791/2485159.94474*100)</f>
        <v>6.7565067735536397E-6</v>
      </c>
      <c r="F25" s="58">
        <f>IF(OR(2706173.30142="",1.05346="",1.25194=""),"-",(1.25194-1.05346)/2706173.30142*100)</f>
        <v>7.3343418138022556E-6</v>
      </c>
      <c r="G25" s="58">
        <f>IF(OR(2779164.46518="",0.16791="",1.25194=""),"-",(0.16791-1.25194)/2779164.46518*100)</f>
        <v>-3.9005608109262798E-5</v>
      </c>
      <c r="H25" s="8"/>
    </row>
    <row r="26" spans="1:9" s="9" customFormat="1" ht="14.25" customHeight="1" x14ac:dyDescent="0.25">
      <c r="A26" s="56" t="s">
        <v>229</v>
      </c>
      <c r="B26" s="57">
        <v>1555.0553299999999</v>
      </c>
      <c r="C26" s="58">
        <f>IF(OR(1220.82463="",1555.05533=""),"-",1555.05533/1220.82463*100)</f>
        <v>127.37745387722066</v>
      </c>
      <c r="D26" s="57">
        <f>IF(1220.82463="","-",1220.82463/2779164.46518*100)</f>
        <v>4.392775761548643E-2</v>
      </c>
      <c r="E26" s="57">
        <f>IF(1555.05533="","-",1555.05533/2485159.94474*100)</f>
        <v>6.2573651780094636E-2</v>
      </c>
      <c r="F26" s="58">
        <f>IF(OR(2706173.30142="",800.16779="",1220.82463=""),"-",(1220.82463-800.16779)/2706173.30142*100)</f>
        <v>1.5544342255511517E-2</v>
      </c>
      <c r="G26" s="58">
        <f>IF(OR(2779164.46518="",1555.05533="",1220.82463=""),"-",(1555.05533-1220.82463)/2779164.46518*100)</f>
        <v>1.2026301580477084E-2</v>
      </c>
      <c r="H26" s="8"/>
    </row>
    <row r="27" spans="1:9" s="9" customFormat="1" x14ac:dyDescent="0.25">
      <c r="A27" s="56" t="s">
        <v>180</v>
      </c>
      <c r="B27" s="57">
        <v>2057.6759999999999</v>
      </c>
      <c r="C27" s="58">
        <f>IF(OR(2638.01826="",2057.676=""),"-",2057.676/2638.01826*100)</f>
        <v>78.000824755473829</v>
      </c>
      <c r="D27" s="57">
        <f>IF(2638.01826="","-",2638.01826/2779164.46518*100)</f>
        <v>9.4921271952473005E-2</v>
      </c>
      <c r="E27" s="57">
        <f>IF(2057.676="","-",2057.676/2485159.94474*100)</f>
        <v>8.2798533927572859E-2</v>
      </c>
      <c r="F27" s="58">
        <f>IF(OR(2706173.30142="",3278.83104="",2638.01826=""),"-",(2638.01826-3278.83104)/2706173.30142*100)</f>
        <v>-2.3679665292084175E-2</v>
      </c>
      <c r="G27" s="58">
        <f>IF(OR(2779164.46518="",2057.676="",2638.01826=""),"-",(2057.676-2638.01826)/2779164.46518*100)</f>
        <v>-2.0881896961157803E-2</v>
      </c>
      <c r="H27" s="8"/>
    </row>
    <row r="28" spans="1:9" s="9" customFormat="1" ht="38.25" x14ac:dyDescent="0.25">
      <c r="A28" s="56" t="s">
        <v>181</v>
      </c>
      <c r="B28" s="57">
        <v>194.20705000000001</v>
      </c>
      <c r="C28" s="58">
        <f>IF(OR(348.21492="",194.20705=""),"-",194.20705/348.21492*100)</f>
        <v>55.772179434471106</v>
      </c>
      <c r="D28" s="57">
        <f>IF(348.21492="","-",348.21492/2779164.46518*100)</f>
        <v>1.2529482308901317E-2</v>
      </c>
      <c r="E28" s="57">
        <f>IF(194.20705="","-",194.20705/2485159.94474*100)</f>
        <v>7.8146700541770631E-3</v>
      </c>
      <c r="F28" s="58">
        <f>IF(OR(2706173.30142="",469.61314="",348.21492=""),"-",(348.21492-469.61314)/2706173.30142*100)</f>
        <v>-4.4859736047317871E-3</v>
      </c>
      <c r="G28" s="58">
        <f>IF(OR(2779164.46518="",194.20705="",348.21492=""),"-",(194.20705-348.21492)/2779164.46518*100)</f>
        <v>-5.541516953370562E-3</v>
      </c>
      <c r="H28" s="8"/>
    </row>
    <row r="29" spans="1:9" s="9" customFormat="1" ht="38.25" x14ac:dyDescent="0.25">
      <c r="A29" s="56" t="s">
        <v>182</v>
      </c>
      <c r="B29" s="57">
        <v>8173.8613699999996</v>
      </c>
      <c r="C29" s="58">
        <f>IF(OR(9360.87854="",8173.86137=""),"-",8173.86137/9360.87854*100)</f>
        <v>87.319382845020868</v>
      </c>
      <c r="D29" s="57">
        <f>IF(9360.87854="","-",9360.87854/2779164.46518*100)</f>
        <v>0.3368234826431446</v>
      </c>
      <c r="E29" s="57">
        <f>IF(8173.86137="","-",8173.86137/2485159.94474*100)</f>
        <v>0.32890685315045814</v>
      </c>
      <c r="F29" s="58">
        <f>IF(OR(2706173.30142="",10566.88655="",9360.87854=""),"-",(9360.87854-10566.88655)/2706173.30142*100)</f>
        <v>-4.4565069405095956E-2</v>
      </c>
      <c r="G29" s="58">
        <f>IF(OR(2779164.46518="",8173.86137="",9360.87854=""),"-",(8173.86137-9360.87854)/2779164.46518*100)</f>
        <v>-4.2711296322044755E-2</v>
      </c>
      <c r="H29" s="8"/>
    </row>
    <row r="30" spans="1:9" s="9" customFormat="1" ht="15.75" customHeight="1" x14ac:dyDescent="0.25">
      <c r="A30" s="56" t="s">
        <v>183</v>
      </c>
      <c r="B30" s="57">
        <v>27000.705310000001</v>
      </c>
      <c r="C30" s="58" t="s">
        <v>104</v>
      </c>
      <c r="D30" s="57">
        <f>IF(15862.30532="","-",15862.30532/2779164.46518*100)</f>
        <v>0.57075806483344038</v>
      </c>
      <c r="E30" s="57">
        <f>IF(27000.70531="","-",27000.70531/2485159.94474*100)</f>
        <v>1.0864775672547242</v>
      </c>
      <c r="F30" s="58">
        <f>IF(OR(2706173.30142="",17159.71488="",15862.30532=""),"-",(15862.30532-17159.71488)/2706173.30142*100)</f>
        <v>-4.7942589608700049E-2</v>
      </c>
      <c r="G30" s="58">
        <f>IF(OR(2779164.46518="",27000.70531="",15862.30532=""),"-",(27000.70531-15862.30532)/2779164.46518*100)</f>
        <v>0.40078232611104553</v>
      </c>
    </row>
    <row r="31" spans="1:9" s="9" customFormat="1" ht="25.5" x14ac:dyDescent="0.25">
      <c r="A31" s="56" t="s">
        <v>184</v>
      </c>
      <c r="B31" s="57">
        <v>4577.5389100000002</v>
      </c>
      <c r="C31" s="58">
        <f>IF(OR(4216.29329="",4577.53891=""),"-",4577.53891/4216.29329*100)</f>
        <v>108.56784846672754</v>
      </c>
      <c r="D31" s="57">
        <f>IF(4216.29329="","-",4216.29329/2779164.46518*100)</f>
        <v>0.15171082326453539</v>
      </c>
      <c r="E31" s="57">
        <f>IF(4577.53891="","-",4577.53891/2485159.94474*100)</f>
        <v>0.18419494164505001</v>
      </c>
      <c r="F31" s="58">
        <f>IF(OR(2706173.30142="",4747.82852="",4216.29329=""),"-",(4216.29329-4747.82852)/2706173.30142*100)</f>
        <v>-1.9641581332617904E-2</v>
      </c>
      <c r="G31" s="58">
        <f>IF(OR(2779164.46518="",4577.53891="",4216.29329=""),"-",(4577.53891-4216.29329)/2779164.46518*100)</f>
        <v>1.2998353444930204E-2</v>
      </c>
    </row>
    <row r="32" spans="1:9" s="9" customFormat="1" ht="25.5" x14ac:dyDescent="0.25">
      <c r="A32" s="67" t="s">
        <v>185</v>
      </c>
      <c r="B32" s="54">
        <v>14485.97724</v>
      </c>
      <c r="C32" s="55">
        <f>IF(10414.13213="","-",14485.97724/10414.13213*100)</f>
        <v>139.09922650462858</v>
      </c>
      <c r="D32" s="54">
        <f>IF(10414.13213="","-",10414.13213/2779164.46518*100)</f>
        <v>0.37472169281372492</v>
      </c>
      <c r="E32" s="54">
        <f>IF(14485.97724="","-",14485.97724/2485159.94474*100)</f>
        <v>0.58289919208864183</v>
      </c>
      <c r="F32" s="55">
        <f>IF(2706173.30142="","-",(10414.13213-18470.94986)/2706173.30142*100)</f>
        <v>-0.29771994741698093</v>
      </c>
      <c r="G32" s="55">
        <f>IF(2779164.46518="","-",(14485.97724-10414.13213)/2779164.46518*100)</f>
        <v>0.1465132834352168</v>
      </c>
    </row>
    <row r="33" spans="1:7" s="9" customFormat="1" x14ac:dyDescent="0.25">
      <c r="A33" s="56" t="s">
        <v>230</v>
      </c>
      <c r="B33" s="57">
        <v>117.26958</v>
      </c>
      <c r="C33" s="58" t="s">
        <v>285</v>
      </c>
      <c r="D33" s="57">
        <f>IF(3.98403="","-",3.98403/2779164.46518*100)</f>
        <v>1.4335351685428103E-4</v>
      </c>
      <c r="E33" s="57">
        <f>IF(117.26958="","-",117.26958/2485159.94474*100)</f>
        <v>4.7187940658792839E-3</v>
      </c>
      <c r="F33" s="58">
        <f>IF(OR(2706173.30142="",18.25726="",3.98403=""),"-",(3.98403-18.25726)/2706173.30142*100)</f>
        <v>-5.2743222292934674E-4</v>
      </c>
      <c r="G33" s="58">
        <f>IF(OR(2779164.46518="",117.26958="",3.98403=""),"-",(117.26958-3.98403)/2779164.46518*100)</f>
        <v>4.0762449081135164E-3</v>
      </c>
    </row>
    <row r="34" spans="1:7" s="9" customFormat="1" ht="25.5" x14ac:dyDescent="0.25">
      <c r="A34" s="56" t="s">
        <v>186</v>
      </c>
      <c r="B34" s="57">
        <v>13836.254489999999</v>
      </c>
      <c r="C34" s="58">
        <f>IF(OR(10364.52806="",13836.25449=""),"-",13836.25449/10364.52806*100)</f>
        <v>133.49623263020044</v>
      </c>
      <c r="D34" s="57">
        <f>IF(10364.52806="","-",10364.52806/2779164.46518*100)</f>
        <v>0.37293683730691751</v>
      </c>
      <c r="E34" s="57">
        <f>IF(13836.25449="","-",13836.25449/2485159.94474*100)</f>
        <v>0.5567550901214755</v>
      </c>
      <c r="F34" s="58">
        <f>IF(OR(2706173.30142="",18435.16956="",10364.52806=""),"-",(10364.52806-18435.16956)/2706173.30142*100)</f>
        <v>-0.29823077094748962</v>
      </c>
      <c r="G34" s="58">
        <f>IF(OR(2779164.46518="",13836.25449="",10364.52806=""),"-",(13836.25449-10364.52806)/2779164.46518*100)</f>
        <v>0.12491979058803716</v>
      </c>
    </row>
    <row r="35" spans="1:7" s="9" customFormat="1" ht="25.5" x14ac:dyDescent="0.25">
      <c r="A35" s="56" t="s">
        <v>231</v>
      </c>
      <c r="B35" s="57">
        <v>525.37764000000004</v>
      </c>
      <c r="C35" s="58" t="s">
        <v>286</v>
      </c>
      <c r="D35" s="57">
        <f>IF(37.79624="","-",37.79624/2779164.46518*100)</f>
        <v>1.3599857249740714E-3</v>
      </c>
      <c r="E35" s="57">
        <f>IF(525.37764="","-",525.37764/2485159.94474*100)</f>
        <v>2.1140596649000212E-2</v>
      </c>
      <c r="F35" s="58">
        <f>IF(OR(2706173.30142="",9.38137="",37.79624=""),"-",(37.79624-9.38137)/2706173.30142*100)</f>
        <v>1.0500018600098512E-3</v>
      </c>
      <c r="G35" s="58">
        <f>IF(OR(2779164.46518="",525.37764="",37.79624=""),"-",(525.37764-37.79624)/2779164.46518*100)</f>
        <v>1.7544172218264906E-2</v>
      </c>
    </row>
    <row r="36" spans="1:7" s="9" customFormat="1" x14ac:dyDescent="0.25">
      <c r="A36" s="56" t="s">
        <v>187</v>
      </c>
      <c r="B36" s="57">
        <v>7.0755299999999997</v>
      </c>
      <c r="C36" s="58">
        <f>IF(OR(7.8238="",7.07553=""),"-",7.07553/7.8238*100)</f>
        <v>90.435977402285332</v>
      </c>
      <c r="D36" s="57">
        <f>IF(7.8238="","-",7.8238/2779164.46518*100)</f>
        <v>2.8151626497905985E-4</v>
      </c>
      <c r="E36" s="57">
        <f>IF(7.07553="","-",7.07553/2485159.94474*100)</f>
        <v>2.847112522868321E-4</v>
      </c>
      <c r="F36" s="58">
        <f>IF(OR(2706173.30142="",8.14167="",7.8238=""),"-",(7.8238-8.14167)/2706173.30142*100)</f>
        <v>-1.1746106571711594E-5</v>
      </c>
      <c r="G36" s="58">
        <f>IF(OR(2779164.46518="",7.07553="",7.8238=""),"-",(7.07553-7.8238)/2779164.46518*100)</f>
        <v>-2.6924279198839604E-5</v>
      </c>
    </row>
    <row r="37" spans="1:7" s="9" customFormat="1" ht="25.5" x14ac:dyDescent="0.25">
      <c r="A37" s="67" t="s">
        <v>188</v>
      </c>
      <c r="B37" s="54">
        <v>103447.71656</v>
      </c>
      <c r="C37" s="55">
        <f>IF(69974.89487="","-",103447.71656/69974.89487*100)</f>
        <v>147.83547263941747</v>
      </c>
      <c r="D37" s="54">
        <f>IF(69974.89487="","-",69974.89487/2779164.46518*100)</f>
        <v>2.5178392911506911</v>
      </c>
      <c r="E37" s="54">
        <f>IF(103447.71656="","-",103447.71656/2485159.94474*100)</f>
        <v>4.1626180551860941</v>
      </c>
      <c r="F37" s="55">
        <f>IF(2706173.30142="","-",(69974.89487-66841.31895)/2706173.30142*100)</f>
        <v>0.11579361596523526</v>
      </c>
      <c r="G37" s="55">
        <f>IF(2779164.46518="","-",(103447.71656-69974.89487)/2779164.46518*100)</f>
        <v>1.2044203252228918</v>
      </c>
    </row>
    <row r="38" spans="1:7" s="9" customFormat="1" x14ac:dyDescent="0.25">
      <c r="A38" s="56" t="s">
        <v>234</v>
      </c>
      <c r="B38" s="57">
        <v>6.1538300000000001</v>
      </c>
      <c r="C38" s="58" t="str">
        <f>IF(OR(""="",6.15383=""),"-",6.15383/""*100)</f>
        <v>-</v>
      </c>
      <c r="D38" s="57" t="str">
        <f>IF(""="","-",""/2779164.46518*100)</f>
        <v>-</v>
      </c>
      <c r="E38" s="57">
        <f>IF(6.15383="","-",6.15383/2485159.94474*100)</f>
        <v>2.4762309617233993E-4</v>
      </c>
      <c r="F38" s="58" t="str">
        <f>IF(OR(2706173.30142="",0.01755="",""=""),"-",(""-0.01755)/2706173.30142*100)</f>
        <v>-</v>
      </c>
      <c r="G38" s="58" t="str">
        <f>IF(OR(2779164.46518="",6.15383="",""=""),"-",(6.15383-"")/2779164.46518*100)</f>
        <v>-</v>
      </c>
    </row>
    <row r="39" spans="1:7" s="9" customFormat="1" ht="25.5" x14ac:dyDescent="0.25">
      <c r="A39" s="56" t="s">
        <v>189</v>
      </c>
      <c r="B39" s="57">
        <v>103398.85552</v>
      </c>
      <c r="C39" s="58">
        <f>IF(OR(69943.97809="",103398.85552=""),"-",103398.85552/69943.97809*100)</f>
        <v>147.83096178337487</v>
      </c>
      <c r="D39" s="57">
        <f>IF(69943.97809="","-",69943.97809/2779164.46518*100)</f>
        <v>2.5167268424134051</v>
      </c>
      <c r="E39" s="57">
        <f>IF(103398.85552="","-",103398.85552/2485159.94474*100)</f>
        <v>4.1606519426989106</v>
      </c>
      <c r="F39" s="58">
        <f>IF(OR(2706173.30142="",66667.3926="",69943.97809=""),"-",(69943.97809-66667.3926)/2706173.30142*100)</f>
        <v>0.12107818402763369</v>
      </c>
      <c r="G39" s="58">
        <f>IF(OR(2779164.46518="",103398.85552="",69943.97809=""),"-",(103398.85552-69943.97809)/2779164.46518*100)</f>
        <v>1.2037746541866929</v>
      </c>
    </row>
    <row r="40" spans="1:7" s="9" customFormat="1" ht="63.75" x14ac:dyDescent="0.25">
      <c r="A40" s="56" t="s">
        <v>232</v>
      </c>
      <c r="B40" s="57">
        <v>42.707210000000003</v>
      </c>
      <c r="C40" s="58">
        <f>IF(OR(30.91678="",42.70721=""),"-",42.70721/30.91678*100)</f>
        <v>138.13602192725116</v>
      </c>
      <c r="D40" s="57">
        <f>IF(30.91678="","-",30.91678/2779164.46518*100)</f>
        <v>1.1124487372861393E-3</v>
      </c>
      <c r="E40" s="57">
        <f>IF(42.70721="","-",42.70721/2485159.94474*100)</f>
        <v>1.7184893910105279E-3</v>
      </c>
      <c r="F40" s="58">
        <f>IF(OR(2706173.30142="",173.9088="",30.91678=""),"-",(30.91678-173.9088)/2706173.30142*100)</f>
        <v>-5.2839195451735623E-3</v>
      </c>
      <c r="G40" s="58">
        <f>IF(OR(2779164.46518="",42.70721="",30.91678=""),"-",(42.70721-30.91678)/2779164.46518*100)</f>
        <v>4.2424369438087093E-4</v>
      </c>
    </row>
    <row r="41" spans="1:7" s="9" customFormat="1" ht="25.5" x14ac:dyDescent="0.25">
      <c r="A41" s="67" t="s">
        <v>190</v>
      </c>
      <c r="B41" s="54">
        <v>127666.01056</v>
      </c>
      <c r="C41" s="55">
        <f>IF(145442.4929="","-",127666.01056/145442.4929*100)</f>
        <v>87.777655631753817</v>
      </c>
      <c r="D41" s="54">
        <f>IF(145442.4929="","-",145442.4929/2779164.46518*100)</f>
        <v>5.2333172333714355</v>
      </c>
      <c r="E41" s="54">
        <f>IF(127666.01056="","-",127666.01056/2485159.94474*100)</f>
        <v>5.1371345667393866</v>
      </c>
      <c r="F41" s="55">
        <f>IF(2706173.30142="","-",(145442.4929-129828.06899)/2706173.30142*100)</f>
        <v>0.57699275585221077</v>
      </c>
      <c r="G41" s="55">
        <f>IF(2779164.46518="","-",(127666.01056-145442.4929)/2779164.46518*100)</f>
        <v>-0.63963405414543095</v>
      </c>
    </row>
    <row r="42" spans="1:7" s="9" customFormat="1" x14ac:dyDescent="0.25">
      <c r="A42" s="56" t="s">
        <v>26</v>
      </c>
      <c r="B42" s="57">
        <v>49322.460659999997</v>
      </c>
      <c r="C42" s="58" t="s">
        <v>96</v>
      </c>
      <c r="D42" s="57">
        <f>IF(23888.65771="","-",23888.65771/2779164.46518*100)</f>
        <v>0.85956257750484688</v>
      </c>
      <c r="E42" s="57">
        <f>IF(49322.46066="","-",49322.46066/2485159.94474*100)</f>
        <v>1.9846795279472509</v>
      </c>
      <c r="F42" s="58">
        <f>IF(OR(2706173.30142="",26300.92639="",23888.65771=""),"-",(23888.65771-26300.92639)/2706173.30142*100)</f>
        <v>-8.913947524108011E-2</v>
      </c>
      <c r="G42" s="58">
        <f>IF(OR(2779164.46518="",49322.46066="",23888.65771=""),"-",(49322.46066-23888.65771)/2779164.46518*100)</f>
        <v>0.91516005147081902</v>
      </c>
    </row>
    <row r="43" spans="1:7" s="9" customFormat="1" x14ac:dyDescent="0.25">
      <c r="A43" s="56" t="s">
        <v>27</v>
      </c>
      <c r="B43" s="57">
        <v>1622.9238700000001</v>
      </c>
      <c r="C43" s="58">
        <f>IF(OR(1353.14941="",1622.92387=""),"-",1622.92387/1353.14941*100)</f>
        <v>119.93678288637764</v>
      </c>
      <c r="D43" s="57">
        <f>IF(1353.14941="","-",1353.14941/2779164.46518*100)</f>
        <v>4.8689072811398365E-2</v>
      </c>
      <c r="E43" s="57">
        <f>IF(1622.92387="","-",1622.92387/2485159.94474*100)</f>
        <v>6.5304604375063358E-2</v>
      </c>
      <c r="F43" s="58">
        <f>IF(OR(2706173.30142="",1081.96154="",1353.14941=""),"-",(1353.14941-1081.96154)/2706173.30142*100)</f>
        <v>1.002108290173806E-2</v>
      </c>
      <c r="G43" s="58">
        <f>IF(OR(2779164.46518="",1622.92387="",1353.14941=""),"-",(1622.92387-1353.14941)/2779164.46518*100)</f>
        <v>9.707034735798821E-3</v>
      </c>
    </row>
    <row r="44" spans="1:7" s="9" customFormat="1" x14ac:dyDescent="0.25">
      <c r="A44" s="56" t="s">
        <v>191</v>
      </c>
      <c r="B44" s="57">
        <v>942.20650000000001</v>
      </c>
      <c r="C44" s="58">
        <f>IF(OR(916.67873="",942.2065=""),"-",942.2065/916.67873*100)</f>
        <v>102.78481098825102</v>
      </c>
      <c r="D44" s="57">
        <f>IF(916.67873="","-",916.67873/2779164.46518*100)</f>
        <v>3.2983968436737655E-2</v>
      </c>
      <c r="E44" s="57">
        <f>IF(942.2065="","-",942.2065/2485159.94474*100)</f>
        <v>3.7913314271551826E-2</v>
      </c>
      <c r="F44" s="58">
        <f>IF(OR(2706173.30142="",2745.62558="",916.67873=""),"-",(916.67873-2745.62558)/2706173.30142*100)</f>
        <v>-6.7584247063567721E-2</v>
      </c>
      <c r="G44" s="58">
        <f>IF(OR(2779164.46518="",942.2065="",916.67873=""),"-",(942.2065-916.67873)/2779164.46518*100)</f>
        <v>9.1854117738752322E-4</v>
      </c>
    </row>
    <row r="45" spans="1:7" s="9" customFormat="1" x14ac:dyDescent="0.25">
      <c r="A45" s="56" t="s">
        <v>192</v>
      </c>
      <c r="B45" s="57">
        <v>56568.171470000001</v>
      </c>
      <c r="C45" s="58">
        <f>IF(OR(97282.55033="",56568.17147=""),"-",56568.17147/97282.55033*100)</f>
        <v>58.148322878163185</v>
      </c>
      <c r="D45" s="57">
        <f>IF(97282.55033="","-",97282.55033/2779164.46518*100)</f>
        <v>3.5004243739025802</v>
      </c>
      <c r="E45" s="57">
        <f>IF(56568.17147="","-",56568.17147/2485159.94474*100)</f>
        <v>2.2762386618104862</v>
      </c>
      <c r="F45" s="58">
        <f>IF(OR(2706173.30142="",71809.16113="",97282.55033=""),"-",(97282.55033-71809.16113)/2706173.30142*100)</f>
        <v>0.94130664827095334</v>
      </c>
      <c r="G45" s="58">
        <f>IF(OR(2779164.46518="",56568.17147="",97282.55033=""),"-",(56568.17147-97282.55033)/2779164.46518*100)</f>
        <v>-1.4649863068597857</v>
      </c>
    </row>
    <row r="46" spans="1:7" s="9" customFormat="1" ht="38.25" x14ac:dyDescent="0.25">
      <c r="A46" s="56" t="s">
        <v>193</v>
      </c>
      <c r="B46" s="57">
        <v>11514.70515</v>
      </c>
      <c r="C46" s="58">
        <f>IF(OR(15104.1622="",11514.70515=""),"-",11514.70515/15104.1622*100)</f>
        <v>76.235311813587387</v>
      </c>
      <c r="D46" s="57">
        <f>IF(15104.1622="","-",15104.1622/2779164.46518*100)</f>
        <v>0.54347853066053575</v>
      </c>
      <c r="E46" s="57">
        <f>IF(11514.70515="","-",11514.70515/2485159.94474*100)</f>
        <v>0.46333859413643008</v>
      </c>
      <c r="F46" s="58">
        <f>IF(OR(2706173.30142="",20999.2955599999="",15104.1622=""),"-",(15104.1622-20999.2955599999)/2706173.30142*100)</f>
        <v>-0.21784020102875779</v>
      </c>
      <c r="G46" s="58">
        <f>IF(OR(2779164.46518="",11514.70515="",15104.1622=""),"-",(11514.70515-15104.1622)/2779164.46518*100)</f>
        <v>-0.12915597817157323</v>
      </c>
    </row>
    <row r="47" spans="1:7" s="9" customFormat="1" x14ac:dyDescent="0.25">
      <c r="A47" s="56" t="s">
        <v>194</v>
      </c>
      <c r="B47" s="57">
        <v>37.308390000000003</v>
      </c>
      <c r="C47" s="58">
        <f>IF(OR(45.66446="",37.30839=""),"-",37.30839/45.66446*100)</f>
        <v>81.701152274657375</v>
      </c>
      <c r="D47" s="57">
        <f>IF(45.66446="","-",45.66446/2779164.46518*100)</f>
        <v>1.643100312058805E-3</v>
      </c>
      <c r="E47" s="57">
        <f>IF(37.30839="","-",37.30839/2485159.94474*100)</f>
        <v>1.5012470355868078E-3</v>
      </c>
      <c r="F47" s="58">
        <f>IF(OR(2706173.30142="",36.52661="",45.66446=""),"-",(45.66446-36.52661)/2706173.30142*100)</f>
        <v>3.3766684473626025E-4</v>
      </c>
      <c r="G47" s="58">
        <f>IF(OR(2779164.46518="",37.30839="",45.66446=""),"-",(37.30839-45.66446)/2779164.46518*100)</f>
        <v>-3.006684240782703E-4</v>
      </c>
    </row>
    <row r="48" spans="1:7" x14ac:dyDescent="0.25">
      <c r="A48" s="56" t="s">
        <v>28</v>
      </c>
      <c r="B48" s="57">
        <v>1998.75001</v>
      </c>
      <c r="C48" s="58">
        <f>IF(OR(2069.12704="",1998.75001=""),"-",1998.75001/2069.12704*100)</f>
        <v>96.598709086514091</v>
      </c>
      <c r="D48" s="57">
        <f>IF(2069.12704="","-",2069.12704/2779164.46518*100)</f>
        <v>7.4451406741989537E-2</v>
      </c>
      <c r="E48" s="57">
        <f>IF(1998.75001="","-",1998.75001/2485159.94474*100)</f>
        <v>8.042741933896376E-2</v>
      </c>
      <c r="F48" s="58">
        <f>IF(OR(2706173.30142="",2214.5434="",2069.12704=""),"-",(2069.12704-2214.5434)/2706173.30142*100)</f>
        <v>-5.3735050864516477E-3</v>
      </c>
      <c r="G48" s="58">
        <f>IF(OR(2779164.46518="",1998.75001="",2069.12704=""),"-",(1998.75001-2069.12704)/2779164.46518*100)</f>
        <v>-2.5323089324777231E-3</v>
      </c>
    </row>
    <row r="49" spans="1:7" x14ac:dyDescent="0.25">
      <c r="A49" s="56" t="s">
        <v>29</v>
      </c>
      <c r="B49" s="57">
        <v>2599.8964000000001</v>
      </c>
      <c r="C49" s="58">
        <f>IF(OR(2435.22745="",2599.8964=""),"-",2599.8964/2435.22745*100)</f>
        <v>106.76195359082374</v>
      </c>
      <c r="D49" s="57">
        <f>IF(2435.22745="","-",2435.22745/2779164.46518*100)</f>
        <v>8.7624445422746014E-2</v>
      </c>
      <c r="E49" s="57">
        <f>IF(2599.8964="","-",2599.8964/2485159.94474*100)</f>
        <v>0.1046168640172576</v>
      </c>
      <c r="F49" s="58">
        <f>IF(OR(2706173.30142="",1946.43363="",2435.22745=""),"-",(2435.22745-1946.43363)/2706173.30142*100)</f>
        <v>1.8062177309321505E-2</v>
      </c>
      <c r="G49" s="58">
        <f>IF(OR(2779164.46518="",2599.8964="",2435.22745=""),"-",(2599.8964-2435.22745)/2779164.46518*100)</f>
        <v>5.9251243337027559E-3</v>
      </c>
    </row>
    <row r="50" spans="1:7" ht="14.25" customHeight="1" x14ac:dyDescent="0.25">
      <c r="A50" s="56" t="s">
        <v>195</v>
      </c>
      <c r="B50" s="57">
        <v>3059.5881100000001</v>
      </c>
      <c r="C50" s="58">
        <f>IF(OR(2347.27557="",3059.58811=""),"-",3059.58811/2347.27557*100)</f>
        <v>130.34635341090353</v>
      </c>
      <c r="D50" s="57">
        <f>IF(2347.27557="","-",2347.27557/2779164.46518*100)</f>
        <v>8.4459757578541586E-2</v>
      </c>
      <c r="E50" s="57">
        <f>IF(3059.58811="","-",3059.58811/2485159.94474*100)</f>
        <v>0.12311433380679637</v>
      </c>
      <c r="F50" s="58">
        <f>IF(OR(2706173.30142="",2693.59515="",2347.27557=""),"-",(2347.27557-2693.59515)/2706173.30142*100)</f>
        <v>-1.2797391054677738E-2</v>
      </c>
      <c r="G50" s="58">
        <f>IF(OR(2779164.46518="",3059.58811="",2347.27557=""),"-",(3059.58811-2347.27557)/2779164.46518*100)</f>
        <v>2.5630456524776614E-2</v>
      </c>
    </row>
    <row r="51" spans="1:7" ht="25.5" x14ac:dyDescent="0.25">
      <c r="A51" s="67" t="s">
        <v>238</v>
      </c>
      <c r="B51" s="54">
        <v>173513.11601</v>
      </c>
      <c r="C51" s="55">
        <f>IF(172348.73683="","-",173513.11601/172348.73683*100)</f>
        <v>100.67559484416093</v>
      </c>
      <c r="D51" s="54">
        <f>IF(172348.73683="","-",172348.73683/2779164.46518*100)</f>
        <v>6.2014587113986215</v>
      </c>
      <c r="E51" s="54">
        <f>IF(173513.11601="","-",173513.11601/2485159.94474*100)</f>
        <v>6.9819697672679624</v>
      </c>
      <c r="F51" s="55">
        <f>IF(2706173.30142="","-",(172348.73683-179824.05086)/2706173.30142*100)</f>
        <v>-0.27623190377635781</v>
      </c>
      <c r="G51" s="55">
        <f>IF(2779164.46518="","-",(173513.11601-172348.73683)/2779164.46518*100)</f>
        <v>4.1896735316978621E-2</v>
      </c>
    </row>
    <row r="52" spans="1:7" x14ac:dyDescent="0.25">
      <c r="A52" s="56" t="s">
        <v>196</v>
      </c>
      <c r="B52" s="57">
        <v>836.45173999999997</v>
      </c>
      <c r="C52" s="58">
        <f>IF(OR(597.14123="",836.45174=""),"-",836.45174/597.14123*100)</f>
        <v>140.07603192966596</v>
      </c>
      <c r="D52" s="57">
        <f>IF(597.14123="","-",597.14123/2779164.46518*100)</f>
        <v>2.1486358129630324E-2</v>
      </c>
      <c r="E52" s="57">
        <f>IF(836.45174="","-",836.45174/2485159.94474*100)</f>
        <v>3.3657863421241899E-2</v>
      </c>
      <c r="F52" s="58">
        <f>IF(OR(2706173.30142="",1382.97503="",597.14123=""),"-",(597.14123-1382.97503)/2706173.30142*100)</f>
        <v>-2.9038561558036677E-2</v>
      </c>
      <c r="G52" s="58">
        <f>IF(OR(2779164.46518="",836.45174="",597.14123=""),"-",(836.45174-597.14123)/2779164.46518*100)</f>
        <v>8.6108797445530252E-3</v>
      </c>
    </row>
    <row r="53" spans="1:7" x14ac:dyDescent="0.25">
      <c r="A53" s="56" t="s">
        <v>30</v>
      </c>
      <c r="B53" s="57">
        <v>2256.0634100000002</v>
      </c>
      <c r="C53" s="58">
        <f>IF(OR(2423.18592="",2256.06341=""),"-",2256.06341/2423.18592*100)</f>
        <v>93.10319077786653</v>
      </c>
      <c r="D53" s="57">
        <f>IF(2423.18592="","-",2423.18592/2779164.46518*100)</f>
        <v>8.7191166638749318E-2</v>
      </c>
      <c r="E53" s="57">
        <f>IF(2256.06341="","-",2256.06341/2485159.94474*100)</f>
        <v>9.0781416897335029E-2</v>
      </c>
      <c r="F53" s="58">
        <f>IF(OR(2706173.30142="",1299.37453="",2423.18592=""),"-",(2423.18592-1299.37453)/2706173.30142*100)</f>
        <v>4.1527694823177315E-2</v>
      </c>
      <c r="G53" s="58">
        <f>IF(OR(2779164.46518="",2256.06341="",2423.18592=""),"-",(2256.06341-2423.18592)/2779164.46518*100)</f>
        <v>-6.013408421627022E-3</v>
      </c>
    </row>
    <row r="54" spans="1:7" ht="15.75" customHeight="1" x14ac:dyDescent="0.25">
      <c r="A54" s="56" t="s">
        <v>197</v>
      </c>
      <c r="B54" s="57">
        <v>19349.423750000002</v>
      </c>
      <c r="C54" s="58">
        <f>IF(OR(20215.36621="",19349.42375=""),"-",19349.42375/20215.36621*100)</f>
        <v>95.716414676813315</v>
      </c>
      <c r="D54" s="57">
        <f>IF(20215.36621="","-",20215.36621/2779164.46518*100)</f>
        <v>0.72739006500972581</v>
      </c>
      <c r="E54" s="57">
        <f>IF(19349.42375="","-",19349.42375/2485159.94474*100)</f>
        <v>0.77859872926707574</v>
      </c>
      <c r="F54" s="58">
        <f>IF(OR(2706173.30142="",17119.74855="",20215.36621=""),"-",(20215.36621-17119.74855)/2706173.30142*100)</f>
        <v>0.11439096152399585</v>
      </c>
      <c r="G54" s="58">
        <f>IF(OR(2779164.46518="",19349.42375="",20215.36621=""),"-",(19349.42375-20215.36621)/2779164.46518*100)</f>
        <v>-3.115837406707463E-2</v>
      </c>
    </row>
    <row r="55" spans="1:7" ht="25.5" x14ac:dyDescent="0.25">
      <c r="A55" s="56" t="s">
        <v>198</v>
      </c>
      <c r="B55" s="57">
        <v>8986.9047399999999</v>
      </c>
      <c r="C55" s="58">
        <f>IF(OR(10524.78955="",8986.90474=""),"-",8986.90474/10524.78955*100)</f>
        <v>85.387975667408952</v>
      </c>
      <c r="D55" s="57">
        <f>IF(10524.78955="","-",10524.78955/2779164.46518*100)</f>
        <v>0.37870337224962808</v>
      </c>
      <c r="E55" s="57">
        <f>IF(8986.90474="","-",8986.90474/2485159.94474*100)</f>
        <v>0.36162279047758505</v>
      </c>
      <c r="F55" s="58">
        <f>IF(OR(2706173.30142="",9437.05731="",10524.78955=""),"-",(10524.78955-9437.05731)/2706173.30142*100)</f>
        <v>4.0194478285231691E-2</v>
      </c>
      <c r="G55" s="58">
        <f>IF(OR(2779164.46518="",8986.90474="",10524.78955=""),"-",(8986.90474-10524.78955)/2779164.46518*100)</f>
        <v>-5.5336228901458499E-2</v>
      </c>
    </row>
    <row r="56" spans="1:7" ht="25.5" x14ac:dyDescent="0.25">
      <c r="A56" s="56" t="s">
        <v>199</v>
      </c>
      <c r="B56" s="57">
        <v>62296.019829999997</v>
      </c>
      <c r="C56" s="58">
        <f>IF(OR(61831.153="",62296.01983=""),"-",62296.01983/61831.153*100)</f>
        <v>100.75183270478556</v>
      </c>
      <c r="D56" s="57">
        <f>IF(61831.153="","-",61831.153/2779164.46518*100)</f>
        <v>2.2248108658080206</v>
      </c>
      <c r="E56" s="57">
        <f>IF(62296.01983="","-",62296.01983/2485159.94474*100)</f>
        <v>2.5067207429386387</v>
      </c>
      <c r="F56" s="58">
        <f>IF(OR(2706173.30142="",71063.64061="",61831.153=""),"-",(61831.153-71063.64061)/2706173.30142*100)</f>
        <v>-0.34116394560375995</v>
      </c>
      <c r="G56" s="58">
        <f>IF(OR(2779164.46518="",62296.01983="",61831.153=""),"-",(62296.01983-61831.153)/2779164.46518*100)</f>
        <v>1.6726855708767516E-2</v>
      </c>
    </row>
    <row r="57" spans="1:7" x14ac:dyDescent="0.25">
      <c r="A57" s="56" t="s">
        <v>31</v>
      </c>
      <c r="B57" s="57">
        <v>50074.342779999999</v>
      </c>
      <c r="C57" s="58">
        <f>IF(OR(47970.79536="",50074.34278=""),"-",50074.34278/47970.79536*100)</f>
        <v>104.38505845945183</v>
      </c>
      <c r="D57" s="57">
        <f>IF(47970.79536="","-",47970.79536/2779164.46518*100)</f>
        <v>1.7260869574659392</v>
      </c>
      <c r="E57" s="57">
        <f>IF(50074.34278="","-",50074.34278/2485159.94474*100)</f>
        <v>2.0149344063743482</v>
      </c>
      <c r="F57" s="58">
        <f>IF(OR(2706173.30142="",49636.85374="",47970.79536=""),"-",(47970.79536-49636.85374)/2706173.30142*100)</f>
        <v>-6.1565102986042231E-2</v>
      </c>
      <c r="G57" s="58">
        <f>IF(OR(2779164.46518="",50074.34278="",47970.79536=""),"-",(50074.34278-47970.79536)/2779164.46518*100)</f>
        <v>7.5689922145854752E-2</v>
      </c>
    </row>
    <row r="58" spans="1:7" ht="15.75" customHeight="1" x14ac:dyDescent="0.25">
      <c r="A58" s="56" t="s">
        <v>200</v>
      </c>
      <c r="B58" s="57">
        <v>1467.4604200000001</v>
      </c>
      <c r="C58" s="58">
        <f>IF(OR(3364.26063="",1467.46042=""),"-",1467.46042/3364.26063*100)</f>
        <v>43.619106287850244</v>
      </c>
      <c r="D58" s="57">
        <f>IF(3364.26063="","-",3364.26063/2779164.46518*100)</f>
        <v>0.12105295214265434</v>
      </c>
      <c r="E58" s="57">
        <f>IF(1467.46042="","-",1467.46042/2485159.94474*100)</f>
        <v>5.9048932568946867E-2</v>
      </c>
      <c r="F58" s="58">
        <f>IF(OR(2706173.30142="",4152.63822="",3364.26063=""),"-",(3364.26063-4152.63822)/2706173.30142*100)</f>
        <v>-2.9132561081225552E-2</v>
      </c>
      <c r="G58" s="58">
        <f>IF(OR(2779164.46518="",1467.46042="",3364.26063=""),"-",(1467.46042-3364.26063)/2779164.46518*100)</f>
        <v>-6.8250736282969446E-2</v>
      </c>
    </row>
    <row r="59" spans="1:7" x14ac:dyDescent="0.25">
      <c r="A59" s="56" t="s">
        <v>32</v>
      </c>
      <c r="B59" s="57">
        <v>2167.6635999999999</v>
      </c>
      <c r="C59" s="58">
        <f>IF(OR(1652.10748="",2167.6636=""),"-",2167.6636/1652.10748*100)</f>
        <v>131.20596730183681</v>
      </c>
      <c r="D59" s="57">
        <f>IF(1652.10748="","-",1652.10748/2779164.46518*100)</f>
        <v>5.9446193296552416E-2</v>
      </c>
      <c r="E59" s="57">
        <f>IF(2167.6636="","-",2167.6636/2485159.94474*100)</f>
        <v>8.7224309428775335E-2</v>
      </c>
      <c r="F59" s="58">
        <f>IF(OR(2706173.30142="",2149.39983="",1652.10748=""),"-",(1652.10748-2149.39983)/2706173.30142*100)</f>
        <v>-1.8376219650790938E-2</v>
      </c>
      <c r="G59" s="58">
        <f>IF(OR(2779164.46518="",2167.6636="",1652.10748=""),"-",(2167.6636-1652.10748)/2779164.46518*100)</f>
        <v>1.8550759642308848E-2</v>
      </c>
    </row>
    <row r="60" spans="1:7" x14ac:dyDescent="0.25">
      <c r="A60" s="56" t="s">
        <v>33</v>
      </c>
      <c r="B60" s="57">
        <v>26078.785739999999</v>
      </c>
      <c r="C60" s="58">
        <f>IF(OR(23769.93745="",26078.78574=""),"-",26078.78574/23769.93745*100)</f>
        <v>109.71331243448432</v>
      </c>
      <c r="D60" s="57">
        <f>IF(23769.93745="","-",23769.93745/2779164.46518*100)</f>
        <v>0.85529078065772113</v>
      </c>
      <c r="E60" s="57">
        <f>IF(26078.78574="","-",26078.78574/2485159.94474*100)</f>
        <v>1.0493805758940151</v>
      </c>
      <c r="F60" s="58">
        <f>IF(OR(2706173.30142="",23582.36304="",23769.93745=""),"-",(23769.93745-23582.36304)/2706173.30142*100)</f>
        <v>6.9313524710917776E-3</v>
      </c>
      <c r="G60" s="58">
        <f>IF(OR(2779164.46518="",26078.78574="",23769.93745=""),"-",(26078.78574-23769.93745)/2779164.46518*100)</f>
        <v>8.3077065748624543E-2</v>
      </c>
    </row>
    <row r="61" spans="1:7" ht="15.75" customHeight="1" x14ac:dyDescent="0.25">
      <c r="A61" s="67" t="s">
        <v>201</v>
      </c>
      <c r="B61" s="54">
        <v>566858.60397000005</v>
      </c>
      <c r="C61" s="55">
        <f>IF(648446.72128="","-",566858.60397/648446.72128*100)</f>
        <v>87.417915052612301</v>
      </c>
      <c r="D61" s="54">
        <f>IF(648446.72128="","-",648446.72128/2779164.46518*100)</f>
        <v>23.332434240735072</v>
      </c>
      <c r="E61" s="54">
        <f>IF(566858.60397="","-",566858.60397/2485159.94474*100)</f>
        <v>22.80974329921068</v>
      </c>
      <c r="F61" s="55">
        <f>IF(2706173.30142="","-",(648446.72128-586265.27523)/2706173.30142*100)</f>
        <v>2.2977628970536292</v>
      </c>
      <c r="G61" s="55">
        <f>IF(2779164.46518="","-",(566858.60397-648446.72128)/2779164.46518*100)</f>
        <v>-2.9357066964626628</v>
      </c>
    </row>
    <row r="62" spans="1:7" ht="25.5" x14ac:dyDescent="0.25">
      <c r="A62" s="56" t="s">
        <v>202</v>
      </c>
      <c r="B62" s="57">
        <v>1934.5950800000001</v>
      </c>
      <c r="C62" s="58">
        <f>IF(OR(4207.58276="",1934.59508=""),"-",1934.59508/4207.58276*100)</f>
        <v>45.978776659879649</v>
      </c>
      <c r="D62" s="57">
        <f>IF(4207.58276="","-",4207.58276/2779164.46518*100)</f>
        <v>0.1513974006474455</v>
      </c>
      <c r="E62" s="57">
        <f>IF(1934.59508="","-",1934.59508/2485159.94474*100)</f>
        <v>7.7845898172256234E-2</v>
      </c>
      <c r="F62" s="58">
        <f>IF(OR(2706173.30142="",3007.46431="",4207.58276=""),"-",(4207.58276-3007.46431)/2706173.30142*100)</f>
        <v>4.4347435153922588E-2</v>
      </c>
      <c r="G62" s="58">
        <f>IF(OR(2779164.46518="",1934.59508="",4207.58276=""),"-",(1934.59508-4207.58276)/2779164.46518*100)</f>
        <v>-8.1786727934893347E-2</v>
      </c>
    </row>
    <row r="63" spans="1:7" ht="25.5" x14ac:dyDescent="0.25">
      <c r="A63" s="56" t="s">
        <v>203</v>
      </c>
      <c r="B63" s="57">
        <v>14830.644190000001</v>
      </c>
      <c r="C63" s="58">
        <f>IF(OR(14299.33319="",14830.64419=""),"-",14830.64419/14299.33319*100)</f>
        <v>103.71563479877206</v>
      </c>
      <c r="D63" s="57">
        <f>IF(14299.33319="","-",14299.33319/2779164.46518*100)</f>
        <v>0.51451914304301039</v>
      </c>
      <c r="E63" s="57">
        <f>IF(14830.64419="","-",14830.64419/2485159.94474*100)</f>
        <v>0.59676819680721183</v>
      </c>
      <c r="F63" s="58">
        <f>IF(OR(2706173.30142="",13380.52533="",14299.33319=""),"-",(14299.33319-13380.52533)/2706173.30142*100)</f>
        <v>3.3952291951068928E-2</v>
      </c>
      <c r="G63" s="58">
        <f>IF(OR(2779164.46518="",14830.64419="",14299.33319=""),"-",(14830.64419-14299.33319)/2779164.46518*100)</f>
        <v>1.911765232524984E-2</v>
      </c>
    </row>
    <row r="64" spans="1:7" ht="25.5" x14ac:dyDescent="0.25">
      <c r="A64" s="56" t="s">
        <v>204</v>
      </c>
      <c r="B64" s="57">
        <v>2985.7558899999999</v>
      </c>
      <c r="C64" s="58">
        <f>IF(OR(2553.40913="",2985.75589=""),"-",2985.75589/2553.40913*100)</f>
        <v>116.93213809414083</v>
      </c>
      <c r="D64" s="57">
        <f>IF(2553.40913="","-",2553.40913/2779164.46518*100)</f>
        <v>9.1876863064115993E-2</v>
      </c>
      <c r="E64" s="57">
        <f>IF(2985.75589="","-",2985.75589/2485159.94474*100)</f>
        <v>0.12014340953464758</v>
      </c>
      <c r="F64" s="58">
        <f>IF(OR(2706173.30142="",2268.02272="",2553.40913=""),"-",(2553.40913-2268.02272)/2706173.30142*100)</f>
        <v>1.054575513882464E-2</v>
      </c>
      <c r="G64" s="58">
        <f>IF(OR(2779164.46518="",2985.75589="",2553.40913=""),"-",(2985.75589-2553.40913)/2779164.46518*100)</f>
        <v>1.555671733058079E-2</v>
      </c>
    </row>
    <row r="65" spans="1:7" ht="38.25" x14ac:dyDescent="0.25">
      <c r="A65" s="56" t="s">
        <v>205</v>
      </c>
      <c r="B65" s="57">
        <v>20157.178220000002</v>
      </c>
      <c r="C65" s="58">
        <f>IF(OR(24032.45455="",20157.17822=""),"-",20157.17822/24032.45455*100)</f>
        <v>83.874820934593231</v>
      </c>
      <c r="D65" s="57">
        <f>IF(24032.45455="","-",24032.45455/2779164.46518*100)</f>
        <v>0.86473668079386135</v>
      </c>
      <c r="E65" s="57">
        <f>IF(20157.17822="","-",20157.17822/2485159.94474*100)</f>
        <v>0.81110184729413315</v>
      </c>
      <c r="F65" s="58">
        <f>IF(OR(2706173.30142="",20216.33181="",24032.45455=""),"-",(24032.45455-20216.33181)/2706173.30142*100)</f>
        <v>0.14101546039189655</v>
      </c>
      <c r="G65" s="58">
        <f>IF(OR(2779164.46518="",20157.17822="",24032.45455=""),"-",(20157.17822-24032.45455)/2779164.46518*100)</f>
        <v>-0.13944033822226512</v>
      </c>
    </row>
    <row r="66" spans="1:7" ht="25.5" x14ac:dyDescent="0.25">
      <c r="A66" s="56" t="s">
        <v>206</v>
      </c>
      <c r="B66" s="57">
        <v>2147.5580399999999</v>
      </c>
      <c r="C66" s="58" t="s">
        <v>105</v>
      </c>
      <c r="D66" s="57">
        <f>IF(1369.58045="","-",1369.58045/2779164.46518*100)</f>
        <v>4.928029510881414E-2</v>
      </c>
      <c r="E66" s="57">
        <f>IF(2147.55804="","-",2147.55804/2485159.94474*100)</f>
        <v>8.6415284639744974E-2</v>
      </c>
      <c r="F66" s="58">
        <f>IF(OR(2706173.30142="",1158.27364="",1369.58045=""),"-",(1369.58045-1158.27364)/2706173.30142*100)</f>
        <v>7.808325131621165E-3</v>
      </c>
      <c r="G66" s="58">
        <f>IF(OR(2779164.46518="",2147.55804="",1369.58045=""),"-",(2147.55804-1369.58045)/2779164.46518*100)</f>
        <v>2.7993218816203175E-2</v>
      </c>
    </row>
    <row r="67" spans="1:7" ht="38.25" x14ac:dyDescent="0.25">
      <c r="A67" s="56" t="s">
        <v>207</v>
      </c>
      <c r="B67" s="57">
        <v>2511.97838</v>
      </c>
      <c r="C67" s="58">
        <f>IF(OR(4348.72817="",2511.97838=""),"-",2511.97838/4348.72817*100)</f>
        <v>57.763518017268943</v>
      </c>
      <c r="D67" s="57">
        <f>IF(4348.72817="","-",4348.72817/2779164.46518*100)</f>
        <v>0.1564761000827759</v>
      </c>
      <c r="E67" s="57">
        <f>IF(2511.97838="","-",2511.97838/2485159.94474*100)</f>
        <v>0.10107914322845749</v>
      </c>
      <c r="F67" s="58">
        <f>IF(OR(2706173.30142="",3740.42402="",4348.72817=""),"-",(4348.72817-3740.42402)/2706173.30142*100)</f>
        <v>2.2478388567384332E-2</v>
      </c>
      <c r="G67" s="58">
        <f>IF(OR(2779164.46518="",2511.97838="",4348.72817=""),"-",(2511.97838-4348.72817)/2779164.46518*100)</f>
        <v>-6.6089999818741876E-2</v>
      </c>
    </row>
    <row r="68" spans="1:7" ht="39.75" customHeight="1" x14ac:dyDescent="0.25">
      <c r="A68" s="56" t="s">
        <v>208</v>
      </c>
      <c r="B68" s="57">
        <v>474667.13413000002</v>
      </c>
      <c r="C68" s="58">
        <f>IF(OR(571171.61231="",474667.13413=""),"-",474667.13413/571171.61231*100)</f>
        <v>83.104118604616033</v>
      </c>
      <c r="D68" s="57">
        <f>IF(571171.61231="","-",571171.61231/2779164.46518*100)</f>
        <v>20.551918372092693</v>
      </c>
      <c r="E68" s="57">
        <f>IF(474667.13413="","-",474667.13413/2485159.94474*100)</f>
        <v>19.100063765902203</v>
      </c>
      <c r="F68" s="58">
        <f>IF(OR(2706173.30142="",521267.41474="",571171.61231=""),"-",(571171.61231-521267.41474)/2706173.30142*100)</f>
        <v>1.8440872779217052</v>
      </c>
      <c r="G68" s="58">
        <f>IF(OR(2779164.46518="",474667.13413="",571171.61231=""),"-",(474667.13413-571171.61231)/2779164.46518*100)</f>
        <v>-3.4724277526249105</v>
      </c>
    </row>
    <row r="69" spans="1:7" ht="25.5" x14ac:dyDescent="0.25">
      <c r="A69" s="56" t="s">
        <v>209</v>
      </c>
      <c r="B69" s="57">
        <v>29056.88017</v>
      </c>
      <c r="C69" s="58">
        <f>IF(OR(23386.89318="",29056.88017=""),"-",29056.88017/23386.89318*100)</f>
        <v>124.24429335850758</v>
      </c>
      <c r="D69" s="57">
        <f>IF(23386.89318="","-",23386.89318/2779164.46518*100)</f>
        <v>0.84150806737107908</v>
      </c>
      <c r="E69" s="57">
        <f>IF(29056.88017="","-",29056.88017/2485159.94474*100)</f>
        <v>1.1692156970218655</v>
      </c>
      <c r="F69" s="58">
        <f>IF(OR(2706173.30142="",20147.13158="",23386.89318=""),"-",(23386.89318-20147.13158)/2706173.30142*100)</f>
        <v>0.11971744744876502</v>
      </c>
      <c r="G69" s="58">
        <f>IF(OR(2779164.46518="",29056.88017="",23386.89318=""),"-",(29056.88017-23386.89318)/2779164.46518*100)</f>
        <v>0.20401768448895197</v>
      </c>
    </row>
    <row r="70" spans="1:7" x14ac:dyDescent="0.25">
      <c r="A70" s="56" t="s">
        <v>34</v>
      </c>
      <c r="B70" s="57">
        <v>18566.879870000001</v>
      </c>
      <c r="C70" s="58" t="s">
        <v>274</v>
      </c>
      <c r="D70" s="57">
        <f>IF(3077.12754="","-",3077.12754/2779164.46518*100)</f>
        <v>0.1107213185312767</v>
      </c>
      <c r="E70" s="57">
        <f>IF(18566.87987="","-",18566.87987/2485159.94474*100)</f>
        <v>0.7471100566101585</v>
      </c>
      <c r="F70" s="58">
        <f>IF(OR(2706173.30142="",1079.68708="",3077.12754=""),"-",(3077.12754-1079.68708)/2706173.30142*100)</f>
        <v>7.38105153484402E-2</v>
      </c>
      <c r="G70" s="58">
        <f>IF(OR(2779164.46518="",18566.87987="",3077.12754=""),"-",(18566.87987-3077.12754)/2779164.46518*100)</f>
        <v>0.55735284917716332</v>
      </c>
    </row>
    <row r="71" spans="1:7" x14ac:dyDescent="0.25">
      <c r="A71" s="67" t="s">
        <v>35</v>
      </c>
      <c r="B71" s="54">
        <v>518377.90529000002</v>
      </c>
      <c r="C71" s="55">
        <f>IF(580551.69884="","-",518377.90529/580551.69884*100)</f>
        <v>89.290567287249473</v>
      </c>
      <c r="D71" s="54">
        <f>IF(580551.69884="","-",580551.69884/2779164.46518*100)</f>
        <v>20.889432997352284</v>
      </c>
      <c r="E71" s="54">
        <f>IF(518377.90529="","-",518377.90529/2485159.94474*100)</f>
        <v>20.858935312681986</v>
      </c>
      <c r="F71" s="55">
        <f>IF(2706173.30142="","-",(580551.69884-612093.05844)/2706173.30142*100)</f>
        <v>-1.1655336183920486</v>
      </c>
      <c r="G71" s="55">
        <f>IF(2779164.46518="","-",(518377.90529-580551.69884)/2779164.46518*100)</f>
        <v>-2.2371397709265506</v>
      </c>
    </row>
    <row r="72" spans="1:7" ht="38.25" x14ac:dyDescent="0.25">
      <c r="A72" s="56" t="s">
        <v>235</v>
      </c>
      <c r="B72" s="57">
        <v>11738.55179</v>
      </c>
      <c r="C72" s="58">
        <f>IF(OR(9285.84945="",11738.55179=""),"-",11738.55179/9285.84945*100)</f>
        <v>126.41333303115312</v>
      </c>
      <c r="D72" s="57">
        <f>IF(9285.84945="","-",9285.84945/2779164.46518*100)</f>
        <v>0.33412378311330265</v>
      </c>
      <c r="E72" s="57">
        <f>IF(11738.55179="","-",11738.55179/2485159.94474*100)</f>
        <v>0.47234592746617354</v>
      </c>
      <c r="F72" s="58">
        <f>IF(OR(2706173.30142="",8456.32762="",9285.84945=""),"-",(9285.84945-8456.32762)/2706173.30142*100)</f>
        <v>3.0652945602734603E-2</v>
      </c>
      <c r="G72" s="58">
        <f>IF(OR(2779164.46518="",11738.55179="",9285.84945=""),"-",(11738.55179-9285.84945)/2779164.46518*100)</f>
        <v>8.8253227570004367E-2</v>
      </c>
    </row>
    <row r="73" spans="1:7" x14ac:dyDescent="0.25">
      <c r="A73" s="56" t="s">
        <v>210</v>
      </c>
      <c r="B73" s="57">
        <v>139382.02158999999</v>
      </c>
      <c r="C73" s="58">
        <f>IF(OR(145211.20114="",139382.02159=""),"-",139382.02159/145211.20114*100)</f>
        <v>95.985723205760138</v>
      </c>
      <c r="D73" s="57">
        <f>IF(145211.20114="","-",145211.20114/2779164.46518*100)</f>
        <v>5.2249948845900711</v>
      </c>
      <c r="E73" s="57">
        <f>IF(139382.02159="","-",139382.02159/2485159.94474*100)</f>
        <v>5.6085734797476894</v>
      </c>
      <c r="F73" s="58">
        <f>IF(OR(2706173.30142="",157688.88068="",145211.20114=""),"-",(145211.20114-157688.88068)/2706173.30142*100)</f>
        <v>-0.46108205758487997</v>
      </c>
      <c r="G73" s="58">
        <f>IF(OR(2779164.46518="",139382.02159="",145211.20114=""),"-",(139382.02159-145211.20114)/2779164.46518*100)</f>
        <v>-0.20974575715231947</v>
      </c>
    </row>
    <row r="74" spans="1:7" x14ac:dyDescent="0.25">
      <c r="A74" s="56" t="s">
        <v>211</v>
      </c>
      <c r="B74" s="57">
        <v>11986.618329999999</v>
      </c>
      <c r="C74" s="58">
        <f>IF(OR(14615.93197="",11986.61833=""),"-",11986.61833/14615.93197*100)</f>
        <v>82.010633017471548</v>
      </c>
      <c r="D74" s="57">
        <f>IF(14615.93197="","-",14615.93197/2779164.46518*100)</f>
        <v>0.52591101221688086</v>
      </c>
      <c r="E74" s="57">
        <f>IF(11986.61833="","-",11986.61833/2485159.94474*100)</f>
        <v>0.48232784193107736</v>
      </c>
      <c r="F74" s="58">
        <f>IF(OR(2706173.30142="",16356.92151="",14615.93197=""),"-",(14615.93197-16356.92151)/2706173.30142*100)</f>
        <v>-6.4334000305392769E-2</v>
      </c>
      <c r="G74" s="58">
        <f>IF(OR(2779164.46518="",11986.61833="",14615.93197=""),"-",(11986.61833-14615.93197)/2779164.46518*100)</f>
        <v>-9.4608061989224737E-2</v>
      </c>
    </row>
    <row r="75" spans="1:7" x14ac:dyDescent="0.25">
      <c r="A75" s="56" t="s">
        <v>212</v>
      </c>
      <c r="B75" s="57">
        <v>240698.18455999999</v>
      </c>
      <c r="C75" s="58">
        <f>IF(OR(277482.64994="",240698.18456=""),"-",240698.18456/277482.64994*100)</f>
        <v>86.743507967812079</v>
      </c>
      <c r="D75" s="57">
        <f>IF(277482.64994="","-",277482.64994/2779164.46518*100)</f>
        <v>9.9843911152637776</v>
      </c>
      <c r="E75" s="57">
        <f>IF(240698.18456="","-",240698.18456/2485159.94474*100)</f>
        <v>9.6854202510970406</v>
      </c>
      <c r="F75" s="58">
        <f>IF(OR(2706173.30142="",309030.97232="",277482.64994=""),"-",(277482.64994-309030.97232)/2706173.30142*100)</f>
        <v>-1.1657909108572535</v>
      </c>
      <c r="G75" s="58">
        <f>IF(OR(2779164.46518="",240698.18456="",277482.64994=""),"-",(240698.18456-277482.64994)/2779164.46518*100)</f>
        <v>-1.3235800126574206</v>
      </c>
    </row>
    <row r="76" spans="1:7" x14ac:dyDescent="0.25">
      <c r="A76" s="56" t="s">
        <v>213</v>
      </c>
      <c r="B76" s="57">
        <v>33382.534169999999</v>
      </c>
      <c r="C76" s="58">
        <f>IF(OR(34526.47376="",33382.53417=""),"-",33382.53417/34526.47376*100)</f>
        <v>96.686775493055734</v>
      </c>
      <c r="D76" s="57">
        <f>IF(34526.47376="","-",34526.47376/2779164.46518*100)</f>
        <v>1.2423328735157746</v>
      </c>
      <c r="E76" s="57">
        <f>IF(33382.53417="","-",33382.53417/2485159.94474*100)</f>
        <v>1.3432750773509072</v>
      </c>
      <c r="F76" s="58">
        <f>IF(OR(2706173.30142="",36019.71433="",34526.47376=""),"-",(34526.47376-36019.71433)/2706173.30142*100)</f>
        <v>-5.5179044491217882E-2</v>
      </c>
      <c r="G76" s="58">
        <f>IF(OR(2779164.46518="",33382.53417="",34526.47376=""),"-",(33382.53417-34526.47376)/2779164.46518*100)</f>
        <v>-4.1161277223149564E-2</v>
      </c>
    </row>
    <row r="77" spans="1:7" ht="25.5" x14ac:dyDescent="0.25">
      <c r="A77" s="56" t="s">
        <v>236</v>
      </c>
      <c r="B77" s="57">
        <v>24401.111639999999</v>
      </c>
      <c r="C77" s="58">
        <f>IF(OR(28671.26537="",24401.11164=""),"-",24401.11164/28671.26537*100)</f>
        <v>85.106504108227981</v>
      </c>
      <c r="D77" s="57">
        <f>IF(28671.26537="","-",28671.26537/2779164.46518*100)</f>
        <v>1.0316505456665384</v>
      </c>
      <c r="E77" s="57">
        <f>IF(24401.11164="","-",24401.11164/2485159.94474*100)</f>
        <v>0.98187288474717738</v>
      </c>
      <c r="F77" s="58">
        <f>IF(OR(2706173.30142="",23279.80167="",28671.26537=""),"-",(28671.26537-23279.80167)/2706173.30142*100)</f>
        <v>0.19922832352129699</v>
      </c>
      <c r="G77" s="58">
        <f>IF(OR(2779164.46518="",24401.11164="",28671.26537=""),"-",(24401.11164-28671.26537)/2779164.46518*100)</f>
        <v>-0.15364883163628942</v>
      </c>
    </row>
    <row r="78" spans="1:7" ht="25.5" x14ac:dyDescent="0.25">
      <c r="A78" s="56" t="s">
        <v>214</v>
      </c>
      <c r="B78" s="57">
        <v>2877.5743200000002</v>
      </c>
      <c r="C78" s="58">
        <f>IF(OR(4572.08806="",2877.57432=""),"-",2877.57432/4572.08806*100)</f>
        <v>62.9378586378321</v>
      </c>
      <c r="D78" s="57">
        <f>IF(4572.08806="","-",4572.08806/2779164.46518*100)</f>
        <v>0.16451304402036807</v>
      </c>
      <c r="E78" s="57">
        <f>IF(2877.57432="","-",2877.57432/2485159.94474*100)</f>
        <v>0.11579030661952243</v>
      </c>
      <c r="F78" s="58">
        <f>IF(OR(2706173.30142="",3799.74397="",4572.08806=""),"-",(4572.08806-3799.74397)/2706173.30142*100)</f>
        <v>2.8540082395858795E-2</v>
      </c>
      <c r="G78" s="58">
        <f>IF(OR(2779164.46518="",2877.57432="",4572.08806=""),"-",(2877.57432-4572.08806)/2779164.46518*100)</f>
        <v>-6.0972056934034319E-2</v>
      </c>
    </row>
    <row r="79" spans="1:7" x14ac:dyDescent="0.25">
      <c r="A79" s="63" t="s">
        <v>36</v>
      </c>
      <c r="B79" s="64">
        <v>53911.30889</v>
      </c>
      <c r="C79" s="65">
        <f>IF(OR(66186.23915="",53911.30889=""),"-",53911.30889/66186.23915*100)</f>
        <v>81.453954148715226</v>
      </c>
      <c r="D79" s="64">
        <f>IF(66186.23915="","-",66186.23915/2779164.46518*100)</f>
        <v>2.3815157389655695</v>
      </c>
      <c r="E79" s="64">
        <f>IF(53911.30889="","-",53911.30889/2485159.94474*100)</f>
        <v>2.1693295437223963</v>
      </c>
      <c r="F79" s="65">
        <f>IF(OR(2706173.30142="",57460.69634="",66186.23915=""),"-",(66186.23915-57460.69634)/2706173.30142*100)</f>
        <v>0.32243104332680655</v>
      </c>
      <c r="G79" s="65">
        <f>IF(OR(2779164.46518="",53911.30889="",66186.23915=""),"-",(53911.30889-66186.23915)/2779164.46518*100)</f>
        <v>-0.44167700090411799</v>
      </c>
    </row>
    <row r="80" spans="1:7" ht="25.5" x14ac:dyDescent="0.25">
      <c r="A80" s="68" t="s">
        <v>215</v>
      </c>
      <c r="B80" s="69">
        <v>613.10278000000005</v>
      </c>
      <c r="C80" s="70">
        <f>IF(879.32971="","-",613.10278/879.32971*100)</f>
        <v>69.723878657528815</v>
      </c>
      <c r="D80" s="69">
        <f>IF(879.32971="","-",879.32971/2779164.46518*100)</f>
        <v>3.1640074598573563E-2</v>
      </c>
      <c r="E80" s="69">
        <f>IF(613.10278="","-",613.10278/2485159.94474*100)</f>
        <v>2.4670556166723645E-2</v>
      </c>
      <c r="F80" s="70">
        <f>IF(2706173.30142="","-",(879.32971-1071.34655)/2706173.30142*100)</f>
        <v>-7.0955115808453116E-3</v>
      </c>
      <c r="G80" s="70">
        <f>IF(2779164.46518="","-",(613.10278-879.32971)/2779164.46518*100)</f>
        <v>-9.5793873783125323E-3</v>
      </c>
    </row>
    <row r="81" spans="1:1" x14ac:dyDescent="0.25">
      <c r="A81" s="25" t="s">
        <v>21</v>
      </c>
    </row>
  </sheetData>
  <mergeCells count="6">
    <mergeCell ref="A1:G1"/>
    <mergeCell ref="A2:G2"/>
    <mergeCell ref="A4:A5"/>
    <mergeCell ref="B4:C4"/>
    <mergeCell ref="D4:E4"/>
    <mergeCell ref="F4:G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K24" sqref="K24"/>
    </sheetView>
  </sheetViews>
  <sheetFormatPr defaultRowHeight="15.75" x14ac:dyDescent="0.25"/>
  <cols>
    <col min="1" max="1" width="27.5" customWidth="1"/>
    <col min="2" max="2" width="13.125" customWidth="1"/>
    <col min="3" max="3" width="10.875" customWidth="1"/>
    <col min="4" max="4" width="8" customWidth="1"/>
    <col min="5" max="5" width="8.125" customWidth="1"/>
    <col min="6" max="6" width="9.875" customWidth="1"/>
    <col min="7" max="7" width="9.125" customWidth="1"/>
  </cols>
  <sheetData>
    <row r="1" spans="1:7" x14ac:dyDescent="0.25">
      <c r="A1" s="98" t="s">
        <v>159</v>
      </c>
      <c r="B1" s="98"/>
      <c r="C1" s="98"/>
      <c r="D1" s="98"/>
      <c r="E1" s="98"/>
      <c r="F1" s="98"/>
      <c r="G1" s="98"/>
    </row>
    <row r="2" spans="1:7" x14ac:dyDescent="0.25">
      <c r="A2" s="98" t="s">
        <v>23</v>
      </c>
      <c r="B2" s="98"/>
      <c r="C2" s="98"/>
      <c r="D2" s="98"/>
      <c r="E2" s="98"/>
      <c r="F2" s="98"/>
      <c r="G2" s="98"/>
    </row>
    <row r="3" spans="1:7" x14ac:dyDescent="0.25">
      <c r="A3" s="5"/>
    </row>
    <row r="4" spans="1:7" ht="57" customHeight="1" x14ac:dyDescent="0.25">
      <c r="A4" s="100"/>
      <c r="B4" s="102">
        <v>2020</v>
      </c>
      <c r="C4" s="103"/>
      <c r="D4" s="102" t="s">
        <v>0</v>
      </c>
      <c r="E4" s="103"/>
      <c r="F4" s="104" t="s">
        <v>119</v>
      </c>
      <c r="G4" s="105"/>
    </row>
    <row r="5" spans="1:7" ht="32.25" customHeight="1" x14ac:dyDescent="0.25">
      <c r="A5" s="101"/>
      <c r="B5" s="41" t="s">
        <v>100</v>
      </c>
      <c r="C5" s="41" t="s">
        <v>275</v>
      </c>
      <c r="D5" s="23">
        <v>2019</v>
      </c>
      <c r="E5" s="23">
        <v>2020</v>
      </c>
      <c r="F5" s="23" t="s">
        <v>121</v>
      </c>
      <c r="G5" s="20" t="s">
        <v>139</v>
      </c>
    </row>
    <row r="6" spans="1:7" x14ac:dyDescent="0.25">
      <c r="A6" s="51" t="s">
        <v>131</v>
      </c>
      <c r="B6" s="52">
        <v>5415671.4530400001</v>
      </c>
      <c r="C6" s="53">
        <f>IF(5842484.3398="","-",5415671.45304/5842484.3398*100)</f>
        <v>92.694667851268719</v>
      </c>
      <c r="D6" s="52">
        <v>100</v>
      </c>
      <c r="E6" s="52">
        <v>100</v>
      </c>
      <c r="F6" s="53">
        <f>IF(5760057.05112="","-",(5842484.3398-5760057.05112)/5760057.05112*100)</f>
        <v>1.4310151435734975</v>
      </c>
      <c r="G6" s="53">
        <f>IF(5842484.3398="","-",(5415671.45304-5842484.3398)/5842484.3398*100)</f>
        <v>-7.305332148731285</v>
      </c>
    </row>
    <row r="7" spans="1:7" ht="12" customHeight="1" x14ac:dyDescent="0.25">
      <c r="A7" s="33" t="s">
        <v>136</v>
      </c>
      <c r="B7" s="28"/>
      <c r="C7" s="45"/>
      <c r="D7" s="28"/>
      <c r="E7" s="28"/>
      <c r="F7" s="45"/>
      <c r="G7" s="45"/>
    </row>
    <row r="8" spans="1:7" x14ac:dyDescent="0.25">
      <c r="A8" s="67" t="s">
        <v>216</v>
      </c>
      <c r="B8" s="54">
        <v>658539.03844000003</v>
      </c>
      <c r="C8" s="55">
        <f>IF(610574.0505="","-",658539.03844/610574.0505*100)</f>
        <v>107.85572002293931</v>
      </c>
      <c r="D8" s="54">
        <f>IF(610574.0505="","-",610574.0505/5842484.3398*100)</f>
        <v>10.45058942376046</v>
      </c>
      <c r="E8" s="54">
        <f>IF(658539.03844="","-",658539.03844/5415671.45304*100)</f>
        <v>12.159877942195694</v>
      </c>
      <c r="F8" s="55">
        <f>IF(5760057.05112="","-",(610574.0505-561399.07432)/5760057.05112*100)</f>
        <v>0.85372376946228845</v>
      </c>
      <c r="G8" s="55">
        <f>IF(5842484.3398="","-",(658539.03844-610574.0505)/5842484.3398*100)</f>
        <v>0.8209690458775275</v>
      </c>
    </row>
    <row r="9" spans="1:7" ht="14.25" customHeight="1" x14ac:dyDescent="0.25">
      <c r="A9" s="56" t="s">
        <v>24</v>
      </c>
      <c r="B9" s="57">
        <v>6246.8874599999999</v>
      </c>
      <c r="C9" s="58">
        <f>IF(OR(5549.58894="",6246.88746=""),"-",6246.88746/5549.58894*100)</f>
        <v>112.5648679125413</v>
      </c>
      <c r="D9" s="57">
        <f>IF(5549.58894="","-",5549.58894/5842484.3398*100)</f>
        <v>9.4986800430002918E-2</v>
      </c>
      <c r="E9" s="57">
        <f>IF(6246.88746="","-",6246.88746/5415671.45304*100)</f>
        <v>0.11534834626080225</v>
      </c>
      <c r="F9" s="58">
        <f>IF(OR(5760057.05112="",4838.84458="",5549.58894=""),"-",(5549.58894-4838.84458)/5760057.05112*100)</f>
        <v>1.2339189589481598E-2</v>
      </c>
      <c r="G9" s="58">
        <f>IF(OR(5842484.3398="",6246.88746="",5549.58894=""),"-",(6246.88746-5549.58894)/5842484.3398*100)</f>
        <v>1.1934966008379068E-2</v>
      </c>
    </row>
    <row r="10" spans="1:7" s="9" customFormat="1" x14ac:dyDescent="0.25">
      <c r="A10" s="56" t="s">
        <v>217</v>
      </c>
      <c r="B10" s="57">
        <v>41455.987280000001</v>
      </c>
      <c r="C10" s="58">
        <f>IF(OR(45965.41373="",41455.98728=""),"-",41455.98728/45965.41373*100)</f>
        <v>90.189522764902577</v>
      </c>
      <c r="D10" s="57">
        <f>IF(45965.41373="","-",45965.41373/5842484.3398*100)</f>
        <v>0.78674432068008737</v>
      </c>
      <c r="E10" s="57">
        <f>IF(41455.98728="","-",41455.98728/5415671.45304*100)</f>
        <v>0.76548194696576999</v>
      </c>
      <c r="F10" s="58">
        <f>IF(OR(5760057.05112="",39936.6746="",45965.41373=""),"-",(45965.41373-39936.6746)/5760057.05112*100)</f>
        <v>0.10466457322376274</v>
      </c>
      <c r="G10" s="58">
        <f>IF(OR(5842484.3398="",41455.98728="",45965.41373=""),"-",(41455.98728-45965.41373)/5842484.3398*100)</f>
        <v>-7.7183372478741907E-2</v>
      </c>
    </row>
    <row r="11" spans="1:7" s="9" customFormat="1" x14ac:dyDescent="0.25">
      <c r="A11" s="56" t="s">
        <v>218</v>
      </c>
      <c r="B11" s="57">
        <v>79343.858749999999</v>
      </c>
      <c r="C11" s="58">
        <f>IF(OR(67634.23397="",79343.85875=""),"-",79343.85875/67634.23397*100)</f>
        <v>117.31316242184977</v>
      </c>
      <c r="D11" s="57">
        <f>IF(67634.23397="","-",67634.23397/5842484.3398*100)</f>
        <v>1.1576279889920125</v>
      </c>
      <c r="E11" s="57">
        <f>IF(79343.85875="","-",79343.85875/5415671.45304*100)</f>
        <v>1.465078881501602</v>
      </c>
      <c r="F11" s="58">
        <f>IF(OR(5760057.05112="",57915.84567="",67634.23397=""),"-",(67634.23397-57915.84567)/5760057.05112*100)</f>
        <v>0.16872034797138566</v>
      </c>
      <c r="G11" s="58">
        <f>IF(OR(5842484.3398="",79343.85875="",67634.23397=""),"-",(79343.85875-67634.23397)/5842484.3398*100)</f>
        <v>0.20042201397498038</v>
      </c>
    </row>
    <row r="12" spans="1:7" s="9" customFormat="1" x14ac:dyDescent="0.25">
      <c r="A12" s="56" t="s">
        <v>219</v>
      </c>
      <c r="B12" s="57">
        <v>60431.179770000002</v>
      </c>
      <c r="C12" s="58">
        <f>IF(OR(58539.57959="",60431.17977=""),"-",60431.17977/58539.57959*100)</f>
        <v>103.23131835460453</v>
      </c>
      <c r="D12" s="57">
        <f>IF(58539.57959="","-",58539.57959/5842484.3398*100)</f>
        <v>1.0019638254093108</v>
      </c>
      <c r="E12" s="57">
        <f>IF(60431.17977="","-",60431.17977/5415671.45304*100)</f>
        <v>1.115857568059782</v>
      </c>
      <c r="F12" s="58">
        <f>IF(OR(5760057.05112="",52296.94937="",58539.57959=""),"-",(58539.57959-52296.94937)/5760057.05112*100)</f>
        <v>0.1083779234232787</v>
      </c>
      <c r="G12" s="58">
        <f>IF(OR(5842484.3398="",60431.17977="",58539.57959=""),"-",(60431.17977-58539.57959)/5842484.3398*100)</f>
        <v>3.237664099694882E-2</v>
      </c>
    </row>
    <row r="13" spans="1:7" s="9" customFormat="1" x14ac:dyDescent="0.25">
      <c r="A13" s="56" t="s">
        <v>220</v>
      </c>
      <c r="B13" s="57">
        <v>96920.308290000001</v>
      </c>
      <c r="C13" s="58">
        <f>IF(OR(81527.64495="",96920.30829=""),"-",96920.30829/81527.64495*100)</f>
        <v>118.88029925240716</v>
      </c>
      <c r="D13" s="57">
        <f>IF(81527.64495="","-",81527.64495/5842484.3398*100)</f>
        <v>1.3954277017846632</v>
      </c>
      <c r="E13" s="57">
        <f>IF(96920.30829="","-",96920.30829/5415671.45304*100)</f>
        <v>1.7896268104594</v>
      </c>
      <c r="F13" s="58">
        <f>IF(OR(5760057.05112="",73858.41604="",81527.64495=""),"-",(81527.64495-73858.41604)/5760057.05112*100)</f>
        <v>0.13314501648050137</v>
      </c>
      <c r="G13" s="58">
        <f>IF(OR(5842484.3398="",96920.30829="",81527.64495=""),"-",(96920.30829-81527.64495)/5842484.3398*100)</f>
        <v>0.26346092594793197</v>
      </c>
    </row>
    <row r="14" spans="1:7" s="9" customFormat="1" x14ac:dyDescent="0.25">
      <c r="A14" s="56" t="s">
        <v>221</v>
      </c>
      <c r="B14" s="57">
        <v>170548.6476</v>
      </c>
      <c r="C14" s="58">
        <f>IF(OR(164072.36056="",170548.6476=""),"-",170548.6476/164072.36056*100)</f>
        <v>103.94721391092052</v>
      </c>
      <c r="D14" s="57">
        <f>IF(164072.36056="","-",164072.36056/5842484.3398*100)</f>
        <v>2.8082635916079584</v>
      </c>
      <c r="E14" s="57">
        <f>IF(170548.6476="","-",170548.6476/5415671.45304*100)</f>
        <v>3.1491690195546345</v>
      </c>
      <c r="F14" s="58">
        <f>IF(OR(5760057.05112="",149718.23363="",164072.36056=""),"-",(164072.36056-149718.23363)/5760057.05112*100)</f>
        <v>0.24920112427026997</v>
      </c>
      <c r="G14" s="58">
        <f>IF(OR(5842484.3398="",170548.6476="",164072.36056=""),"-",(170548.6476-164072.36056)/5842484.3398*100)</f>
        <v>0.1108481711432656</v>
      </c>
    </row>
    <row r="15" spans="1:7" s="9" customFormat="1" ht="14.25" customHeight="1" x14ac:dyDescent="0.25">
      <c r="A15" s="56" t="s">
        <v>178</v>
      </c>
      <c r="B15" s="57">
        <v>20095.55545</v>
      </c>
      <c r="C15" s="58">
        <f>IF(OR(18028.5068="",20095.55545=""),"-",20095.55545/18028.5068*100)</f>
        <v>111.4654456574296</v>
      </c>
      <c r="D15" s="57">
        <f>IF(18028.5068="","-",18028.5068/5842484.3398*100)</f>
        <v>0.30857603977107367</v>
      </c>
      <c r="E15" s="57">
        <f>IF(20095.55545="","-",20095.55545/5415671.45304*100)</f>
        <v>0.37106304590762579</v>
      </c>
      <c r="F15" s="58">
        <f>IF(OR(5760057.05112="",18339.40047="",18028.5068=""),"-",(18028.5068-18339.40047)/5760057.05112*100)</f>
        <v>-5.3974060888780668E-3</v>
      </c>
      <c r="G15" s="58">
        <f>IF(OR(5842484.3398="",20095.55545="",18028.5068=""),"-",(20095.55545-18028.5068)/5842484.3398*100)</f>
        <v>3.537961815180081E-2</v>
      </c>
    </row>
    <row r="16" spans="1:7" s="9" customFormat="1" ht="25.5" x14ac:dyDescent="0.25">
      <c r="A16" s="56" t="s">
        <v>222</v>
      </c>
      <c r="B16" s="57">
        <v>59856.221599999997</v>
      </c>
      <c r="C16" s="58">
        <f>IF(OR(57070.7543="",59856.2216=""),"-",59856.2216/57070.7543*100)</f>
        <v>104.88072627419258</v>
      </c>
      <c r="D16" s="57">
        <f>IF(57070.7543="","-",57070.7543/5842484.3398*100)</f>
        <v>0.97682340218225805</v>
      </c>
      <c r="E16" s="57">
        <f>IF(59856.2216="","-",59856.2216/5415671.45304*100)</f>
        <v>1.1052410050908954</v>
      </c>
      <c r="F16" s="58">
        <f>IF(OR(5760057.05112="",56630.42226="",57070.7543=""),"-",(57070.7543-56630.42226)/5760057.05112*100)</f>
        <v>7.6445777549092485E-3</v>
      </c>
      <c r="G16" s="58">
        <f>IF(OR(5842484.3398="",59856.2216="",57070.7543=""),"-",(59856.2216-57070.7543)/5842484.3398*100)</f>
        <v>4.7676076442771415E-2</v>
      </c>
    </row>
    <row r="17" spans="1:7" s="9" customFormat="1" ht="25.5" x14ac:dyDescent="0.25">
      <c r="A17" s="56" t="s">
        <v>179</v>
      </c>
      <c r="B17" s="57">
        <v>38603.908600000002</v>
      </c>
      <c r="C17" s="58">
        <f>IF(OR(31861.15795="",38603.9086=""),"-",38603.9086/31861.15795*100)</f>
        <v>121.16291774637149</v>
      </c>
      <c r="D17" s="57">
        <f>IF(31861.15795="","-",31861.15795/5842484.3398*100)</f>
        <v>0.54533578691784179</v>
      </c>
      <c r="E17" s="57">
        <f>IF(38603.9086="","-",38603.9086/5415671.45304*100)</f>
        <v>0.71281851077451019</v>
      </c>
      <c r="F17" s="58">
        <f>IF(OR(5760057.05112="",34924.86342="",31861.15795=""),"-",(31861.15795-34924.86342)/5760057.05112*100)</f>
        <v>-5.3188804256796139E-2</v>
      </c>
      <c r="G17" s="58">
        <f>IF(OR(5842484.3398="",38603.9086="",31861.15795=""),"-",(38603.9086-31861.15795)/5842484.3398*100)</f>
        <v>0.11540896402695054</v>
      </c>
    </row>
    <row r="18" spans="1:7" s="9" customFormat="1" x14ac:dyDescent="0.25">
      <c r="A18" s="56" t="s">
        <v>223</v>
      </c>
      <c r="B18" s="57">
        <v>85036.483640000006</v>
      </c>
      <c r="C18" s="58">
        <f>IF(OR(80324.80971="",85036.48364=""),"-",85036.48364/80324.80971*100)</f>
        <v>105.8657766473531</v>
      </c>
      <c r="D18" s="57">
        <f>IF(80324.80971="","-",80324.80971/5842484.3398*100)</f>
        <v>1.3748399659852522</v>
      </c>
      <c r="E18" s="57">
        <f>IF(85036.48364="","-",85036.48364/5415671.45304*100)</f>
        <v>1.5701928076206719</v>
      </c>
      <c r="F18" s="58">
        <f>IF(OR(5760057.05112="",72939.42428="",80324.80971=""),"-",(80324.80971-72939.42428)/5760057.05112*100)</f>
        <v>0.12821722709437333</v>
      </c>
      <c r="G18" s="58">
        <f>IF(OR(5842484.3398="",85036.48364="",80324.80971=""),"-",(85036.48364-80324.80971)/5842484.3398*100)</f>
        <v>8.0645041663240366E-2</v>
      </c>
    </row>
    <row r="19" spans="1:7" s="9" customFormat="1" x14ac:dyDescent="0.25">
      <c r="A19" s="67" t="s">
        <v>224</v>
      </c>
      <c r="B19" s="54">
        <v>105962.58676000001</v>
      </c>
      <c r="C19" s="55">
        <f>IF(127854.18485="","-",105962.58676/127854.18485*100)</f>
        <v>82.877683577050306</v>
      </c>
      <c r="D19" s="54">
        <f>IF(127854.18485="","-",127854.18485/5842484.3398*100)</f>
        <v>2.1883530603417367</v>
      </c>
      <c r="E19" s="54">
        <f>IF(105962.58676="","-",105962.58676/5415671.45304*100)</f>
        <v>1.9565918589932114</v>
      </c>
      <c r="F19" s="55">
        <f>IF(5760057.05112="","-",(127854.18485-125199.39033)/5760057.05112*100)</f>
        <v>4.6089726133594557E-2</v>
      </c>
      <c r="G19" s="55">
        <f>IF(5842484.3398="","-",(105962.58676-127854.18485)/5842484.3398*100)</f>
        <v>-0.37469673544301518</v>
      </c>
    </row>
    <row r="20" spans="1:7" s="9" customFormat="1" x14ac:dyDescent="0.25">
      <c r="A20" s="56" t="s">
        <v>225</v>
      </c>
      <c r="B20" s="57">
        <v>53995.018190000003</v>
      </c>
      <c r="C20" s="58">
        <f>IF(OR(62547.91198="",53995.01819=""),"-",53995.01819/62547.91198*100)</f>
        <v>86.325852423763038</v>
      </c>
      <c r="D20" s="57">
        <f>IF(62547.91198="","-",62547.91198/5842484.3398*100)</f>
        <v>1.0705704686945063</v>
      </c>
      <c r="E20" s="57">
        <f>IF(53995.01819="","-",53995.01819/5415671.45304*100)</f>
        <v>0.99701428822257609</v>
      </c>
      <c r="F20" s="58">
        <f>IF(OR(5760057.05112="",61685.69076="",62547.91198=""),"-",(62547.91198-61685.69076)/5760057.05112*100)</f>
        <v>1.4968970139494485E-2</v>
      </c>
      <c r="G20" s="58">
        <f>IF(OR(5842484.3398="",53995.01819="",62547.91198=""),"-",(53995.01819-62547.91198)/5842484.3398*100)</f>
        <v>-0.14639138579689848</v>
      </c>
    </row>
    <row r="21" spans="1:7" s="9" customFormat="1" x14ac:dyDescent="0.25">
      <c r="A21" s="56" t="s">
        <v>226</v>
      </c>
      <c r="B21" s="57">
        <v>51967.568570000003</v>
      </c>
      <c r="C21" s="58">
        <f>IF(OR(65306.27287="",51967.56857=""),"-",51967.56857/65306.27287*100)</f>
        <v>79.575156085614779</v>
      </c>
      <c r="D21" s="57">
        <f>IF(65306.27287="","-",65306.27287/5842484.3398*100)</f>
        <v>1.1177825916472299</v>
      </c>
      <c r="E21" s="57">
        <f>IF(51967.56857="","-",51967.56857/5415671.45304*100)</f>
        <v>0.95957757077063544</v>
      </c>
      <c r="F21" s="58">
        <f>IF(OR(5760057.05112="",63513.69957="",65306.27287=""),"-",(65306.27287-63513.69957)/5760057.05112*100)</f>
        <v>3.1120755994099941E-2</v>
      </c>
      <c r="G21" s="58">
        <f>IF(OR(5842484.3398="",51967.56857="",65306.27287=""),"-",(51967.56857-65306.27287)/5842484.3398*100)</f>
        <v>-0.22830534964611662</v>
      </c>
    </row>
    <row r="22" spans="1:7" s="9" customFormat="1" ht="25.5" x14ac:dyDescent="0.25">
      <c r="A22" s="67" t="s">
        <v>25</v>
      </c>
      <c r="B22" s="54">
        <v>137599.28873</v>
      </c>
      <c r="C22" s="55">
        <f>IF(139509.53792="","-",137599.28873/139509.53792*100)</f>
        <v>98.630739361279069</v>
      </c>
      <c r="D22" s="54">
        <f>IF(139509.53792="","-",139509.53792/5842484.3398*100)</f>
        <v>2.3878461593749978</v>
      </c>
      <c r="E22" s="54">
        <f>IF(137599.28873="","-",137599.28873/5415671.45304*100)</f>
        <v>2.5407613796948643</v>
      </c>
      <c r="F22" s="55">
        <f>IF(5760057.05112="","-",(139509.53792-140646.45759)/5760057.05112*100)</f>
        <v>-1.973799321621194E-2</v>
      </c>
      <c r="G22" s="55">
        <f>IF(5842484.3398="","-",(137599.28873-139509.53792)/5842484.3398*100)</f>
        <v>-3.2695837573531158E-2</v>
      </c>
    </row>
    <row r="23" spans="1:7" s="9" customFormat="1" x14ac:dyDescent="0.25">
      <c r="A23" s="56" t="s">
        <v>233</v>
      </c>
      <c r="B23" s="57">
        <v>25.90672</v>
      </c>
      <c r="C23" s="58">
        <f>IF(OR(57.71009="",25.90672=""),"-",25.90672/57.71009*100)</f>
        <v>44.891144685444083</v>
      </c>
      <c r="D23" s="57">
        <f>IF(57.71009="","-",57.71009/5842484.3398*100)</f>
        <v>9.8776627618612557E-4</v>
      </c>
      <c r="E23" s="57">
        <f>IF(25.90672="","-",25.90672/5415671.45304*100)</f>
        <v>4.7836579867594587E-4</v>
      </c>
      <c r="F23" s="58">
        <f>IF(OR(5760057.05112="",68.08375="",57.71009=""),"-",(57.71009-68.08375)/5760057.05112*100)</f>
        <v>-1.8009648008578168E-4</v>
      </c>
      <c r="G23" s="58">
        <f>IF(OR(5842484.3398="",25.90672="",57.71009=""),"-",(25.90672-57.71009)/5842484.3398*100)</f>
        <v>-5.4434668798938868E-4</v>
      </c>
    </row>
    <row r="24" spans="1:7" s="9" customFormat="1" x14ac:dyDescent="0.25">
      <c r="A24" s="56" t="s">
        <v>227</v>
      </c>
      <c r="B24" s="57">
        <v>34550.848940000003</v>
      </c>
      <c r="C24" s="58">
        <f>IF(OR(32101.53188="",34550.84894=""),"-",34550.84894/32101.53188*100)</f>
        <v>107.62990709962345</v>
      </c>
      <c r="D24" s="57">
        <f>IF(32101.53188="","-",32101.53188/5842484.3398*100)</f>
        <v>0.54945002866877857</v>
      </c>
      <c r="E24" s="57">
        <f>IF(34550.84894="","-",34550.84894/5415671.45304*100)</f>
        <v>0.63797904358849977</v>
      </c>
      <c r="F24" s="58">
        <f>IF(OR(5760057.05112="",37971.08967="",32101.53188=""),"-",(32101.53188-37971.08967)/5760057.05112*100)</f>
        <v>-0.1019010356652407</v>
      </c>
      <c r="G24" s="58">
        <f>IF(OR(5842484.3398="",34550.84894="",32101.53188=""),"-",(34550.84894-32101.53188)/5842484.3398*100)</f>
        <v>4.1922526746282211E-2</v>
      </c>
    </row>
    <row r="25" spans="1:7" s="9" customFormat="1" ht="25.5" x14ac:dyDescent="0.25">
      <c r="A25" s="56" t="s">
        <v>228</v>
      </c>
      <c r="B25" s="57">
        <v>1390.16302</v>
      </c>
      <c r="C25" s="58">
        <f>IF(OR(1542.25262="",1390.16302=""),"-",1390.16302/1542.25262*100)</f>
        <v>90.138476795066168</v>
      </c>
      <c r="D25" s="57">
        <f>IF(1542.25262="","-",1542.25262/5842484.3398*100)</f>
        <v>2.6397205885412684E-2</v>
      </c>
      <c r="E25" s="57">
        <f>IF(1390.16302="","-",1390.16302/5415671.45304*100)</f>
        <v>2.5669264320302414E-2</v>
      </c>
      <c r="F25" s="58">
        <f>IF(OR(5760057.05112="",944.15946="",1542.25262=""),"-",(1542.25262-944.15946)/5760057.05112*100)</f>
        <v>1.0383458960423062E-2</v>
      </c>
      <c r="G25" s="58">
        <f>IF(OR(5842484.3398="",1390.16302="",1542.25262=""),"-",(1390.16302-1542.25262)/5842484.3398*100)</f>
        <v>-2.6031665838441315E-3</v>
      </c>
    </row>
    <row r="26" spans="1:7" s="9" customFormat="1" ht="14.25" customHeight="1" x14ac:dyDescent="0.25">
      <c r="A26" s="56" t="s">
        <v>229</v>
      </c>
      <c r="B26" s="57">
        <v>39481.381150000001</v>
      </c>
      <c r="C26" s="58">
        <f>IF(OR(38552.9189="",39481.38115=""),"-",39481.38115/38552.9189*100)</f>
        <v>102.40828003816853</v>
      </c>
      <c r="D26" s="57">
        <f>IF(38552.9189="","-",38552.9189/5842484.3398*100)</f>
        <v>0.65987201090760206</v>
      </c>
      <c r="E26" s="57">
        <f>IF(39481.38115="","-",39481.38115/5415671.45304*100)</f>
        <v>0.72902098091341494</v>
      </c>
      <c r="F26" s="58">
        <f>IF(OR(5760057.05112="",35429.76437="",38552.9189=""),"-",(38552.9189-35429.76437)/5760057.05112*100)</f>
        <v>5.4220895770341816E-2</v>
      </c>
      <c r="G26" s="58">
        <f>IF(OR(5842484.3398="",39481.38115="",38552.9189=""),"-",(39481.38115-38552.9189)/5842484.3398*100)</f>
        <v>1.5891565916149077E-2</v>
      </c>
    </row>
    <row r="27" spans="1:7" s="9" customFormat="1" ht="15.75" customHeight="1" x14ac:dyDescent="0.25">
      <c r="A27" s="56" t="s">
        <v>180</v>
      </c>
      <c r="B27" s="57">
        <v>486.41642000000002</v>
      </c>
      <c r="C27" s="58">
        <f>IF(OR(452.02873="",486.41642=""),"-",486.41642/452.02873*100)</f>
        <v>107.60741247575127</v>
      </c>
      <c r="D27" s="57">
        <f>IF(452.02873="","-",452.02873/5842484.3398*100)</f>
        <v>7.7369266858056118E-3</v>
      </c>
      <c r="E27" s="57">
        <f>IF(486.41642="","-",486.41642/5415671.45304*100)</f>
        <v>8.9816456595969828E-3</v>
      </c>
      <c r="F27" s="58">
        <f>IF(OR(5760057.05112="",521.528="",452.02873=""),"-",(452.02873-521.528)/5760057.05112*100)</f>
        <v>-1.2065725978614467E-3</v>
      </c>
      <c r="G27" s="58">
        <f>IF(OR(5842484.3398="",486.41642="",452.02873=""),"-",(486.41642-452.02873)/5842484.3398*100)</f>
        <v>5.8857992593570527E-4</v>
      </c>
    </row>
    <row r="28" spans="1:7" s="9" customFormat="1" ht="15" customHeight="1" x14ac:dyDescent="0.25">
      <c r="A28" s="56" t="s">
        <v>181</v>
      </c>
      <c r="B28" s="57">
        <v>8228.6077399999995</v>
      </c>
      <c r="C28" s="58">
        <f>IF(OR(8316.74403="",8228.60774=""),"-",8228.60774/8316.74403*100)</f>
        <v>98.940254867985871</v>
      </c>
      <c r="D28" s="57">
        <f>IF(8316.74403="","-",8316.74403/5842484.3398*100)</f>
        <v>0.14234944496718493</v>
      </c>
      <c r="E28" s="57">
        <f>IF(8228.60774="","-",8228.60774/5415671.45304*100)</f>
        <v>0.1519406746024263</v>
      </c>
      <c r="F28" s="58">
        <f>IF(OR(5760057.05112="",8567.21245="",8316.74403=""),"-",(8316.74403-8567.21245)/5760057.05112*100)</f>
        <v>-4.3483670001376006E-3</v>
      </c>
      <c r="G28" s="58">
        <f>IF(OR(5842484.3398="",8228.60774="",8316.74403=""),"-",(8228.60774-8316.74403)/5842484.3398*100)</f>
        <v>-1.5085413134888685E-3</v>
      </c>
    </row>
    <row r="29" spans="1:7" s="9" customFormat="1" ht="15.75" customHeight="1" x14ac:dyDescent="0.25">
      <c r="A29" s="56" t="s">
        <v>182</v>
      </c>
      <c r="B29" s="57">
        <v>17887.071749999999</v>
      </c>
      <c r="C29" s="58">
        <f>IF(OR(23932.19484="",17887.07175=""),"-",17887.07175/23932.19484*100)</f>
        <v>74.740623956912415</v>
      </c>
      <c r="D29" s="57">
        <f>IF(23932.19484="","-",23932.19484/5842484.3398*100)</f>
        <v>0.40962360270218967</v>
      </c>
      <c r="E29" s="57">
        <f>IF(17887.07175="","-",17887.07175/5415671.45304*100)</f>
        <v>0.33028354664977655</v>
      </c>
      <c r="F29" s="58">
        <f>IF(OR(5760057.05112="",16187.29159="",23932.19484=""),"-",(23932.19484-16187.29159)/5760057.05112*100)</f>
        <v>0.13445879409291719</v>
      </c>
      <c r="G29" s="58">
        <f>IF(OR(5842484.3398="",17887.07175="",23932.19484=""),"-",(17887.07175-23932.19484)/5842484.3398*100)</f>
        <v>-0.10346836616778914</v>
      </c>
    </row>
    <row r="30" spans="1:7" s="9" customFormat="1" ht="15.75" customHeight="1" x14ac:dyDescent="0.25">
      <c r="A30" s="56" t="s">
        <v>183</v>
      </c>
      <c r="B30" s="57">
        <v>1787.8324500000001</v>
      </c>
      <c r="C30" s="58">
        <f>IF(OR(1528.1131="",1787.83245=""),"-",1787.83245/1528.1131*100)</f>
        <v>116.99608163819812</v>
      </c>
      <c r="D30" s="57">
        <f>IF(1528.1131="","-",1528.1131/5842484.3398*100)</f>
        <v>2.6155193769031315E-2</v>
      </c>
      <c r="E30" s="57">
        <f>IF(1787.83245="","-",1787.83245/5415671.45304*100)</f>
        <v>3.3012202928160074E-2</v>
      </c>
      <c r="F30" s="58">
        <f>IF(OR(5760057.05112="",4022.34653="",1528.1131=""),"-",(1528.1131-4022.34653)/5760057.05112*100)</f>
        <v>-4.3302234819271708E-2</v>
      </c>
      <c r="G30" s="58">
        <f>IF(OR(5842484.3398="",1787.83245="",1528.1131=""),"-",(1787.83245-1528.1131)/5842484.3398*100)</f>
        <v>4.4453580856134703E-3</v>
      </c>
    </row>
    <row r="31" spans="1:7" s="9" customFormat="1" ht="25.5" x14ac:dyDescent="0.25">
      <c r="A31" s="56" t="s">
        <v>184</v>
      </c>
      <c r="B31" s="57">
        <v>33761.060539999999</v>
      </c>
      <c r="C31" s="58">
        <f>IF(OR(33026.04373="",33761.06054=""),"-",33761.06054/33026.04373*100)</f>
        <v>102.22556724023329</v>
      </c>
      <c r="D31" s="57">
        <f>IF(33026.04373="","-",33026.04373/5842484.3398*100)</f>
        <v>0.56527397951280678</v>
      </c>
      <c r="E31" s="57">
        <f>IF(33761.06054="","-",33761.06054/5415671.45304*100)</f>
        <v>0.62339565523401108</v>
      </c>
      <c r="F31" s="58">
        <f>IF(OR(5760057.05112="",36934.98177="",33026.04373=""),"-",(33026.04373-36934.98177)/5760057.05112*100)</f>
        <v>-6.7862835477296823E-2</v>
      </c>
      <c r="G31" s="58">
        <f>IF(OR(5842484.3398="",33761.06054="",33026.04373=""),"-",(33761.06054-33026.04373)/5842484.3398*100)</f>
        <v>1.2580552505600076E-2</v>
      </c>
    </row>
    <row r="32" spans="1:7" s="9" customFormat="1" ht="25.5" x14ac:dyDescent="0.25">
      <c r="A32" s="67" t="s">
        <v>185</v>
      </c>
      <c r="B32" s="54">
        <v>589430.44064000004</v>
      </c>
      <c r="C32" s="55">
        <f>IF(922115.81226="","-",589430.44064/922115.81226*100)</f>
        <v>63.921519705358229</v>
      </c>
      <c r="D32" s="54">
        <f>IF(922115.81226="","-",922115.81226/5842484.3398*100)</f>
        <v>15.782940246469979</v>
      </c>
      <c r="E32" s="54">
        <f>IF(589430.44064="","-",589430.44064/5415671.45304*100)</f>
        <v>10.883792448471606</v>
      </c>
      <c r="F32" s="55">
        <f>IF(5760057.05112="","-",(922115.81226-989713.87899)/5760057.05112*100)</f>
        <v>-1.1735659235676499</v>
      </c>
      <c r="G32" s="55">
        <f>IF(5842484.3398="","-",(589430.44064-922115.81226)/5842484.3398*100)</f>
        <v>-5.6942449867377558</v>
      </c>
    </row>
    <row r="33" spans="1:7" s="9" customFormat="1" x14ac:dyDescent="0.25">
      <c r="A33" s="56" t="s">
        <v>230</v>
      </c>
      <c r="B33" s="57">
        <v>15396.24091</v>
      </c>
      <c r="C33" s="58">
        <f>IF(OR(18702.43162="",15396.24091=""),"-",15396.24091/18702.43162*100)</f>
        <v>82.322134484029192</v>
      </c>
      <c r="D33" s="57">
        <f>IF(18702.43162="","-",18702.43162/5842484.3398*100)</f>
        <v>0.32011094137806828</v>
      </c>
      <c r="E33" s="57">
        <f>IF(15396.24091="","-",15396.24091/5415671.45304*100)</f>
        <v>0.28429052691809004</v>
      </c>
      <c r="F33" s="58">
        <f>IF(OR(5760057.05112="",18258.87467="",18702.43162=""),"-",(18702.43162-18258.87467)/5760057.05112*100)</f>
        <v>7.7005652212030085E-3</v>
      </c>
      <c r="G33" s="58">
        <f>IF(OR(5842484.3398="",15396.24091="",18702.43162=""),"-",(15396.24091-18702.43162)/5842484.3398*100)</f>
        <v>-5.6588781718723037E-2</v>
      </c>
    </row>
    <row r="34" spans="1:7" s="9" customFormat="1" ht="25.5" x14ac:dyDescent="0.25">
      <c r="A34" s="56" t="s">
        <v>186</v>
      </c>
      <c r="B34" s="57">
        <v>378229.45536000002</v>
      </c>
      <c r="C34" s="58">
        <f>IF(OR(587927.11019="",378229.45536=""),"-",378229.45536/587927.11019*100)</f>
        <v>64.332712134633127</v>
      </c>
      <c r="D34" s="57">
        <f>IF(587927.11019="","-",587927.11019/5842484.3398*100)</f>
        <v>10.062964245961949</v>
      </c>
      <c r="E34" s="57">
        <f>IF(378229.45536="","-",378229.45536/5415671.45304*100)</f>
        <v>6.9839808164080379</v>
      </c>
      <c r="F34" s="58">
        <f>IF(OR(5760057.05112="",632337.23333="",587927.11019=""),"-",(587927.11019-632337.23333)/5760057.05112*100)</f>
        <v>-0.77100144574722063</v>
      </c>
      <c r="G34" s="58">
        <f>IF(OR(5842484.3398="",378229.45536="",587927.11019=""),"-",(378229.45536-587927.11019)/5842484.3398*100)</f>
        <v>-3.5891864253961931</v>
      </c>
    </row>
    <row r="35" spans="1:7" s="9" customFormat="1" ht="25.5" x14ac:dyDescent="0.25">
      <c r="A35" s="56" t="s">
        <v>231</v>
      </c>
      <c r="B35" s="57">
        <v>186243.94805000001</v>
      </c>
      <c r="C35" s="58">
        <f>IF(OR(275632.53464="",186243.94805=""),"-",186243.94805/275632.53464*100)</f>
        <v>67.569653304262772</v>
      </c>
      <c r="D35" s="57">
        <f>IF(275632.53464="","-",275632.53464/5842484.3398*100)</f>
        <v>4.7177282575212764</v>
      </c>
      <c r="E35" s="57">
        <f>IF(186243.94805="","-",186243.94805/5415671.45304*100)</f>
        <v>3.4389816602603354</v>
      </c>
      <c r="F35" s="58">
        <f>IF(OR(5760057.05112="",284029.47209="",275632.53464=""),"-",(275632.53464-284029.47209)/5760057.05112*100)</f>
        <v>-0.145778720166795</v>
      </c>
      <c r="G35" s="58">
        <f>IF(OR(5842484.3398="",186243.94805="",275632.53464=""),"-",(186243.94805-275632.53464)/5842484.3398*100)</f>
        <v>-1.529975630076913</v>
      </c>
    </row>
    <row r="36" spans="1:7" s="9" customFormat="1" x14ac:dyDescent="0.25">
      <c r="A36" s="56" t="s">
        <v>187</v>
      </c>
      <c r="B36" s="57">
        <v>9560.7963199999995</v>
      </c>
      <c r="C36" s="58">
        <f>IF(OR(39853.73581="",9560.79632=""),"-",9560.79632/39853.73581*100)</f>
        <v>23.989711693730424</v>
      </c>
      <c r="D36" s="57">
        <f>IF(39853.73581="","-",39853.73581/5842484.3398*100)</f>
        <v>0.68213680160868462</v>
      </c>
      <c r="E36" s="57">
        <f>IF(9560.79632="","-",9560.79632/5415671.45304*100)</f>
        <v>0.17653944488514348</v>
      </c>
      <c r="F36" s="58">
        <f>IF(OR(5760057.05112="",55088.2989="",39853.73581=""),"-",(39853.73581-55088.2989)/5760057.05112*100)</f>
        <v>-0.26448632287483603</v>
      </c>
      <c r="G36" s="58">
        <f>IF(OR(5842484.3398="",9560.79632="",39853.73581=""),"-",(9560.79632-39853.73581)/5842484.3398*100)</f>
        <v>-0.51849414954592732</v>
      </c>
    </row>
    <row r="37" spans="1:7" s="9" customFormat="1" ht="25.5" x14ac:dyDescent="0.25">
      <c r="A37" s="67" t="s">
        <v>188</v>
      </c>
      <c r="B37" s="54">
        <v>12094.650600000001</v>
      </c>
      <c r="C37" s="55">
        <f>IF(11289.84884="","-",12094.6506/11289.84884*100)</f>
        <v>107.12854327286104</v>
      </c>
      <c r="D37" s="54">
        <f>IF(11289.84884="","-",11289.84884/5842484.3398*100)</f>
        <v>0.19323712625281037</v>
      </c>
      <c r="E37" s="54">
        <f>IF(12094.6506="","-",12094.6506/5415671.45304*100)</f>
        <v>0.22332688947020343</v>
      </c>
      <c r="F37" s="55">
        <f>IF(5760057.05112="","-",(11289.84884-11794.84431)/5760057.05112*100)</f>
        <v>-8.767195628762171E-3</v>
      </c>
      <c r="G37" s="55">
        <f>IF(5842484.3398="","-",(12094.6506-11289.84884)/5842484.3398*100)</f>
        <v>1.3774992164164709E-2</v>
      </c>
    </row>
    <row r="38" spans="1:7" s="9" customFormat="1" x14ac:dyDescent="0.25">
      <c r="A38" s="56" t="s">
        <v>234</v>
      </c>
      <c r="B38" s="57">
        <v>1804.0857800000001</v>
      </c>
      <c r="C38" s="58">
        <f>IF(OR(1838.99859="",1804.08578=""),"-",1804.08578/1838.99859*100)</f>
        <v>98.10153144271851</v>
      </c>
      <c r="D38" s="57">
        <f>IF(1838.99859="","-",1838.99859/5842484.3398*100)</f>
        <v>3.1476311840023731E-2</v>
      </c>
      <c r="E38" s="57">
        <f>IF(1804.08578="","-",1804.08578/5415671.45304*100)</f>
        <v>3.3312319546033496E-2</v>
      </c>
      <c r="F38" s="58">
        <f>IF(OR(5760057.05112="",1581.69683="",1838.99859=""),"-",(1838.99859-1581.69683)/5760057.05112*100)</f>
        <v>4.467000200110335E-3</v>
      </c>
      <c r="G38" s="58">
        <f>IF(OR(5842484.3398="",1804.08578="",1838.99859=""),"-",(1804.08578-1838.99859)/5842484.3398*100)</f>
        <v>-5.9756788327471912E-4</v>
      </c>
    </row>
    <row r="39" spans="1:7" s="9" customFormat="1" ht="25.5" x14ac:dyDescent="0.25">
      <c r="A39" s="56" t="s">
        <v>189</v>
      </c>
      <c r="B39" s="57">
        <v>8542.8483300000007</v>
      </c>
      <c r="C39" s="58">
        <f>IF(OR(6916.05161="",8542.84833=""),"-",8542.84833/6916.05161*100)</f>
        <v>123.52204424917529</v>
      </c>
      <c r="D39" s="57">
        <f>IF(6916.05161="","-",6916.05161/5842484.3398*100)</f>
        <v>0.11837518438666025</v>
      </c>
      <c r="E39" s="57">
        <f>IF(8542.84833="","-",8542.84833/5415671.45304*100)</f>
        <v>0.15774310543163783</v>
      </c>
      <c r="F39" s="58">
        <f>IF(OR(5760057.05112="",7354.36451="",6916.05161=""),"-",(6916.05161-7354.36451)/5760057.05112*100)</f>
        <v>-7.6095235882216346E-3</v>
      </c>
      <c r="G39" s="58">
        <f>IF(OR(5842484.3398="",8542.84833="",6916.05161=""),"-",(8542.84833-6916.05161)/5842484.3398*100)</f>
        <v>2.7844263251473066E-2</v>
      </c>
    </row>
    <row r="40" spans="1:7" s="9" customFormat="1" ht="63.75" x14ac:dyDescent="0.25">
      <c r="A40" s="56" t="s">
        <v>232</v>
      </c>
      <c r="B40" s="57">
        <v>1747.71649</v>
      </c>
      <c r="C40" s="58">
        <f>IF(OR(2534.79864="",1747.71649=""),"-",1747.71649/2534.79864*100)</f>
        <v>68.948928030038715</v>
      </c>
      <c r="D40" s="57">
        <f>IF(2534.79864="","-",2534.79864/5842484.3398*100)</f>
        <v>4.3385630026126373E-2</v>
      </c>
      <c r="E40" s="57">
        <f>IF(1747.71649="","-",1747.71649/5415671.45304*100)</f>
        <v>3.2271464492532084E-2</v>
      </c>
      <c r="F40" s="58">
        <f>IF(OR(5760057.05112="",2858.78297="",2534.79864=""),"-",(2534.79864-2858.78297)/5760057.05112*100)</f>
        <v>-5.6246722406508793E-3</v>
      </c>
      <c r="G40" s="58">
        <f>IF(OR(5842484.3398="",1747.71649="",2534.79864=""),"-",(1747.71649-2534.79864)/5842484.3398*100)</f>
        <v>-1.3471703204033634E-2</v>
      </c>
    </row>
    <row r="41" spans="1:7" s="9" customFormat="1" ht="25.5" x14ac:dyDescent="0.25">
      <c r="A41" s="67" t="s">
        <v>190</v>
      </c>
      <c r="B41" s="54">
        <v>820385.27538999997</v>
      </c>
      <c r="C41" s="55">
        <f>IF(841837.40635="","-",820385.27539/841837.40635*100)</f>
        <v>97.451748900893918</v>
      </c>
      <c r="D41" s="54">
        <f>IF(841837.40635="","-",841837.40635/5842484.3398*100)</f>
        <v>14.408894528227655</v>
      </c>
      <c r="E41" s="54">
        <f>IF(820385.27539="","-",820385.27539/5415671.45304*100)</f>
        <v>15.148357549080824</v>
      </c>
      <c r="F41" s="55">
        <f>IF(5760057.05112="","-",(841837.40635-813994.12719)/5760057.05112*100)</f>
        <v>0.48338547540229659</v>
      </c>
      <c r="G41" s="55">
        <f>IF(5842484.3398="","-",(820385.27539-841837.40635)/5842484.3398*100)</f>
        <v>-0.36717481318459688</v>
      </c>
    </row>
    <row r="42" spans="1:7" s="9" customFormat="1" x14ac:dyDescent="0.25">
      <c r="A42" s="56" t="s">
        <v>26</v>
      </c>
      <c r="B42" s="57">
        <v>12929.482679999999</v>
      </c>
      <c r="C42" s="58">
        <f>IF(OR(22836.06704="",12929.48268=""),"-",12929.48268/22836.06704*100)</f>
        <v>56.618692953355406</v>
      </c>
      <c r="D42" s="57">
        <f>IF(22836.06704="","-",22836.06704/5842484.3398*100)</f>
        <v>0.39086227214058272</v>
      </c>
      <c r="E42" s="57">
        <f>IF(12929.48268="","-",12929.48268/5415671.45304*100)</f>
        <v>0.23874200627038117</v>
      </c>
      <c r="F42" s="58">
        <f>IF(OR(5760057.05112="",22348.67186="",22836.06704=""),"-",(22836.06704-22348.67186)/5760057.05112*100)</f>
        <v>8.4616380649429994E-3</v>
      </c>
      <c r="G42" s="58">
        <f>IF(OR(5842484.3398="",12929.48268="",22836.06704=""),"-",(12929.48268-22836.06704)/5842484.3398*100)</f>
        <v>-0.16956116240679772</v>
      </c>
    </row>
    <row r="43" spans="1:7" s="9" customFormat="1" x14ac:dyDescent="0.25">
      <c r="A43" s="56" t="s">
        <v>27</v>
      </c>
      <c r="B43" s="57">
        <v>15830.87955</v>
      </c>
      <c r="C43" s="58">
        <f>IF(OR(16969.31788="",15830.87955=""),"-",15830.87955/16969.31788*100)</f>
        <v>93.291195685939982</v>
      </c>
      <c r="D43" s="57">
        <f>IF(16969.31788="","-",16969.31788/5842484.3398*100)</f>
        <v>0.29044695532005299</v>
      </c>
      <c r="E43" s="57">
        <f>IF(15830.87955="","-",15830.87955/5415671.45304*100)</f>
        <v>0.29231609943977654</v>
      </c>
      <c r="F43" s="58">
        <f>IF(OR(5760057.05112="",16634.70977="",16969.31788=""),"-",(16969.31788-16634.70977)/5760057.05112*100)</f>
        <v>5.809111038838328E-3</v>
      </c>
      <c r="G43" s="58">
        <f>IF(OR(5842484.3398="",15830.87955="",16969.31788=""),"-",(15830.87955-16969.31788)/5842484.3398*100)</f>
        <v>-1.9485517868567705E-2</v>
      </c>
    </row>
    <row r="44" spans="1:7" s="9" customFormat="1" x14ac:dyDescent="0.25">
      <c r="A44" s="56" t="s">
        <v>191</v>
      </c>
      <c r="B44" s="57">
        <v>42996.137609999998</v>
      </c>
      <c r="C44" s="58">
        <f>IF(OR(39403.1693="",42996.13761=""),"-",42996.13761/39403.1693*100)</f>
        <v>109.11847542679772</v>
      </c>
      <c r="D44" s="57">
        <f>IF(39403.1693="","-",39403.1693/5842484.3398*100)</f>
        <v>0.67442490228991958</v>
      </c>
      <c r="E44" s="57">
        <f>IF(42996.13761="","-",42996.13761/5415671.45304*100)</f>
        <v>0.79392071662443275</v>
      </c>
      <c r="F44" s="58">
        <f>IF(OR(5760057.05112="",36914.47003="",39403.1693=""),"-",(39403.1693-36914.47003)/5760057.05112*100)</f>
        <v>4.3206156604231827E-2</v>
      </c>
      <c r="G44" s="58">
        <f>IF(OR(5842484.3398="",42996.13761="",39403.1693=""),"-",(42996.13761-39403.1693)/5842484.3398*100)</f>
        <v>6.1497268987510734E-2</v>
      </c>
    </row>
    <row r="45" spans="1:7" s="9" customFormat="1" x14ac:dyDescent="0.25">
      <c r="A45" s="56" t="s">
        <v>192</v>
      </c>
      <c r="B45" s="57">
        <v>258027.38315000001</v>
      </c>
      <c r="C45" s="58">
        <f>IF(OR(268941.93455="",258027.38315=""),"-",258027.38315/268941.93455*100)</f>
        <v>95.941669930253724</v>
      </c>
      <c r="D45" s="57">
        <f>IF(268941.93455="","-",268941.93455/5842484.3398*100)</f>
        <v>4.6032119028188347</v>
      </c>
      <c r="E45" s="57">
        <f>IF(258027.38315="","-",258027.38315/5415671.45304*100)</f>
        <v>4.7644578403137894</v>
      </c>
      <c r="F45" s="58">
        <f>IF(OR(5760057.05112="",239260.91466="",268941.93455=""),"-",(268941.93455-239260.91466)/5760057.05112*100)</f>
        <v>0.51529038040046404</v>
      </c>
      <c r="G45" s="58">
        <f>IF(OR(5842484.3398="",258027.38315="",268941.93455=""),"-",(258027.38315-268941.93455)/5842484.3398*100)</f>
        <v>-0.18681353282623644</v>
      </c>
    </row>
    <row r="46" spans="1:7" s="9" customFormat="1" ht="38.25" x14ac:dyDescent="0.25">
      <c r="A46" s="56" t="s">
        <v>193</v>
      </c>
      <c r="B46" s="57">
        <v>114100.27966</v>
      </c>
      <c r="C46" s="58">
        <f>IF(OR(116176.29565="",114100.27966=""),"-",114100.27966/116176.29565*100)</f>
        <v>98.21304683680539</v>
      </c>
      <c r="D46" s="57">
        <f>IF(116176.29565="","-",116176.29565/5842484.3398*100)</f>
        <v>1.9884742327606639</v>
      </c>
      <c r="E46" s="57">
        <f>IF(114100.27966="","-",114100.27966/5415671.45304*100)</f>
        <v>2.1068537973431094</v>
      </c>
      <c r="F46" s="58">
        <f>IF(OR(5760057.05112="",113444.5841="",116176.29565=""),"-",(116176.29565-113444.5841)/5760057.05112*100)</f>
        <v>4.742507801149029E-2</v>
      </c>
      <c r="G46" s="58">
        <f>IF(OR(5842484.3398="",114100.27966="",116176.29565=""),"-",(114100.27966-116176.29565)/5842484.3398*100)</f>
        <v>-3.553310320162649E-2</v>
      </c>
    </row>
    <row r="47" spans="1:7" s="9" customFormat="1" x14ac:dyDescent="0.25">
      <c r="A47" s="56" t="s">
        <v>194</v>
      </c>
      <c r="B47" s="57">
        <v>72621.445269999997</v>
      </c>
      <c r="C47" s="58">
        <f>IF(OR(84632.03372="",72621.44527=""),"-",72621.44527/84632.03372*100)</f>
        <v>85.808460553203389</v>
      </c>
      <c r="D47" s="57">
        <f>IF(84632.03372="","-",84632.03372/5842484.3398*100)</f>
        <v>1.448562440184429</v>
      </c>
      <c r="E47" s="57">
        <f>IF(72621.44527="","-",72621.44527/5415671.45304*100)</f>
        <v>1.3409499800663705</v>
      </c>
      <c r="F47" s="58">
        <f>IF(OR(5760057.05112="",86148.61069="",84632.03372=""),"-",(84632.03372-86148.61069)/5760057.05112*100)</f>
        <v>-2.6329200501670508E-2</v>
      </c>
      <c r="G47" s="58">
        <f>IF(OR(5842484.3398="",72621.44527="",84632.03372=""),"-",(72621.44527-84632.03372)/5842484.3398*100)</f>
        <v>-0.20557331011025279</v>
      </c>
    </row>
    <row r="48" spans="1:7" s="9" customFormat="1" x14ac:dyDescent="0.25">
      <c r="A48" s="56" t="s">
        <v>28</v>
      </c>
      <c r="B48" s="57">
        <v>47325.895199999999</v>
      </c>
      <c r="C48" s="58">
        <f>IF(OR(53011.65669="",47325.8952=""),"-",47325.8952/53011.65669*100)</f>
        <v>89.274507070682532</v>
      </c>
      <c r="D48" s="57">
        <f>IF(53011.65669="","-",53011.65669/5842484.3398*100)</f>
        <v>0.90734786106101395</v>
      </c>
      <c r="E48" s="57">
        <f>IF(47325.8952="","-",47325.8952/5415671.45304*100)</f>
        <v>0.87386939201111202</v>
      </c>
      <c r="F48" s="58">
        <f>IF(OR(5760057.05112="",58948.37123="",53011.65669=""),"-",(53011.65669-58948.37123)/5760057.05112*100)</f>
        <v>-0.10306693991591011</v>
      </c>
      <c r="G48" s="58">
        <f>IF(OR(5842484.3398="",47325.8952="",53011.65669=""),"-",(47325.8952-53011.65669)/5842484.3398*100)</f>
        <v>-9.731753068241239E-2</v>
      </c>
    </row>
    <row r="49" spans="1:7" s="9" customFormat="1" x14ac:dyDescent="0.25">
      <c r="A49" s="56" t="s">
        <v>29</v>
      </c>
      <c r="B49" s="57">
        <v>123197.66693000001</v>
      </c>
      <c r="C49" s="58">
        <f>IF(OR(115233.91564="",123197.66693=""),"-",123197.66693/115233.91564*100)</f>
        <v>106.91094392286328</v>
      </c>
      <c r="D49" s="57">
        <f>IF(115233.91564="","-",115233.91564/5842484.3398*100)</f>
        <v>1.9723444503737375</v>
      </c>
      <c r="E49" s="57">
        <f>IF(123197.66693="","-",123197.66693/5415671.45304*100)</f>
        <v>2.2748364260694762</v>
      </c>
      <c r="F49" s="58">
        <f>IF(OR(5760057.05112="",112216.31839="",115233.91564=""),"-",(115233.91564-112216.31839)/5760057.05112*100)</f>
        <v>5.2388322254781433E-2</v>
      </c>
      <c r="G49" s="58">
        <f>IF(OR(5842484.3398="",123197.66693="",115233.91564=""),"-",(123197.66693-115233.91564)/5842484.3398*100)</f>
        <v>0.13630761893103532</v>
      </c>
    </row>
    <row r="50" spans="1:7" s="9" customFormat="1" x14ac:dyDescent="0.25">
      <c r="A50" s="56" t="s">
        <v>195</v>
      </c>
      <c r="B50" s="57">
        <v>133356.10534000001</v>
      </c>
      <c r="C50" s="58">
        <f>IF(OR(124633.01588="",133356.10534=""),"-",133356.10534/124633.01588*100)</f>
        <v>106.99901980098021</v>
      </c>
      <c r="D50" s="57">
        <f>IF(124633.01588="","-",124633.01588/5842484.3398*100)</f>
        <v>2.133219511278424</v>
      </c>
      <c r="E50" s="57">
        <f>IF(133356.10534="","-",133356.10534/5415671.45304*100)</f>
        <v>2.4624112909423763</v>
      </c>
      <c r="F50" s="58">
        <f>IF(OR(5760057.05112="",128077.47646="",124633.01588=""),"-",(124633.01588-128077.47646)/5760057.05112*100)</f>
        <v>-5.9799070554869757E-2</v>
      </c>
      <c r="G50" s="58">
        <f>IF(OR(5842484.3398="",133356.10534="",124633.01588=""),"-",(133356.10534-124633.01588)/5842484.3398*100)</f>
        <v>0.14930445599275002</v>
      </c>
    </row>
    <row r="51" spans="1:7" s="9" customFormat="1" ht="25.5" x14ac:dyDescent="0.25">
      <c r="A51" s="67" t="s">
        <v>238</v>
      </c>
      <c r="B51" s="54">
        <v>1065714.4993</v>
      </c>
      <c r="C51" s="55">
        <f>IF(1132644.35643="","-",1065714.4993/1132644.35643*100)</f>
        <v>94.090832064801248</v>
      </c>
      <c r="D51" s="54">
        <f>IF(1132644.35643="","-",1132644.35643/5842484.3398*100)</f>
        <v>19.386348179219468</v>
      </c>
      <c r="E51" s="54">
        <f>IF(1065714.4993="","-",1065714.4993/5415671.45304*100)</f>
        <v>19.67834475449537</v>
      </c>
      <c r="F51" s="55">
        <f>IF(5760057.05112="","-",(1132644.35643-1141996.75554)/5760057.05112*100)</f>
        <v>-0.16236643191201744</v>
      </c>
      <c r="G51" s="55">
        <f>IF(5842484.3398="","-",(1065714.4993-1132644.35643)/5842484.3398*100)</f>
        <v>-1.1455718704124254</v>
      </c>
    </row>
    <row r="52" spans="1:7" s="9" customFormat="1" x14ac:dyDescent="0.25">
      <c r="A52" s="56" t="s">
        <v>196</v>
      </c>
      <c r="B52" s="57">
        <v>48160.382030000001</v>
      </c>
      <c r="C52" s="58">
        <f>IF(OR(55121.64689="",48160.38203=""),"-",48160.38203/55121.64689*100)</f>
        <v>87.371086945403121</v>
      </c>
      <c r="D52" s="57">
        <f>IF(55121.64689="","-",55121.64689/5842484.3398*100)</f>
        <v>0.94346246706220394</v>
      </c>
      <c r="E52" s="57">
        <f>IF(48160.38203="","-",48160.38203/5415671.45304*100)</f>
        <v>0.8892781337938428</v>
      </c>
      <c r="F52" s="58">
        <f>IF(OR(5760057.05112="",54751.32865="",55121.64689=""),"-",(55121.64689-54751.32865)/5760057.05112*100)</f>
        <v>6.4290724330238174E-3</v>
      </c>
      <c r="G52" s="58">
        <f>IF(OR(5842484.3398="",48160.38203="",55121.64689=""),"-",(48160.38203-55121.64689)/5842484.3398*100)</f>
        <v>-0.11914905466804042</v>
      </c>
    </row>
    <row r="53" spans="1:7" s="9" customFormat="1" x14ac:dyDescent="0.25">
      <c r="A53" s="56" t="s">
        <v>30</v>
      </c>
      <c r="B53" s="57">
        <v>60628.351089999996</v>
      </c>
      <c r="C53" s="58">
        <f>IF(OR(67887.79415="",60628.35109=""),"-",60628.35109/67887.79415*100)</f>
        <v>89.306703582148998</v>
      </c>
      <c r="D53" s="57">
        <f>IF(67887.79415="","-",67887.79415/5842484.3398*100)</f>
        <v>1.1619679266838041</v>
      </c>
      <c r="E53" s="57">
        <f>IF(60628.35109="","-",60628.35109/5415671.45304*100)</f>
        <v>1.1194983228897175</v>
      </c>
      <c r="F53" s="58">
        <f>IF(OR(5760057.05112="",67970.49628="",67887.79415=""),"-",(67887.79415-67970.49628)/5760057.05112*100)</f>
        <v>-1.4357866470076771E-3</v>
      </c>
      <c r="G53" s="58">
        <f>IF(OR(5842484.3398="",60628.35109="",67887.79415=""),"-",(60628.35109-67887.79415)/5842484.3398*100)</f>
        <v>-0.12425267468065665</v>
      </c>
    </row>
    <row r="54" spans="1:7" s="9" customFormat="1" x14ac:dyDescent="0.25">
      <c r="A54" s="56" t="s">
        <v>197</v>
      </c>
      <c r="B54" s="57">
        <v>90825.13811</v>
      </c>
      <c r="C54" s="58">
        <f>IF(OR(91687.72401="",90825.13811=""),"-",90825.13811/91687.72401*100)</f>
        <v>99.059213314199042</v>
      </c>
      <c r="D54" s="57">
        <f>IF(91687.72401="","-",91687.72401/5842484.3398*100)</f>
        <v>1.5693276811271462</v>
      </c>
      <c r="E54" s="57">
        <f>IF(90825.13811="","-",90825.13811/5415671.45304*100)</f>
        <v>1.6770799133137366</v>
      </c>
      <c r="F54" s="58">
        <f>IF(OR(5760057.05112="",87997.06185="",91687.72401=""),"-",(91687.72401-87997.06185)/5760057.05112*100)</f>
        <v>6.4073361205378779E-2</v>
      </c>
      <c r="G54" s="58">
        <f>IF(OR(5842484.3398="",90825.13811="",91687.72401=""),"-",(90825.13811-91687.72401)/5842484.3398*100)</f>
        <v>-1.4764025880633058E-2</v>
      </c>
    </row>
    <row r="55" spans="1:7" s="9" customFormat="1" ht="25.5" x14ac:dyDescent="0.25">
      <c r="A55" s="56" t="s">
        <v>198</v>
      </c>
      <c r="B55" s="57">
        <v>93602.886670000007</v>
      </c>
      <c r="C55" s="58">
        <f>IF(OR(105614.17104="",93602.88667=""),"-",93602.88667/105614.17104*100)</f>
        <v>88.627203857472054</v>
      </c>
      <c r="D55" s="57">
        <f>IF(105614.17104="","-",105614.17104/5842484.3398*100)</f>
        <v>1.8076928391666924</v>
      </c>
      <c r="E55" s="57">
        <f>IF(93602.88667="","-",93602.88667/5415671.45304*100)</f>
        <v>1.7283708489638443</v>
      </c>
      <c r="F55" s="58">
        <f>IF(OR(5760057.05112="",100727.06154="",105614.17104=""),"-",(105614.17104-100727.06154)/5760057.05112*100)</f>
        <v>8.4844810678563407E-2</v>
      </c>
      <c r="G55" s="58">
        <f>IF(OR(5842484.3398="",93602.88667="",105614.17104=""),"-",(93602.88667-105614.17104)/5842484.3398*100)</f>
        <v>-0.2055852214815036</v>
      </c>
    </row>
    <row r="56" spans="1:7" s="9" customFormat="1" ht="16.5" customHeight="1" x14ac:dyDescent="0.25">
      <c r="A56" s="56" t="s">
        <v>199</v>
      </c>
      <c r="B56" s="57">
        <v>261279.57522</v>
      </c>
      <c r="C56" s="58">
        <f>IF(OR(271171.33055="",261279.57522=""),"-",261279.57522/271171.33055*100)</f>
        <v>96.352211972431903</v>
      </c>
      <c r="D56" s="57">
        <f>IF(271171.33055="","-",271171.33055/5842484.3398*100)</f>
        <v>4.6413702592702677</v>
      </c>
      <c r="E56" s="57">
        <f>IF(261279.57522="","-",261279.57522/5415671.45304*100)</f>
        <v>4.8245093426658094</v>
      </c>
      <c r="F56" s="58">
        <f>IF(OR(5760057.05112="",295580.79067="",271171.33055=""),"-",(271171.33055-295580.79067)/5760057.05112*100)</f>
        <v>-0.42377115197589521</v>
      </c>
      <c r="G56" s="58">
        <f>IF(OR(5842484.3398="",261279.57522="",271171.33055=""),"-",(261279.57522-271171.33055)/5842484.3398*100)</f>
        <v>-0.16930734863276722</v>
      </c>
    </row>
    <row r="57" spans="1:7" s="9" customFormat="1" ht="16.5" customHeight="1" x14ac:dyDescent="0.25">
      <c r="A57" s="56" t="s">
        <v>31</v>
      </c>
      <c r="B57" s="57">
        <v>139179.63972000001</v>
      </c>
      <c r="C57" s="58">
        <f>IF(OR(130890.49728="",139179.63972=""),"-",139179.63972/130890.49728*100)</f>
        <v>106.33288329730151</v>
      </c>
      <c r="D57" s="57">
        <f>IF(130890.49728="","-",130890.49728/5842484.3398*100)</f>
        <v>2.2403226036628219</v>
      </c>
      <c r="E57" s="57">
        <f>IF(139179.63972="","-",139179.63972/5415671.45304*100)</f>
        <v>2.5699424517688154</v>
      </c>
      <c r="F57" s="58">
        <f>IF(OR(5760057.05112="",128234.99771="",130890.49728=""),"-",(130890.49728-128234.99771)/5760057.05112*100)</f>
        <v>4.6101966463746362E-2</v>
      </c>
      <c r="G57" s="58">
        <f>IF(OR(5842484.3398="",139179.63972="",130890.49728=""),"-",(139179.63972-130890.49728)/5842484.3398*100)</f>
        <v>0.14187701597303323</v>
      </c>
    </row>
    <row r="58" spans="1:7" s="9" customFormat="1" ht="16.5" customHeight="1" x14ac:dyDescent="0.25">
      <c r="A58" s="56" t="s">
        <v>200</v>
      </c>
      <c r="B58" s="57">
        <v>133051.81296000001</v>
      </c>
      <c r="C58" s="58">
        <f>IF(OR(145317.49512="",133051.81296=""),"-",133051.81296/145317.49512*100)</f>
        <v>91.559390595143924</v>
      </c>
      <c r="D58" s="57">
        <f>IF(145317.49512="","-",145317.49512/5842484.3398*100)</f>
        <v>2.4872551926253776</v>
      </c>
      <c r="E58" s="57">
        <f>IF(133051.81296="","-",133051.81296/5415671.45304*100)</f>
        <v>2.456792553124941</v>
      </c>
      <c r="F58" s="58">
        <f>IF(OR(5760057.05112="",134644.77938="",145317.49512=""),"-",(145317.49512-134644.77938)/5760057.05112*100)</f>
        <v>0.18528836859219622</v>
      </c>
      <c r="G58" s="58">
        <f>IF(OR(5842484.3398="",133051.81296="",145317.49512=""),"-",(133051.81296-145317.49512)/5842484.3398*100)</f>
        <v>-0.20993949571150883</v>
      </c>
    </row>
    <row r="59" spans="1:7" s="9" customFormat="1" ht="15.75" customHeight="1" x14ac:dyDescent="0.25">
      <c r="A59" s="56" t="s">
        <v>32</v>
      </c>
      <c r="B59" s="57">
        <v>65423.830829999999</v>
      </c>
      <c r="C59" s="58">
        <f>IF(OR(91454.16511="",65423.83083=""),"-",65423.83083/91454.16511*100)</f>
        <v>71.537289473157372</v>
      </c>
      <c r="D59" s="57">
        <f>IF(91454.16511="","-",91454.16511/5842484.3398*100)</f>
        <v>1.5653300854740613</v>
      </c>
      <c r="E59" s="57">
        <f>IF(65423.83083="","-",65423.83083/5415671.45304*100)</f>
        <v>1.2080465256671984</v>
      </c>
      <c r="F59" s="58">
        <f>IF(OR(5760057.05112="",105865.05564="",91454.16511=""),"-",(91454.16511-105865.05564)/5760057.05112*100)</f>
        <v>-0.25018659367614965</v>
      </c>
      <c r="G59" s="58">
        <f>IF(OR(5842484.3398="",65423.83083="",91454.16511=""),"-",(65423.83083-91454.16511)/5842484.3398*100)</f>
        <v>-0.44553537101806029</v>
      </c>
    </row>
    <row r="60" spans="1:7" s="9" customFormat="1" ht="15" customHeight="1" x14ac:dyDescent="0.25">
      <c r="A60" s="56" t="s">
        <v>33</v>
      </c>
      <c r="B60" s="57">
        <v>173562.88266999999</v>
      </c>
      <c r="C60" s="58">
        <f>IF(OR(173499.53228="",173562.88267=""),"-",173562.88267/173499.53228*100)</f>
        <v>100.03651329151582</v>
      </c>
      <c r="D60" s="57">
        <f>IF(173499.53228="","-",173499.53228/5842484.3398*100)</f>
        <v>2.9696191241470959</v>
      </c>
      <c r="E60" s="57">
        <f>IF(173562.88267="","-",173562.88267/5415671.45304*100)</f>
        <v>3.2048266623074646</v>
      </c>
      <c r="F60" s="58">
        <f>IF(OR(5760057.05112="",166225.18382="",173499.53228=""),"-",(173499.53228-166225.18382)/5760057.05112*100)</f>
        <v>0.12628952101412894</v>
      </c>
      <c r="G60" s="58">
        <f>IF(OR(5842484.3398="",173562.88267="",173499.53228=""),"-",(173562.88267-173499.53228)/5842484.3398*100)</f>
        <v>1.0843056877093212E-3</v>
      </c>
    </row>
    <row r="61" spans="1:7" s="9" customFormat="1" ht="16.5" customHeight="1" x14ac:dyDescent="0.25">
      <c r="A61" s="67" t="s">
        <v>201</v>
      </c>
      <c r="B61" s="54">
        <v>1420067.4804700001</v>
      </c>
      <c r="C61" s="55">
        <f>IF(1425713.71873="","-",1420067.48047/1425713.71873*100)</f>
        <v>99.603971106834152</v>
      </c>
      <c r="D61" s="54">
        <f>IF(1425713.71873="","-",1425713.71873/5842484.3398*100)</f>
        <v>24.402525292499202</v>
      </c>
      <c r="E61" s="54">
        <f>IF(1420067.48047="","-",1420067.48047/5415671.45304*100)</f>
        <v>26.221448121134973</v>
      </c>
      <c r="F61" s="55">
        <f>IF(5760057.05112="","-",(1425713.71873-1384427.77842)/5760057.05112*100)</f>
        <v>0.71676269772314549</v>
      </c>
      <c r="G61" s="55">
        <f>IF(5842484.3398="","-",(1420067.48047-1425713.71873)/5842484.3398*100)</f>
        <v>-9.6641050820399713E-2</v>
      </c>
    </row>
    <row r="62" spans="1:7" s="9" customFormat="1" ht="25.5" x14ac:dyDescent="0.25">
      <c r="A62" s="56" t="s">
        <v>202</v>
      </c>
      <c r="B62" s="57">
        <v>20406.341039999999</v>
      </c>
      <c r="C62" s="58">
        <f>IF(OR(21396.41852="",20406.34104=""),"-",20406.34104/21396.41852*100)</f>
        <v>95.372695299100926</v>
      </c>
      <c r="D62" s="57">
        <f>IF(21396.41852="","-",21396.41852/5842484.3398*100)</f>
        <v>0.36622123869881767</v>
      </c>
      <c r="E62" s="57">
        <f>IF(20406.34104="","-",20406.34104/5415671.45304*100)</f>
        <v>0.37680168040004031</v>
      </c>
      <c r="F62" s="58">
        <f>IF(OR(5760057.05112="",23220.78664="",21396.41852=""),"-",(21396.41852-23220.78664)/5760057.05112*100)</f>
        <v>-3.1672743929598138E-2</v>
      </c>
      <c r="G62" s="58">
        <f>IF(OR(5842484.3398="",20406.34104="",21396.41852=""),"-",(20406.34104-21396.41852)/5842484.3398*100)</f>
        <v>-1.6946172594001205E-2</v>
      </c>
    </row>
    <row r="63" spans="1:7" s="9" customFormat="1" ht="27" customHeight="1" x14ac:dyDescent="0.25">
      <c r="A63" s="56" t="s">
        <v>203</v>
      </c>
      <c r="B63" s="57">
        <v>165905.17666999999</v>
      </c>
      <c r="C63" s="58">
        <f>IF(OR(190940.80754="",165905.17667=""),"-",165905.17667/190940.80754*100)</f>
        <v>86.888276428413377</v>
      </c>
      <c r="D63" s="57">
        <f>IF(190940.80754="","-",190940.80754/5842484.3398*100)</f>
        <v>3.2681441050561091</v>
      </c>
      <c r="E63" s="57">
        <f>IF(165905.17667="","-",165905.17667/5415671.45304*100)</f>
        <v>3.0634276489736427</v>
      </c>
      <c r="F63" s="58">
        <f>IF(OR(5760057.05112="",207366.31187="",190940.80754=""),"-",(190940.80754-207366.31187)/5760057.05112*100)</f>
        <v>-0.28516218128093335</v>
      </c>
      <c r="G63" s="58">
        <f>IF(OR(5842484.3398="",165905.17667="",190940.80754=""),"-",(165905.17667-190940.80754)/5842484.3398*100)</f>
        <v>-0.42851002097606039</v>
      </c>
    </row>
    <row r="64" spans="1:7" s="9" customFormat="1" ht="25.5" x14ac:dyDescent="0.25">
      <c r="A64" s="56" t="s">
        <v>204</v>
      </c>
      <c r="B64" s="57">
        <v>14620.37119</v>
      </c>
      <c r="C64" s="58">
        <f>IF(OR(11249.22903="",14620.37119=""),"-",14620.37119/11249.22903*100)</f>
        <v>129.96776179958351</v>
      </c>
      <c r="D64" s="57">
        <f>IF(11249.22903="","-",11249.22903/5842484.3398*100)</f>
        <v>0.19254187732037778</v>
      </c>
      <c r="E64" s="57">
        <f>IF(14620.37119="","-",14620.37119/5415671.45304*100)</f>
        <v>0.26996414603018598</v>
      </c>
      <c r="F64" s="58">
        <f>IF(OR(5760057.05112="",14351.10349="",11249.22903=""),"-",(11249.22903-14351.10349)/5760057.05112*100)</f>
        <v>-5.3851453769834842E-2</v>
      </c>
      <c r="G64" s="58">
        <f>IF(OR(5842484.3398="",14620.37119="",11249.22903=""),"-",(14620.37119-11249.22903)/5842484.3398*100)</f>
        <v>5.7700491159817131E-2</v>
      </c>
    </row>
    <row r="65" spans="1:7" s="9" customFormat="1" ht="38.25" x14ac:dyDescent="0.25">
      <c r="A65" s="56" t="s">
        <v>205</v>
      </c>
      <c r="B65" s="57">
        <v>203450.45447</v>
      </c>
      <c r="C65" s="58">
        <f>IF(OR(190362.53856="",203450.45447=""),"-",203450.45447/190362.53856*100)</f>
        <v>106.87525813061947</v>
      </c>
      <c r="D65" s="57">
        <f>IF(190362.53856="","-",190362.53856/5842484.3398*100)</f>
        <v>3.2582464494293619</v>
      </c>
      <c r="E65" s="57">
        <f>IF(203450.45447="","-",203450.45447/5415671.45304*100)</f>
        <v>3.7566986150128505</v>
      </c>
      <c r="F65" s="58">
        <f>IF(OR(5760057.05112="",174723.26657="",190362.53856=""),"-",(190362.53856-174723.26657)/5760057.05112*100)</f>
        <v>0.2715124494636566</v>
      </c>
      <c r="G65" s="58">
        <f>IF(OR(5842484.3398="",203450.45447="",190362.53856=""),"-",(203450.45447-190362.53856)/5842484.3398*100)</f>
        <v>0.22401285393001216</v>
      </c>
    </row>
    <row r="66" spans="1:7" s="9" customFormat="1" ht="25.5" x14ac:dyDescent="0.25">
      <c r="A66" s="56" t="s">
        <v>206</v>
      </c>
      <c r="B66" s="57">
        <v>62864.992339999997</v>
      </c>
      <c r="C66" s="58">
        <f>IF(OR(50155.978="",62864.99234=""),"-",62864.99234/50155.978*100)</f>
        <v>125.33898220467357</v>
      </c>
      <c r="D66" s="57">
        <f>IF(50155.978="","-",50155.978/5842484.3398*100)</f>
        <v>0.85847004600986132</v>
      </c>
      <c r="E66" s="57">
        <f>IF(62864.99234="","-",62864.99234/5415671.45304*100)</f>
        <v>1.1607977493670105</v>
      </c>
      <c r="F66" s="58">
        <f>IF(OR(5760057.05112="",57483.09455="",50155.978=""),"-",(50155.978-57483.09455)/5760057.05112*100)</f>
        <v>-0.12720562461400092</v>
      </c>
      <c r="G66" s="58">
        <f>IF(OR(5842484.3398="",62864.99234="",50155.978=""),"-",(62864.99234-50155.978)/5842484.3398*100)</f>
        <v>0.2175275721908918</v>
      </c>
    </row>
    <row r="67" spans="1:7" s="9" customFormat="1" ht="38.25" x14ac:dyDescent="0.25">
      <c r="A67" s="56" t="s">
        <v>207</v>
      </c>
      <c r="B67" s="57">
        <v>175528.10574</v>
      </c>
      <c r="C67" s="58">
        <f>IF(OR(170557.35047="",175528.10574=""),"-",175528.10574/170557.35047*100)</f>
        <v>102.91441867284068</v>
      </c>
      <c r="D67" s="57">
        <f>IF(170557.35047="","-",170557.35047/5842484.3398*100)</f>
        <v>2.9192607211308079</v>
      </c>
      <c r="E67" s="57">
        <f>IF(175528.10574="","-",175528.10574/5415671.45304*100)</f>
        <v>3.241114370803829</v>
      </c>
      <c r="F67" s="58">
        <f>IF(OR(5760057.05112="",155967.69848="",170557.35047=""),"-",(170557.35047-155967.69848)/5760057.05112*100)</f>
        <v>0.25329006050666053</v>
      </c>
      <c r="G67" s="58">
        <f>IF(OR(5842484.3398="",175528.10574="",170557.35047=""),"-",(175528.10574-170557.35047)/5842484.3398*100)</f>
        <v>8.5079479565539629E-2</v>
      </c>
    </row>
    <row r="68" spans="1:7" s="9" customFormat="1" ht="51" x14ac:dyDescent="0.25">
      <c r="A68" s="56" t="s">
        <v>208</v>
      </c>
      <c r="B68" s="57">
        <v>426933.65279000002</v>
      </c>
      <c r="C68" s="58">
        <f>IF(OR(446735.74734="",426933.65279=""),"-",426933.65279/446735.74734*100)</f>
        <v>95.567380791014003</v>
      </c>
      <c r="D68" s="57">
        <f>IF(446735.74734="","-",446735.74734/5842484.3398*100)</f>
        <v>7.6463319601348338</v>
      </c>
      <c r="E68" s="57">
        <f>IF(426933.65279="","-",426933.65279/5415671.45304*100)</f>
        <v>7.883300464069837</v>
      </c>
      <c r="F68" s="58">
        <f>IF(OR(5760057.05112="",436279.0181="",446735.74734=""),"-",(446735.74734-436279.0181)/5760057.05112*100)</f>
        <v>0.1815386401071632</v>
      </c>
      <c r="G68" s="58">
        <f>IF(OR(5842484.3398="",426933.65279="",446735.74734=""),"-",(426933.65279-446735.74734)/5842484.3398*100)</f>
        <v>-0.33893277924777193</v>
      </c>
    </row>
    <row r="69" spans="1:7" s="9" customFormat="1" ht="25.5" x14ac:dyDescent="0.25">
      <c r="A69" s="56" t="s">
        <v>209</v>
      </c>
      <c r="B69" s="57">
        <v>297823.53668999998</v>
      </c>
      <c r="C69" s="58">
        <f>IF(OR(335358.54439="",297823.53669=""),"-",297823.53669/335358.54439*100)</f>
        <v>88.807499219000292</v>
      </c>
      <c r="D69" s="57">
        <f>IF(335358.54439="","-",335358.54439/5842484.3398*100)</f>
        <v>5.739999029273906</v>
      </c>
      <c r="E69" s="57">
        <f>IF(297823.53669="","-",297823.53669/5415671.45304*100)</f>
        <v>5.4992910717067511</v>
      </c>
      <c r="F69" s="58">
        <f>IF(OR(5760057.05112="",310060.67053="",335358.54439=""),"-",(335358.54439-310060.67053)/5760057.05112*100)</f>
        <v>0.43919484886145377</v>
      </c>
      <c r="G69" s="58">
        <f>IF(OR(5842484.3398="",297823.53669="",335358.54439=""),"-",(297823.53669-335358.54439)/5842484.3398*100)</f>
        <v>-0.64244943618085781</v>
      </c>
    </row>
    <row r="70" spans="1:7" s="9" customFormat="1" x14ac:dyDescent="0.25">
      <c r="A70" s="56" t="s">
        <v>34</v>
      </c>
      <c r="B70" s="57">
        <v>52534.849540000003</v>
      </c>
      <c r="C70" s="58" t="s">
        <v>273</v>
      </c>
      <c r="D70" s="57">
        <f>IF(8957.10488="","-",8957.10488/5842484.3398*100)</f>
        <v>0.15330986544512706</v>
      </c>
      <c r="E70" s="57">
        <f>IF(52534.84954="","-",52534.84954/5415671.45304*100)</f>
        <v>0.97005237477082207</v>
      </c>
      <c r="F70" s="58">
        <f>IF(OR(5760057.05112="",4975.82819="",8957.10488=""),"-",(8957.10488-4975.82819)/5760057.05112*100)</f>
        <v>6.9118702378579241E-2</v>
      </c>
      <c r="G70" s="58">
        <f>IF(OR(5842484.3398="",52534.84954="",8957.10488=""),"-",(52534.84954-8957.10488)/5842484.3398*100)</f>
        <v>0.74587696133203085</v>
      </c>
    </row>
    <row r="71" spans="1:7" s="9" customFormat="1" x14ac:dyDescent="0.25">
      <c r="A71" s="67" t="s">
        <v>35</v>
      </c>
      <c r="B71" s="54">
        <v>605039.82576000004</v>
      </c>
      <c r="C71" s="55">
        <f>IF(630111.40342="","-",605039.82576/630111.40342*100)</f>
        <v>96.021088092689453</v>
      </c>
      <c r="D71" s="54">
        <f>IF(630111.40342="","-",630111.40342/5842484.3398*100)</f>
        <v>10.78499088354544</v>
      </c>
      <c r="E71" s="54">
        <f>IF(605039.82576="","-",605039.82576/5415671.45304*100)</f>
        <v>11.172018668532239</v>
      </c>
      <c r="F71" s="55">
        <f>IF(5760057.05112="","-",(630111.40342-589723.28159)/5760057.05112*100)</f>
        <v>0.70117572571866782</v>
      </c>
      <c r="G71" s="55">
        <f>IF(5842484.3398="","-",(605039.82576-630111.40342)/5842484.3398*100)</f>
        <v>-0.42912528646774606</v>
      </c>
    </row>
    <row r="72" spans="1:7" ht="38.25" x14ac:dyDescent="0.25">
      <c r="A72" s="56" t="s">
        <v>235</v>
      </c>
      <c r="B72" s="57">
        <v>56114.710140000003</v>
      </c>
      <c r="C72" s="58">
        <f>IF(OR(52980.74586="",56114.71014=""),"-",56114.71014/52980.74586*100)</f>
        <v>105.91528909064702</v>
      </c>
      <c r="D72" s="57">
        <f>IF(52980.74586="","-",52980.74586/5842484.3398*100)</f>
        <v>0.90681879109347585</v>
      </c>
      <c r="E72" s="57">
        <f>IF(56114.71014="","-",56114.71014/5415671.45304*100)</f>
        <v>1.0361542539383719</v>
      </c>
      <c r="F72" s="58">
        <f>IF(OR(5760057.05112="",45917.55079="",52980.74586=""),"-",(52980.74586-45917.55079)/5760057.05112*100)</f>
        <v>0.12262369985774041</v>
      </c>
      <c r="G72" s="58">
        <f>IF(OR(5842484.3398="",56114.71014="",52980.74586=""),"-",(56114.71014-52980.74586)/5842484.3398*100)</f>
        <v>5.3640953021489517E-2</v>
      </c>
    </row>
    <row r="73" spans="1:7" x14ac:dyDescent="0.25">
      <c r="A73" s="56" t="s">
        <v>210</v>
      </c>
      <c r="B73" s="57">
        <v>57469.930789999999</v>
      </c>
      <c r="C73" s="58">
        <f>IF(OR(58540.51486="",57469.93079=""),"-",57469.93079/58540.51486*100)</f>
        <v>98.171208311781484</v>
      </c>
      <c r="D73" s="57">
        <f>IF(58540.51486="","-",58540.51486/5842484.3398*100)</f>
        <v>1.0019798334967203</v>
      </c>
      <c r="E73" s="57">
        <f>IF(57469.93079="","-",57469.93079/5415671.45304*100)</f>
        <v>1.0611783098057062</v>
      </c>
      <c r="F73" s="58">
        <f>IF(OR(5760057.05112="",53815.80352="",58540.51486=""),"-",(58540.51486-53815.80352)/5760057.05112*100)</f>
        <v>8.2025426103745219E-2</v>
      </c>
      <c r="G73" s="58">
        <f>IF(OR(5842484.3398="",57469.93079="",58540.51486=""),"-",(57469.93079-58540.51486)/5842484.3398*100)</f>
        <v>-1.8324123912613732E-2</v>
      </c>
    </row>
    <row r="74" spans="1:7" x14ac:dyDescent="0.25">
      <c r="A74" s="56" t="s">
        <v>211</v>
      </c>
      <c r="B74" s="57">
        <v>9207.6594299999906</v>
      </c>
      <c r="C74" s="58">
        <f>IF(OR(9491.04277="",9207.65942999999=""),"-",9207.65942999999/9491.04277*100)</f>
        <v>97.014202265574554</v>
      </c>
      <c r="D74" s="57">
        <f>IF(9491.04277="","-",9491.04277/5842484.3398*100)</f>
        <v>0.16244874984679716</v>
      </c>
      <c r="E74" s="57">
        <f>IF(9207.65942999999="","-",9207.65942999999/5415671.45304*100)</f>
        <v>0.17001879655811505</v>
      </c>
      <c r="F74" s="58">
        <f>IF(OR(5760057.05112="",8196.28588="",9491.04277=""),"-",(9491.04277-8196.28588)/5760057.05112*100)</f>
        <v>2.2478195589195508E-2</v>
      </c>
      <c r="G74" s="58">
        <f>IF(OR(5842484.3398="",9207.65942999999="",9491.04277=""),"-",(9207.65942999999-9491.04277)/5842484.3398*100)</f>
        <v>-4.8503910925281179E-3</v>
      </c>
    </row>
    <row r="75" spans="1:7" x14ac:dyDescent="0.25">
      <c r="A75" s="56" t="s">
        <v>212</v>
      </c>
      <c r="B75" s="57">
        <v>138549.57748000001</v>
      </c>
      <c r="C75" s="58">
        <f>IF(OR(141168.97188="",138549.57748=""),"-",138549.57748/141168.97188*100)</f>
        <v>98.144497076718395</v>
      </c>
      <c r="D75" s="57">
        <f>IF(141168.97188="","-",141168.97188/5842484.3398*100)</f>
        <v>2.4162490418388094</v>
      </c>
      <c r="E75" s="57">
        <f>IF(138549.57748="","-",138549.57748/5415671.45304*100)</f>
        <v>2.5583083959464976</v>
      </c>
      <c r="F75" s="58">
        <f>IF(OR(5760057.05112="",141574.45261="",141168.97188=""),"-",(141168.97188-141574.45261)/5760057.05112*100)</f>
        <v>-7.0395262824899897E-3</v>
      </c>
      <c r="G75" s="58">
        <f>IF(OR(5842484.3398="",138549.57748="",141168.97188=""),"-",(138549.57748-141168.97188)/5842484.3398*100)</f>
        <v>-4.4833571605082938E-2</v>
      </c>
    </row>
    <row r="76" spans="1:7" x14ac:dyDescent="0.25">
      <c r="A76" s="56" t="s">
        <v>213</v>
      </c>
      <c r="B76" s="57">
        <v>39513.675739999999</v>
      </c>
      <c r="C76" s="58">
        <f>IF(OR(45678.80646="",39513.67574=""),"-",39513.67574/45678.80646*100)</f>
        <v>86.503301645154238</v>
      </c>
      <c r="D76" s="57">
        <f>IF(45678.80646="","-",45678.80646/5842484.3398*100)</f>
        <v>0.7818387487806886</v>
      </c>
      <c r="E76" s="57">
        <f>IF(39513.67574="","-",39513.67574/5415671.45304*100)</f>
        <v>0.72961729829123279</v>
      </c>
      <c r="F76" s="58">
        <f>IF(OR(5760057.05112="",40766.47423="",45678.80646=""),"-",(45678.80646-40766.47423)/5760057.05112*100)</f>
        <v>8.5282700959443347E-2</v>
      </c>
      <c r="G76" s="58">
        <f>IF(OR(5842484.3398="",39513.67574="",45678.80646=""),"-",(39513.67574-45678.80646)/5842484.3398*100)</f>
        <v>-0.10552241754422992</v>
      </c>
    </row>
    <row r="77" spans="1:7" ht="25.5" x14ac:dyDescent="0.25">
      <c r="A77" s="56" t="s">
        <v>236</v>
      </c>
      <c r="B77" s="57">
        <v>62466.825969999998</v>
      </c>
      <c r="C77" s="58">
        <f>IF(OR(64921.79201="",62466.82597=""),"-",62466.82597/64921.79201*100)</f>
        <v>96.218579364503896</v>
      </c>
      <c r="D77" s="57">
        <f>IF(64921.79201="","-",64921.79201/5842484.3398*100)</f>
        <v>1.1112018147441436</v>
      </c>
      <c r="E77" s="57">
        <f>IF(62466.82597="","-",62466.82597/5415671.45304*100)</f>
        <v>1.153445634796314</v>
      </c>
      <c r="F77" s="58">
        <f>IF(OR(5760057.05112="",62438.21276="",64921.79201=""),"-",(64921.79201-62438.21276)/5760057.05112*100)</f>
        <v>4.3117268248533784E-2</v>
      </c>
      <c r="G77" s="58">
        <f>IF(OR(5842484.3398="",62466.82597="",64921.79201=""),"-",(62466.82597-64921.79201)/5842484.3398*100)</f>
        <v>-4.201921472474221E-2</v>
      </c>
    </row>
    <row r="78" spans="1:7" ht="25.5" x14ac:dyDescent="0.25">
      <c r="A78" s="56" t="s">
        <v>214</v>
      </c>
      <c r="B78" s="57">
        <v>11173.92497</v>
      </c>
      <c r="C78" s="58">
        <f>IF(OR(12162.97288="",11173.92497=""),"-",11173.92497/12162.97288*100)</f>
        <v>91.868370342037636</v>
      </c>
      <c r="D78" s="57">
        <f>IF(12162.97288="","-",12162.97288/5842484.3398*100)</f>
        <v>0.20818152300629639</v>
      </c>
      <c r="E78" s="57">
        <f>IF(11173.92497="","-",11173.92497/5415671.45304*100)</f>
        <v>0.20632575419115753</v>
      </c>
      <c r="F78" s="58">
        <f>IF(OR(5760057.05112="",12747.1933="",12162.97288=""),"-",(12162.97288-12747.1933)/5760057.05112*100)</f>
        <v>-1.0142615165355074E-2</v>
      </c>
      <c r="G78" s="58">
        <f>IF(OR(5842484.3398="",11173.92497="",12162.97288=""),"-",(11173.92497-12162.97288)/5842484.3398*100)</f>
        <v>-1.6928550467177741E-2</v>
      </c>
    </row>
    <row r="79" spans="1:7" x14ac:dyDescent="0.25">
      <c r="A79" s="63" t="s">
        <v>36</v>
      </c>
      <c r="B79" s="57">
        <v>230543.52124</v>
      </c>
      <c r="C79" s="58">
        <f>IF(OR(245166.5567="",230543.52124=""),"-",230543.52124/245166.5567*100)</f>
        <v>94.035468924950649</v>
      </c>
      <c r="D79" s="57">
        <f>IF(245166.5567="","-",245166.5567/5842484.3398*100)</f>
        <v>4.1962723807385078</v>
      </c>
      <c r="E79" s="57">
        <f>IF(230543.52124="","-",230543.52124/5415671.45304*100)</f>
        <v>4.256970225004844</v>
      </c>
      <c r="F79" s="58">
        <f>IF(OR(5760057.05112="",224267.3085="",245166.5567=""),"-",(245166.5567-224267.3085)/5760057.05112*100)</f>
        <v>0.36283057640785471</v>
      </c>
      <c r="G79" s="58">
        <f>IF(OR(5842484.3398="",230543.52124="",245166.5567=""),"-",(230543.52124-245166.5567)/5842484.3398*100)</f>
        <v>-0.25028797014286153</v>
      </c>
    </row>
    <row r="80" spans="1:7" ht="25.5" x14ac:dyDescent="0.25">
      <c r="A80" s="68" t="s">
        <v>215</v>
      </c>
      <c r="B80" s="69">
        <v>838.36694999999997</v>
      </c>
      <c r="C80" s="70">
        <f>IF(834.0205="","-",838.36695/834.0205*100)</f>
        <v>100.52114426443954</v>
      </c>
      <c r="D80" s="69">
        <f>IF(834.0205="","-",834.0205/5842484.3398*100)</f>
        <v>1.4275100308245759E-2</v>
      </c>
      <c r="E80" s="69">
        <f>IF(838.36695="","-",838.36695/5415671.45304*100)</f>
        <v>1.548038793101816E-2</v>
      </c>
      <c r="F80" s="70">
        <f>IF(5760057.05112="","-",(834.0205-1161.46284)/5760057.05112*100)</f>
        <v>-5.6847065418619636E-3</v>
      </c>
      <c r="G80" s="70">
        <f>IF(5842484.3398="","-",(838.36695-834.0205)/5842484.3398*100)</f>
        <v>7.4393866499414393E-5</v>
      </c>
    </row>
    <row r="81" spans="1:1" x14ac:dyDescent="0.25">
      <c r="A81" s="25" t="s">
        <v>21</v>
      </c>
    </row>
  </sheetData>
  <mergeCells count="6">
    <mergeCell ref="A1:G1"/>
    <mergeCell ref="A2:G2"/>
    <mergeCell ref="A4:A5"/>
    <mergeCell ref="B4:C4"/>
    <mergeCell ref="D4:E4"/>
    <mergeCell ref="F4:G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0"/>
  <sheetViews>
    <sheetView zoomScale="99" zoomScaleNormal="99" workbookViewId="0">
      <selection activeCell="G24" sqref="G24"/>
    </sheetView>
  </sheetViews>
  <sheetFormatPr defaultRowHeight="15.75" x14ac:dyDescent="0.25"/>
  <cols>
    <col min="1" max="1" width="42.625" customWidth="1"/>
    <col min="2" max="2" width="14.75" customWidth="1"/>
    <col min="3" max="3" width="14.25" customWidth="1"/>
    <col min="4" max="4" width="15" customWidth="1"/>
    <col min="6" max="6" width="12.125" bestFit="1" customWidth="1"/>
  </cols>
  <sheetData>
    <row r="1" spans="1:6" x14ac:dyDescent="0.25">
      <c r="A1" s="98" t="s">
        <v>160</v>
      </c>
      <c r="B1" s="98"/>
      <c r="C1" s="98"/>
      <c r="D1" s="98"/>
    </row>
    <row r="2" spans="1:6" x14ac:dyDescent="0.25">
      <c r="A2" s="98" t="s">
        <v>23</v>
      </c>
      <c r="B2" s="98"/>
      <c r="C2" s="98"/>
      <c r="D2" s="98"/>
    </row>
    <row r="3" spans="1:6" x14ac:dyDescent="0.25">
      <c r="A3" s="5"/>
    </row>
    <row r="4" spans="1:6" ht="42" customHeight="1" x14ac:dyDescent="0.25">
      <c r="A4" s="43"/>
      <c r="B4" s="43">
        <v>2019</v>
      </c>
      <c r="C4" s="44">
        <v>2020</v>
      </c>
      <c r="D4" s="49" t="s">
        <v>276</v>
      </c>
      <c r="E4" s="1"/>
    </row>
    <row r="5" spans="1:6" ht="14.25" customHeight="1" x14ac:dyDescent="0.25">
      <c r="A5" s="51" t="s">
        <v>138</v>
      </c>
      <c r="B5" s="52">
        <v>-3063319.8746199999</v>
      </c>
      <c r="C5" s="52">
        <v>-2930511.5083099999</v>
      </c>
      <c r="D5" s="71">
        <f>IF(-3063319.87462="","-",-2930511.50831/-3063319.87462*100)</f>
        <v>95.664560942187777</v>
      </c>
      <c r="F5" s="18"/>
    </row>
    <row r="6" spans="1:6" x14ac:dyDescent="0.25">
      <c r="A6" s="33" t="s">
        <v>136</v>
      </c>
      <c r="B6" s="29"/>
      <c r="C6" s="31"/>
      <c r="D6" s="35"/>
    </row>
    <row r="7" spans="1:6" x14ac:dyDescent="0.25">
      <c r="A7" s="67" t="s">
        <v>216</v>
      </c>
      <c r="B7" s="54">
        <v>26190.878530000002</v>
      </c>
      <c r="C7" s="54">
        <v>-132617.85018000001</v>
      </c>
      <c r="D7" s="72" t="s">
        <v>22</v>
      </c>
    </row>
    <row r="8" spans="1:6" x14ac:dyDescent="0.25">
      <c r="A8" s="56" t="s">
        <v>24</v>
      </c>
      <c r="B8" s="57">
        <v>4465.3885399999999</v>
      </c>
      <c r="C8" s="57">
        <v>3700.8691100000001</v>
      </c>
      <c r="D8" s="73">
        <f>IF(OR(4465.38854="",3700.86911="",4465.38854=0,3700.86911=0),"-",3700.86911/4465.38854*100)</f>
        <v>82.878994220735834</v>
      </c>
    </row>
    <row r="9" spans="1:6" x14ac:dyDescent="0.25">
      <c r="A9" s="56" t="s">
        <v>217</v>
      </c>
      <c r="B9" s="57">
        <v>-37237.459699999999</v>
      </c>
      <c r="C9" s="57">
        <v>-35359.339890000003</v>
      </c>
      <c r="D9" s="73">
        <f>IF(OR(-37237.4597="",-35359.33989="",-37237.4597=0,-35359.33989=0),"-",-35359.33989/-37237.4597*100)</f>
        <v>94.956369674164435</v>
      </c>
    </row>
    <row r="10" spans="1:6" x14ac:dyDescent="0.25">
      <c r="A10" s="56" t="s">
        <v>218</v>
      </c>
      <c r="B10" s="57">
        <v>-53245.555930000002</v>
      </c>
      <c r="C10" s="57">
        <v>-67399.065740000005</v>
      </c>
      <c r="D10" s="73">
        <f>IF(OR(-53245.55593="",-67399.06574="",-53245.55593=0,-67399.06574=0),"-",-67399.06574/-53245.55593*100)</f>
        <v>126.58157955681241</v>
      </c>
    </row>
    <row r="11" spans="1:6" x14ac:dyDescent="0.25">
      <c r="A11" s="56" t="s">
        <v>219</v>
      </c>
      <c r="B11" s="57">
        <v>-58516.304640000002</v>
      </c>
      <c r="C11" s="57">
        <v>-60416.180489999999</v>
      </c>
      <c r="D11" s="73">
        <f>IF(OR(-58516.30464="",-60416.18049="",-58516.30464=0,-60416.18049=0),"-",-60416.18049/-58516.30464*100)</f>
        <v>103.24674611920264</v>
      </c>
    </row>
    <row r="12" spans="1:6" x14ac:dyDescent="0.25">
      <c r="A12" s="56" t="s">
        <v>220</v>
      </c>
      <c r="B12" s="57">
        <v>168532.38860999999</v>
      </c>
      <c r="C12" s="57">
        <v>34949.426079999997</v>
      </c>
      <c r="D12" s="73">
        <f>IF(OR(168532.38861="",34949.42608="",168532.38861=0,34949.42608=0),"-",34949.42608/168532.38861*100)</f>
        <v>20.737513049124519</v>
      </c>
    </row>
    <row r="13" spans="1:6" x14ac:dyDescent="0.25">
      <c r="A13" s="56" t="s">
        <v>221</v>
      </c>
      <c r="B13" s="57">
        <v>129285.44164</v>
      </c>
      <c r="C13" s="57">
        <v>132884.52402000001</v>
      </c>
      <c r="D13" s="73">
        <f>IF(OR(129285.44164="",132884.52402="",129285.44164=0,132884.52402=0),"-",132884.52402/129285.44164*100)</f>
        <v>102.78382649611994</v>
      </c>
    </row>
    <row r="14" spans="1:6" x14ac:dyDescent="0.25">
      <c r="A14" s="56" t="s">
        <v>178</v>
      </c>
      <c r="B14" s="57">
        <v>3691.9429300000002</v>
      </c>
      <c r="C14" s="57">
        <v>-1414.82637</v>
      </c>
      <c r="D14" s="73" t="s">
        <v>22</v>
      </c>
    </row>
    <row r="15" spans="1:6" x14ac:dyDescent="0.25">
      <c r="A15" s="56" t="s">
        <v>222</v>
      </c>
      <c r="B15" s="57">
        <v>-46795.058190000003</v>
      </c>
      <c r="C15" s="57">
        <v>-51540.947630000002</v>
      </c>
      <c r="D15" s="73">
        <f>IF(OR(-46795.05819="",-51540.94763="",-46795.05819=0,-51540.94763=0),"-",-51540.94763/-46795.05819*100)</f>
        <v>110.14186032364883</v>
      </c>
    </row>
    <row r="16" spans="1:6" x14ac:dyDescent="0.25">
      <c r="A16" s="56" t="s">
        <v>179</v>
      </c>
      <c r="B16" s="57">
        <v>-6352.9841800000004</v>
      </c>
      <c r="C16" s="57">
        <v>-6753.7504300000001</v>
      </c>
      <c r="D16" s="73">
        <f>IF(OR(-6352.98418="",-6753.75043="",-6352.98418=0,-6753.75043=0),"-",-6753.75043/-6352.98418*100)</f>
        <v>106.3083149374378</v>
      </c>
    </row>
    <row r="17" spans="1:4" x14ac:dyDescent="0.25">
      <c r="A17" s="56" t="s">
        <v>223</v>
      </c>
      <c r="B17" s="57">
        <v>-77636.920549999995</v>
      </c>
      <c r="C17" s="57">
        <v>-81268.558839999998</v>
      </c>
      <c r="D17" s="73">
        <f>IF(OR(-77636.92055="",-81268.55884="",-77636.92055=0,-81268.55884=0),"-",-81268.55884/-77636.92055*100)</f>
        <v>104.67772068272743</v>
      </c>
    </row>
    <row r="18" spans="1:4" x14ac:dyDescent="0.25">
      <c r="A18" s="67" t="s">
        <v>224</v>
      </c>
      <c r="B18" s="54">
        <v>90417.120120000007</v>
      </c>
      <c r="C18" s="54">
        <v>81089.858569999997</v>
      </c>
      <c r="D18" s="72">
        <f>IF(90417.12012="","-",81089.85857/90417.12012*100)</f>
        <v>89.684186426618055</v>
      </c>
    </row>
    <row r="19" spans="1:4" x14ac:dyDescent="0.25">
      <c r="A19" s="56" t="s">
        <v>225</v>
      </c>
      <c r="B19" s="57">
        <v>133350.9425</v>
      </c>
      <c r="C19" s="57">
        <v>124470.14253</v>
      </c>
      <c r="D19" s="73">
        <f>IF(OR(133350.9425="",124470.14253="",133350.9425=0,124470.14253=0),"-",124470.14253/133350.9425*100)</f>
        <v>93.340279563453393</v>
      </c>
    </row>
    <row r="20" spans="1:4" x14ac:dyDescent="0.25">
      <c r="A20" s="56" t="s">
        <v>226</v>
      </c>
      <c r="B20" s="57">
        <v>-42933.822379999998</v>
      </c>
      <c r="C20" s="57">
        <v>-43380.283960000001</v>
      </c>
      <c r="D20" s="73">
        <f>IF(OR(-42933.82238="",-43380.28396="",-42933.82238=0,-43380.28396=0),"-",-43380.28396/-42933.82238*100)</f>
        <v>101.03988313933114</v>
      </c>
    </row>
    <row r="21" spans="1:4" x14ac:dyDescent="0.25">
      <c r="A21" s="67" t="s">
        <v>25</v>
      </c>
      <c r="B21" s="54">
        <v>156560.68669999999</v>
      </c>
      <c r="C21" s="54">
        <v>129624.59</v>
      </c>
      <c r="D21" s="72">
        <f>IF(156560.6867="","-",129624.59/156560.6867*100)</f>
        <v>82.795108230705026</v>
      </c>
    </row>
    <row r="22" spans="1:4" x14ac:dyDescent="0.25">
      <c r="A22" s="56" t="s">
        <v>233</v>
      </c>
      <c r="B22" s="57">
        <v>1615.57161</v>
      </c>
      <c r="C22" s="57">
        <v>1206.21046</v>
      </c>
      <c r="D22" s="73">
        <f>IF(OR(1615.57161="",1206.21046="",1615.57161=0,1206.21046=0),"-",1206.21046/1615.57161*100)</f>
        <v>74.661528621439444</v>
      </c>
    </row>
    <row r="23" spans="1:4" x14ac:dyDescent="0.25">
      <c r="A23" s="56" t="s">
        <v>227</v>
      </c>
      <c r="B23" s="57">
        <v>228647.62414</v>
      </c>
      <c r="C23" s="57">
        <v>187881.70073000001</v>
      </c>
      <c r="D23" s="73">
        <f>IF(OR(228647.62414="",187881.70073="",228647.62414=0,187881.70073=0),"-",187881.70073/228647.62414*100)</f>
        <v>82.170851954691997</v>
      </c>
    </row>
    <row r="24" spans="1:4" x14ac:dyDescent="0.25">
      <c r="A24" s="56" t="s">
        <v>228</v>
      </c>
      <c r="B24" s="57">
        <v>-1541.0006800000001</v>
      </c>
      <c r="C24" s="57">
        <v>-1389.9951100000001</v>
      </c>
      <c r="D24" s="73">
        <f>IF(OR(-1541.00068="",-1389.99511="",-1541.00068=0,-1389.99511=0),"-",-1389.99511/-1541.00068*100)</f>
        <v>90.200810943185303</v>
      </c>
    </row>
    <row r="25" spans="1:4" x14ac:dyDescent="0.25">
      <c r="A25" s="56" t="s">
        <v>229</v>
      </c>
      <c r="B25" s="57">
        <v>-37332.094270000001</v>
      </c>
      <c r="C25" s="57">
        <v>-37926.325819999998</v>
      </c>
      <c r="D25" s="73">
        <f>IF(OR(-37332.09427="",-37926.32582="",-37332.09427=0,-37926.32582=0),"-",-37926.32582/-37332.09427*100)</f>
        <v>101.59174448050594</v>
      </c>
    </row>
    <row r="26" spans="1:4" x14ac:dyDescent="0.25">
      <c r="A26" s="56" t="s">
        <v>180</v>
      </c>
      <c r="B26" s="57">
        <v>2185.9895299999998</v>
      </c>
      <c r="C26" s="57">
        <v>1571.2595799999999</v>
      </c>
      <c r="D26" s="73">
        <f>IF(OR(2185.98953="",1571.25958="",2185.98953=0,1571.25958=0),"-",1571.25958/2185.98953*100)</f>
        <v>71.878641614536917</v>
      </c>
    </row>
    <row r="27" spans="1:4" ht="25.5" x14ac:dyDescent="0.25">
      <c r="A27" s="56" t="s">
        <v>181</v>
      </c>
      <c r="B27" s="57">
        <v>-7968.5291100000004</v>
      </c>
      <c r="C27" s="57">
        <v>-8034.4006900000004</v>
      </c>
      <c r="D27" s="73">
        <f>IF(OR(-7968.52911="",-8034.40069="",-7968.52911=0,-8034.40069=0),"-",-8034.40069/-7968.52911*100)</f>
        <v>100.82664666327609</v>
      </c>
    </row>
    <row r="28" spans="1:4" ht="25.5" x14ac:dyDescent="0.25">
      <c r="A28" s="56" t="s">
        <v>182</v>
      </c>
      <c r="B28" s="57">
        <v>-14571.3163</v>
      </c>
      <c r="C28" s="57">
        <v>-9713.2103800000004</v>
      </c>
      <c r="D28" s="73">
        <f>IF(OR(-14571.3163="",-9713.21038="",-14571.3163=0,-9713.21038=0),"-",-9713.21038/-14571.3163*100)</f>
        <v>66.659800528796438</v>
      </c>
    </row>
    <row r="29" spans="1:4" x14ac:dyDescent="0.25">
      <c r="A29" s="56" t="s">
        <v>183</v>
      </c>
      <c r="B29" s="57">
        <v>14334.192220000001</v>
      </c>
      <c r="C29" s="57">
        <v>25212.872859999999</v>
      </c>
      <c r="D29" s="73" t="s">
        <v>240</v>
      </c>
    </row>
    <row r="30" spans="1:4" x14ac:dyDescent="0.25">
      <c r="A30" s="56" t="s">
        <v>184</v>
      </c>
      <c r="B30" s="57">
        <v>-28809.75044</v>
      </c>
      <c r="C30" s="57">
        <v>-29183.521629999999</v>
      </c>
      <c r="D30" s="73">
        <f>IF(OR(-28809.75044="",-29183.52163="",-28809.75044=0,-29183.52163=0),"-",-29183.52163/-28809.75044*100)</f>
        <v>101.29737739581752</v>
      </c>
    </row>
    <row r="31" spans="1:4" x14ac:dyDescent="0.25">
      <c r="A31" s="67" t="s">
        <v>185</v>
      </c>
      <c r="B31" s="54">
        <v>-911701.68012999999</v>
      </c>
      <c r="C31" s="54">
        <v>-574944.46340000001</v>
      </c>
      <c r="D31" s="72">
        <f>IF(-911701.68013="","-",-574944.4634/-911701.68013*100)</f>
        <v>63.062784234204592</v>
      </c>
    </row>
    <row r="32" spans="1:4" x14ac:dyDescent="0.25">
      <c r="A32" s="56" t="s">
        <v>230</v>
      </c>
      <c r="B32" s="57">
        <v>-18698.44759</v>
      </c>
      <c r="C32" s="57">
        <v>-15278.97133</v>
      </c>
      <c r="D32" s="73">
        <f>IF(OR(-18698.44759="",-15278.97133="",-18698.44759=0,-15278.97133=0),"-",-15278.97133/-18698.44759*100)</f>
        <v>81.712512530565647</v>
      </c>
    </row>
    <row r="33" spans="1:4" x14ac:dyDescent="0.25">
      <c r="A33" s="56" t="s">
        <v>186</v>
      </c>
      <c r="B33" s="57">
        <v>-577562.58213</v>
      </c>
      <c r="C33" s="57">
        <v>-364393.20087</v>
      </c>
      <c r="D33" s="73">
        <f>IF(OR(-577562.58213="",-364393.20087="",-577562.58213=0,-364393.20087=0),"-",-364393.20087/-577562.58213*100)</f>
        <v>63.091552698263442</v>
      </c>
    </row>
    <row r="34" spans="1:4" x14ac:dyDescent="0.25">
      <c r="A34" s="56" t="s">
        <v>231</v>
      </c>
      <c r="B34" s="57">
        <v>-275594.73839999997</v>
      </c>
      <c r="C34" s="57">
        <v>-185718.57040999999</v>
      </c>
      <c r="D34" s="73">
        <f>IF(OR(-275594.7384="",-185718.57041="",-275594.7384=0,-185718.57041=0),"-",-185718.57041/-275594.7384*100)</f>
        <v>67.388285962283817</v>
      </c>
    </row>
    <row r="35" spans="1:4" x14ac:dyDescent="0.25">
      <c r="A35" s="56" t="s">
        <v>187</v>
      </c>
      <c r="B35" s="57">
        <v>-39845.91201</v>
      </c>
      <c r="C35" s="57">
        <v>-9553.7207899999994</v>
      </c>
      <c r="D35" s="73">
        <f>IF(OR(-39845.91201="",-9553.72079="",-39845.91201=0,-9553.72079=0),"-",-9553.72079/-39845.91201*100)</f>
        <v>23.976664877446733</v>
      </c>
    </row>
    <row r="36" spans="1:4" x14ac:dyDescent="0.25">
      <c r="A36" s="67" t="s">
        <v>188</v>
      </c>
      <c r="B36" s="54">
        <v>58685.046029999998</v>
      </c>
      <c r="C36" s="54">
        <v>91353.065960000007</v>
      </c>
      <c r="D36" s="72" t="s">
        <v>105</v>
      </c>
    </row>
    <row r="37" spans="1:4" x14ac:dyDescent="0.25">
      <c r="A37" s="56" t="s">
        <v>234</v>
      </c>
      <c r="B37" s="57">
        <v>-1838.9985899999999</v>
      </c>
      <c r="C37" s="57">
        <v>-1797.9319499999999</v>
      </c>
      <c r="D37" s="73">
        <f>IF(OR(-1838.99859="",-1797.93195="",-1838.99859=0,-1797.93195=0),"-",-1797.93195/-1838.99859*100)</f>
        <v>97.766902039875944</v>
      </c>
    </row>
    <row r="38" spans="1:4" ht="14.25" customHeight="1" x14ac:dyDescent="0.25">
      <c r="A38" s="56" t="s">
        <v>189</v>
      </c>
      <c r="B38" s="57">
        <v>63027.926480000002</v>
      </c>
      <c r="C38" s="57">
        <v>94856.007190000004</v>
      </c>
      <c r="D38" s="73" t="s">
        <v>126</v>
      </c>
    </row>
    <row r="39" spans="1:4" ht="38.25" x14ac:dyDescent="0.25">
      <c r="A39" s="56" t="s">
        <v>232</v>
      </c>
      <c r="B39" s="57">
        <v>-2503.88186</v>
      </c>
      <c r="C39" s="57">
        <v>-1705.00928</v>
      </c>
      <c r="D39" s="73">
        <f>IF(OR(-2503.88186="",-1705.00928="",-2503.88186=0,-1705.00928=0),"-",-1705.00928/-2503.88186*100)</f>
        <v>68.094637659941355</v>
      </c>
    </row>
    <row r="40" spans="1:4" ht="15" customHeight="1" x14ac:dyDescent="0.25">
      <c r="A40" s="67" t="s">
        <v>190</v>
      </c>
      <c r="B40" s="54">
        <v>-696394.91344999999</v>
      </c>
      <c r="C40" s="54">
        <v>-692719.26483</v>
      </c>
      <c r="D40" s="72">
        <f>IF(-696394.91345="","-",-692719.26483/-696394.91345*100)</f>
        <v>99.47218904833889</v>
      </c>
    </row>
    <row r="41" spans="1:4" x14ac:dyDescent="0.25">
      <c r="A41" s="56" t="s">
        <v>26</v>
      </c>
      <c r="B41" s="57">
        <v>1052.59067</v>
      </c>
      <c r="C41" s="57">
        <v>36392.977980000003</v>
      </c>
      <c r="D41" s="73" t="s">
        <v>287</v>
      </c>
    </row>
    <row r="42" spans="1:4" x14ac:dyDescent="0.25">
      <c r="A42" s="56" t="s">
        <v>27</v>
      </c>
      <c r="B42" s="57">
        <v>-15616.168470000001</v>
      </c>
      <c r="C42" s="57">
        <v>-14207.955679999999</v>
      </c>
      <c r="D42" s="73">
        <f>IF(OR(-15616.16847="",-14207.95568="",-15616.16847=0,-14207.95568=0),"-",-14207.95568/-15616.16847*100)</f>
        <v>90.982341201650712</v>
      </c>
    </row>
    <row r="43" spans="1:4" x14ac:dyDescent="0.25">
      <c r="A43" s="56" t="s">
        <v>191</v>
      </c>
      <c r="B43" s="57">
        <v>-38486.490570000002</v>
      </c>
      <c r="C43" s="57">
        <v>-42053.931109999998</v>
      </c>
      <c r="D43" s="73">
        <f>IF(OR(-38486.49057="",-42053.93111="",-38486.49057=0,-42053.93111=0),"-",-42053.93111/-38486.49057*100)</f>
        <v>109.26933188026449</v>
      </c>
    </row>
    <row r="44" spans="1:4" x14ac:dyDescent="0.25">
      <c r="A44" s="56" t="s">
        <v>192</v>
      </c>
      <c r="B44" s="57">
        <v>-171659.38422000001</v>
      </c>
      <c r="C44" s="57">
        <v>-201459.21168000001</v>
      </c>
      <c r="D44" s="73">
        <f>IF(OR(-171659.38422="",-201459.21168="",-171659.38422=0,-201459.21168=0),"-",-201459.21168/-171659.38422*100)</f>
        <v>117.35985923251846</v>
      </c>
    </row>
    <row r="45" spans="1:4" ht="25.5" x14ac:dyDescent="0.25">
      <c r="A45" s="56" t="s">
        <v>193</v>
      </c>
      <c r="B45" s="57">
        <v>-101072.13344999999</v>
      </c>
      <c r="C45" s="57">
        <v>-102585.57451000001</v>
      </c>
      <c r="D45" s="73">
        <f>IF(OR(-101072.13345="",-102585.57451="",-101072.13345=0,-102585.57451=0),"-",-102585.57451/-101072.13345*100)</f>
        <v>101.49738707232167</v>
      </c>
    </row>
    <row r="46" spans="1:4" x14ac:dyDescent="0.25">
      <c r="A46" s="56" t="s">
        <v>194</v>
      </c>
      <c r="B46" s="57">
        <v>-84586.369260000007</v>
      </c>
      <c r="C46" s="57">
        <v>-72584.136880000005</v>
      </c>
      <c r="D46" s="73">
        <f>IF(OR(-84586.36926="",-72584.13688="",-84586.36926=0,-72584.13688=0),"-",-72584.13688/-84586.36926*100)</f>
        <v>85.810677908271771</v>
      </c>
    </row>
    <row r="47" spans="1:4" x14ac:dyDescent="0.25">
      <c r="A47" s="56" t="s">
        <v>28</v>
      </c>
      <c r="B47" s="57">
        <v>-50942.529649999997</v>
      </c>
      <c r="C47" s="57">
        <v>-45327.145190000003</v>
      </c>
      <c r="D47" s="73">
        <f>IF(OR(-50942.52965="",-45327.14519="",-50942.52965=0,-45327.14519=0),"-",-45327.14519/-50942.52965*100)</f>
        <v>88.977020775017607</v>
      </c>
    </row>
    <row r="48" spans="1:4" x14ac:dyDescent="0.25">
      <c r="A48" s="56" t="s">
        <v>29</v>
      </c>
      <c r="B48" s="57">
        <v>-112798.68819</v>
      </c>
      <c r="C48" s="57">
        <v>-120597.77052999999</v>
      </c>
      <c r="D48" s="73">
        <f>IF(OR(-112798.68819="",-120597.77053="",-112798.68819=0,-120597.77053=0),"-",-120597.77053/-112798.68819*100)</f>
        <v>106.91416049702909</v>
      </c>
    </row>
    <row r="49" spans="1:4" x14ac:dyDescent="0.25">
      <c r="A49" s="56" t="s">
        <v>195</v>
      </c>
      <c r="B49" s="57">
        <v>-122285.74030999999</v>
      </c>
      <c r="C49" s="57">
        <v>-130296.51723</v>
      </c>
      <c r="D49" s="73">
        <f>IF(OR(-122285.74031="",-130296.51723="",-122285.74031=0,-130296.51723=0),"-",-130296.51723/-122285.74031*100)</f>
        <v>106.55086758250987</v>
      </c>
    </row>
    <row r="50" spans="1:4" ht="25.5" x14ac:dyDescent="0.25">
      <c r="A50" s="67" t="s">
        <v>238</v>
      </c>
      <c r="B50" s="54">
        <v>-960295.61959999998</v>
      </c>
      <c r="C50" s="54">
        <v>-892201.38329000003</v>
      </c>
      <c r="D50" s="72">
        <f>IF(-960295.6196="","-",-892201.38329/-960295.6196*100)</f>
        <v>92.909033955776678</v>
      </c>
    </row>
    <row r="51" spans="1:4" x14ac:dyDescent="0.25">
      <c r="A51" s="56" t="s">
        <v>196</v>
      </c>
      <c r="B51" s="57">
        <v>-54524.505660000003</v>
      </c>
      <c r="C51" s="57">
        <v>-47323.930289999997</v>
      </c>
      <c r="D51" s="73">
        <f>IF(OR(-54524.50566="",-47323.93029="",-54524.50566=0,-47323.93029=0),"-",-47323.93029/-54524.50566*100)</f>
        <v>86.793873171632512</v>
      </c>
    </row>
    <row r="52" spans="1:4" x14ac:dyDescent="0.25">
      <c r="A52" s="56" t="s">
        <v>30</v>
      </c>
      <c r="B52" s="57">
        <v>-65464.608229999998</v>
      </c>
      <c r="C52" s="57">
        <v>-58372.287680000001</v>
      </c>
      <c r="D52" s="73">
        <f>IF(OR(-65464.60823="",-58372.28768="",-65464.60823=0,-58372.28768=0),"-",-58372.28768/-65464.60823*100)</f>
        <v>89.166175828804768</v>
      </c>
    </row>
    <row r="53" spans="1:4" x14ac:dyDescent="0.25">
      <c r="A53" s="56" t="s">
        <v>197</v>
      </c>
      <c r="B53" s="57">
        <v>-71472.357799999998</v>
      </c>
      <c r="C53" s="57">
        <v>-71475.714359999998</v>
      </c>
      <c r="D53" s="73">
        <f>IF(OR(-71472.3578="",-71475.71436="",-71472.3578=0,-71475.71436=0),"-",-71475.71436/-71472.3578*100)</f>
        <v>100.00469630512177</v>
      </c>
    </row>
    <row r="54" spans="1:4" ht="25.5" x14ac:dyDescent="0.25">
      <c r="A54" s="56" t="s">
        <v>198</v>
      </c>
      <c r="B54" s="57">
        <v>-95089.38149</v>
      </c>
      <c r="C54" s="57">
        <v>-84615.981929999994</v>
      </c>
      <c r="D54" s="73">
        <f>IF(OR(-95089.38149="",-84615.98193="",-95089.38149=0,-84615.98193=0),"-",-84615.98193/-95089.38149*100)</f>
        <v>88.985731744294256</v>
      </c>
    </row>
    <row r="55" spans="1:4" ht="25.5" x14ac:dyDescent="0.25">
      <c r="A55" s="56" t="s">
        <v>199</v>
      </c>
      <c r="B55" s="57">
        <v>-209340.17754999999</v>
      </c>
      <c r="C55" s="57">
        <v>-198983.55538999999</v>
      </c>
      <c r="D55" s="73">
        <f>IF(OR(-209340.17755="",-198983.55539="",-209340.17755=0,-198983.55539=0),"-",-198983.55539/-209340.17755*100)</f>
        <v>95.052730784310924</v>
      </c>
    </row>
    <row r="56" spans="1:4" x14ac:dyDescent="0.25">
      <c r="A56" s="56" t="s">
        <v>31</v>
      </c>
      <c r="B56" s="57">
        <v>-82919.701920000007</v>
      </c>
      <c r="C56" s="57">
        <v>-89105.29694</v>
      </c>
      <c r="D56" s="73">
        <f>IF(OR(-82919.70192="",-89105.29694="",-82919.70192=0,-89105.29694=0),"-",-89105.29694/-82919.70192*100)</f>
        <v>107.45974102266767</v>
      </c>
    </row>
    <row r="57" spans="1:4" x14ac:dyDescent="0.25">
      <c r="A57" s="56" t="s">
        <v>200</v>
      </c>
      <c r="B57" s="57">
        <v>-141953.23449</v>
      </c>
      <c r="C57" s="57">
        <v>-131584.35253999999</v>
      </c>
      <c r="D57" s="73">
        <f>IF(OR(-141953.23449="",-131584.35254="",-141953.23449=0,-131584.35254=0),"-",-131584.35254/-141953.23449*100)</f>
        <v>92.695564854684278</v>
      </c>
    </row>
    <row r="58" spans="1:4" x14ac:dyDescent="0.25">
      <c r="A58" s="56" t="s">
        <v>32</v>
      </c>
      <c r="B58" s="57">
        <v>-89802.057629999996</v>
      </c>
      <c r="C58" s="57">
        <v>-63256.167229999999</v>
      </c>
      <c r="D58" s="73">
        <f>IF(OR(-89802.05763="",-63256.16723="",-89802.05763=0,-63256.16723=0),"-",-63256.16723/-89802.05763*100)</f>
        <v>70.439552165526479</v>
      </c>
    </row>
    <row r="59" spans="1:4" x14ac:dyDescent="0.25">
      <c r="A59" s="56" t="s">
        <v>33</v>
      </c>
      <c r="B59" s="57">
        <v>-149729.59482999999</v>
      </c>
      <c r="C59" s="57">
        <v>-147484.09693</v>
      </c>
      <c r="D59" s="73">
        <f>IF(OR(-149729.59483="",-147484.09693="",-149729.59483=0,-147484.09693=0),"-",-147484.09693/-149729.59483*100)</f>
        <v>98.500297885298167</v>
      </c>
    </row>
    <row r="60" spans="1:4" x14ac:dyDescent="0.25">
      <c r="A60" s="67" t="s">
        <v>201</v>
      </c>
      <c r="B60" s="54">
        <v>-777266.99745000002</v>
      </c>
      <c r="C60" s="54">
        <v>-853208.87650000001</v>
      </c>
      <c r="D60" s="72">
        <f>IF(-777266.99745="","-",-853208.8765/-777266.99745*100)</f>
        <v>109.77037225292526</v>
      </c>
    </row>
    <row r="61" spans="1:4" x14ac:dyDescent="0.25">
      <c r="A61" s="56" t="s">
        <v>202</v>
      </c>
      <c r="B61" s="57">
        <v>-17188.835760000002</v>
      </c>
      <c r="C61" s="57">
        <v>-18471.74596</v>
      </c>
      <c r="D61" s="73">
        <f>IF(OR(-17188.83576="",-18471.74596="",-17188.83576=0,-18471.74596=0),"-",-18471.74596/-17188.83576*100)</f>
        <v>107.4636247498824</v>
      </c>
    </row>
    <row r="62" spans="1:4" x14ac:dyDescent="0.25">
      <c r="A62" s="56" t="s">
        <v>203</v>
      </c>
      <c r="B62" s="57">
        <v>-176641.47435</v>
      </c>
      <c r="C62" s="57">
        <v>-151074.53247999999</v>
      </c>
      <c r="D62" s="73">
        <f>IF(OR(-176641.47435="",-151074.53248="",-176641.47435=0,-151074.53248=0),"-",-151074.53248/-176641.47435*100)</f>
        <v>85.526082159311414</v>
      </c>
    </row>
    <row r="63" spans="1:4" x14ac:dyDescent="0.25">
      <c r="A63" s="56" t="s">
        <v>204</v>
      </c>
      <c r="B63" s="57">
        <v>-8695.8199000000004</v>
      </c>
      <c r="C63" s="57">
        <v>-11634.615299999999</v>
      </c>
      <c r="D63" s="73">
        <f>IF(OR(-8695.8199="",-11634.6153="",-8695.8199=0,-11634.6153=0),"-",-11634.6153/-8695.8199*100)</f>
        <v>133.79549523559012</v>
      </c>
    </row>
    <row r="64" spans="1:4" ht="25.5" x14ac:dyDescent="0.25">
      <c r="A64" s="56" t="s">
        <v>205</v>
      </c>
      <c r="B64" s="57">
        <v>-166330.08400999999</v>
      </c>
      <c r="C64" s="57">
        <v>-183293.27625</v>
      </c>
      <c r="D64" s="73">
        <f>IF(OR(-166330.08401="",-183293.27625="",-166330.08401=0,-183293.27625=0),"-",-183293.27625/-166330.08401*100)</f>
        <v>110.19851119595427</v>
      </c>
    </row>
    <row r="65" spans="1:4" ht="25.5" x14ac:dyDescent="0.25">
      <c r="A65" s="56" t="s">
        <v>206</v>
      </c>
      <c r="B65" s="57">
        <v>-48786.397550000002</v>
      </c>
      <c r="C65" s="57">
        <v>-60717.434300000001</v>
      </c>
      <c r="D65" s="73">
        <f>IF(OR(-48786.39755="",-60717.4343="",-48786.39755=0,-60717.4343=0),"-",-60717.4343/-48786.39755*100)</f>
        <v>124.45566253948586</v>
      </c>
    </row>
    <row r="66" spans="1:4" ht="25.5" x14ac:dyDescent="0.25">
      <c r="A66" s="56" t="s">
        <v>207</v>
      </c>
      <c r="B66" s="57">
        <v>-166208.62229999999</v>
      </c>
      <c r="C66" s="57">
        <v>-173016.12736000001</v>
      </c>
      <c r="D66" s="73">
        <f>IF(OR(-166208.6223="",-173016.12736="",-166208.6223=0,-173016.12736=0),"-",-173016.12736/-166208.6223*100)</f>
        <v>104.09575927277271</v>
      </c>
    </row>
    <row r="67" spans="1:4" ht="26.25" customHeight="1" x14ac:dyDescent="0.25">
      <c r="A67" s="56" t="s">
        <v>208</v>
      </c>
      <c r="B67" s="57">
        <v>124435.86497</v>
      </c>
      <c r="C67" s="57">
        <v>47733.481339999998</v>
      </c>
      <c r="D67" s="73">
        <f>IF(OR(124435.86497="",47733.48134="",124435.86497=0,47733.48134=0),"-",47733.48134/124435.86497*100)</f>
        <v>38.359906407616464</v>
      </c>
    </row>
    <row r="68" spans="1:4" x14ac:dyDescent="0.25">
      <c r="A68" s="56" t="s">
        <v>209</v>
      </c>
      <c r="B68" s="57">
        <v>-311971.65120999998</v>
      </c>
      <c r="C68" s="57">
        <v>-268766.65652000002</v>
      </c>
      <c r="D68" s="73">
        <f>IF(OR(-311971.65121="",-268766.65652="",-311971.65121=0,-268766.65652=0),"-",-268766.65652/-311971.65121*100)</f>
        <v>86.150986949478607</v>
      </c>
    </row>
    <row r="69" spans="1:4" x14ac:dyDescent="0.25">
      <c r="A69" s="56" t="s">
        <v>34</v>
      </c>
      <c r="B69" s="57">
        <v>-5879.9773400000004</v>
      </c>
      <c r="C69" s="57">
        <v>-33967.969669999999</v>
      </c>
      <c r="D69" s="73" t="s">
        <v>280</v>
      </c>
    </row>
    <row r="70" spans="1:4" x14ac:dyDescent="0.25">
      <c r="A70" s="67" t="s">
        <v>35</v>
      </c>
      <c r="B70" s="54">
        <v>-49559.704579999998</v>
      </c>
      <c r="C70" s="54">
        <v>-86661.920469999997</v>
      </c>
      <c r="D70" s="72" t="s">
        <v>104</v>
      </c>
    </row>
    <row r="71" spans="1:4" ht="25.5" x14ac:dyDescent="0.25">
      <c r="A71" s="56" t="s">
        <v>235</v>
      </c>
      <c r="B71" s="57">
        <v>-43694.896410000001</v>
      </c>
      <c r="C71" s="57">
        <v>-44376.158349999998</v>
      </c>
      <c r="D71" s="73">
        <f>IF(OR(-43694.89641="",-44376.15835="",-43694.89641=0,-44376.15835=0),"-",-44376.15835/-43694.89641*100)</f>
        <v>101.55913389428264</v>
      </c>
    </row>
    <row r="72" spans="1:4" x14ac:dyDescent="0.25">
      <c r="A72" s="56" t="s">
        <v>210</v>
      </c>
      <c r="B72" s="57">
        <v>86670.686279999994</v>
      </c>
      <c r="C72" s="57">
        <v>81912.090800000005</v>
      </c>
      <c r="D72" s="73">
        <f>IF(OR(86670.68628="",81912.0908="",86670.68628=0,81912.0908=0),"-",81912.0908/86670.68628*100)</f>
        <v>94.509567554793804</v>
      </c>
    </row>
    <row r="73" spans="1:4" x14ac:dyDescent="0.25">
      <c r="A73" s="56" t="s">
        <v>211</v>
      </c>
      <c r="B73" s="57">
        <v>5124.8891999999996</v>
      </c>
      <c r="C73" s="57">
        <v>2778.9589000000001</v>
      </c>
      <c r="D73" s="73">
        <f>IF(OR(5124.8892="",2778.9589="",5124.8892=0,2778.9589=0),"-",2778.9589/5124.8892*100)</f>
        <v>54.224760605556121</v>
      </c>
    </row>
    <row r="74" spans="1:4" x14ac:dyDescent="0.25">
      <c r="A74" s="56" t="s">
        <v>212</v>
      </c>
      <c r="B74" s="57">
        <v>136313.67806000001</v>
      </c>
      <c r="C74" s="57">
        <v>102148.60708</v>
      </c>
      <c r="D74" s="73">
        <f>IF(OR(136313.67806="",102148.60708="",136313.67806=0,102148.60708=0),"-",102148.60708/136313.67806*100)</f>
        <v>74.936432303615291</v>
      </c>
    </row>
    <row r="75" spans="1:4" x14ac:dyDescent="0.25">
      <c r="A75" s="56" t="s">
        <v>213</v>
      </c>
      <c r="B75" s="57">
        <v>-11152.332700000001</v>
      </c>
      <c r="C75" s="57">
        <v>-6131.1415699999998</v>
      </c>
      <c r="D75" s="73">
        <f>IF(OR(-11152.3327="",-6131.14157="",-11152.3327=0,-6131.14157=0),"-",-6131.14157/-11152.3327*100)</f>
        <v>54.97631513450095</v>
      </c>
    </row>
    <row r="76" spans="1:4" x14ac:dyDescent="0.25">
      <c r="A76" s="56" t="s">
        <v>236</v>
      </c>
      <c r="B76" s="57">
        <v>-36250.526639999996</v>
      </c>
      <c r="C76" s="57">
        <v>-38065.714330000003</v>
      </c>
      <c r="D76" s="73">
        <f>IF(OR(-36250.52664="",-38065.71433="",-36250.52664=0,-38065.71433=0),"-",-38065.71433/-36250.52664*100)</f>
        <v>105.00734157058307</v>
      </c>
    </row>
    <row r="77" spans="1:4" ht="25.5" x14ac:dyDescent="0.25">
      <c r="A77" s="56" t="s">
        <v>214</v>
      </c>
      <c r="B77" s="57">
        <v>-7590.8848200000002</v>
      </c>
      <c r="C77" s="57">
        <v>-8296.3506500000003</v>
      </c>
      <c r="D77" s="73">
        <f>IF(OR(-7590.88482="",-8296.35065="",-7590.88482=0,-8296.35065=0),"-",-8296.35065/-7590.88482*100)</f>
        <v>109.29359154734217</v>
      </c>
    </row>
    <row r="78" spans="1:4" x14ac:dyDescent="0.25">
      <c r="A78" s="56" t="s">
        <v>36</v>
      </c>
      <c r="B78" s="57">
        <v>-178980.31755000001</v>
      </c>
      <c r="C78" s="57">
        <v>-176632.21234999999</v>
      </c>
      <c r="D78" s="73">
        <f>IF(OR(-178980.31755="",-176632.21235="",-178980.31755=0,-176632.21235=0),"-",-176632.21235/-178980.31755*100)</f>
        <v>98.688065127974724</v>
      </c>
    </row>
    <row r="79" spans="1:4" x14ac:dyDescent="0.25">
      <c r="A79" s="68" t="s">
        <v>215</v>
      </c>
      <c r="B79" s="69">
        <v>45.30921</v>
      </c>
      <c r="C79" s="69">
        <v>-225.26417000000001</v>
      </c>
      <c r="D79" s="74" t="s">
        <v>22</v>
      </c>
    </row>
    <row r="80" spans="1:4" x14ac:dyDescent="0.25">
      <c r="A80" s="25" t="s">
        <v>21</v>
      </c>
    </row>
  </sheetData>
  <mergeCells count="2">
    <mergeCell ref="A1:D1"/>
    <mergeCell ref="A2:D2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2021-02-15T15:48:30Z</cp:lastPrinted>
  <dcterms:created xsi:type="dcterms:W3CDTF">2016-09-01T07:59:47Z</dcterms:created>
  <dcterms:modified xsi:type="dcterms:W3CDTF">2021-02-16T08:41:03Z</dcterms:modified>
</cp:coreProperties>
</file>