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04_2021_REV\"/>
    </mc:Choice>
  </mc:AlternateContent>
  <bookViews>
    <workbookView xWindow="0" yWindow="0" windowWidth="24000" windowHeight="10875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52511" iterate="1"/>
</workbook>
</file>

<file path=xl/calcChain.xml><?xml version="1.0" encoding="utf-8"?>
<calcChain xmlns="http://schemas.openxmlformats.org/spreadsheetml/2006/main">
  <c r="B34" i="3" l="1"/>
  <c r="D129" i="3"/>
  <c r="D128" i="3"/>
  <c r="D127" i="3"/>
  <c r="D126" i="3"/>
  <c r="B126" i="3"/>
  <c r="D124" i="3"/>
  <c r="D116" i="3"/>
  <c r="D114" i="3"/>
  <c r="D112" i="3"/>
  <c r="D110" i="3"/>
  <c r="D109" i="3"/>
  <c r="D108" i="3"/>
  <c r="D106" i="3"/>
  <c r="D105" i="3"/>
  <c r="D101" i="3"/>
  <c r="D100" i="3"/>
  <c r="D98" i="3"/>
  <c r="D96" i="3"/>
  <c r="D94" i="3"/>
  <c r="D91" i="3"/>
  <c r="D89" i="3"/>
  <c r="D83" i="3"/>
  <c r="D82" i="3"/>
  <c r="D80" i="3"/>
  <c r="D79" i="3"/>
  <c r="D75" i="3"/>
  <c r="D72" i="3"/>
  <c r="D68" i="3"/>
  <c r="D67" i="3"/>
  <c r="D64" i="3"/>
  <c r="D63" i="3"/>
  <c r="D61" i="3"/>
  <c r="D58" i="3"/>
  <c r="D57" i="3"/>
  <c r="D56" i="3"/>
  <c r="D55" i="3"/>
  <c r="D54" i="3"/>
  <c r="D53" i="3"/>
  <c r="D51" i="3"/>
  <c r="D49" i="3"/>
  <c r="D48" i="3"/>
  <c r="D47" i="3"/>
  <c r="C47" i="3"/>
  <c r="D43" i="3"/>
  <c r="D42" i="3"/>
  <c r="D40" i="3"/>
  <c r="D38" i="3"/>
  <c r="D37" i="3"/>
  <c r="D36" i="3"/>
  <c r="C36" i="3"/>
  <c r="D35" i="3"/>
  <c r="D34" i="3"/>
  <c r="D31" i="3"/>
  <c r="D27" i="3"/>
  <c r="D25" i="3"/>
  <c r="D24" i="3"/>
  <c r="D23" i="3"/>
  <c r="D21" i="3"/>
  <c r="D19" i="3"/>
  <c r="D17" i="3"/>
  <c r="D12" i="3"/>
  <c r="D10" i="3"/>
  <c r="D8" i="3"/>
  <c r="D5" i="3"/>
  <c r="E39" i="8" l="1"/>
  <c r="D39" i="8"/>
  <c r="E38" i="8"/>
  <c r="D38" i="8"/>
  <c r="E37" i="8"/>
  <c r="D37" i="8"/>
  <c r="E36" i="8"/>
  <c r="D36" i="8"/>
  <c r="D35" i="8"/>
  <c r="E34" i="8"/>
  <c r="D34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38" i="7" l="1"/>
  <c r="D38" i="7"/>
  <c r="E37" i="7"/>
  <c r="D37" i="7"/>
  <c r="E36" i="7"/>
  <c r="D36" i="7"/>
  <c r="E35" i="7"/>
  <c r="D35" i="7"/>
  <c r="E34" i="7"/>
  <c r="D34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E21" i="7"/>
  <c r="D21" i="7"/>
  <c r="E20" i="7"/>
  <c r="D20" i="7"/>
  <c r="E19" i="7"/>
  <c r="D19" i="7"/>
  <c r="E18" i="7"/>
  <c r="D18" i="7"/>
  <c r="E17" i="7"/>
  <c r="D17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7" i="4" l="1"/>
  <c r="E74" i="4"/>
  <c r="E73" i="4"/>
  <c r="E69" i="4"/>
  <c r="E67" i="4"/>
  <c r="E66" i="4"/>
  <c r="E64" i="4"/>
  <c r="E63" i="4"/>
  <c r="E62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28" i="4"/>
  <c r="E26" i="4"/>
  <c r="E24" i="4"/>
  <c r="E23" i="4"/>
  <c r="E22" i="4"/>
  <c r="E21" i="4"/>
  <c r="E20" i="4"/>
  <c r="E19" i="4"/>
  <c r="E18" i="4"/>
  <c r="E16" i="4"/>
  <c r="E14" i="4"/>
  <c r="E12" i="4"/>
  <c r="E11" i="4"/>
  <c r="E10" i="4"/>
  <c r="E9" i="4"/>
  <c r="E6" i="4"/>
  <c r="H80" i="6" l="1"/>
  <c r="G80" i="6"/>
  <c r="F80" i="6"/>
  <c r="E80" i="6"/>
  <c r="D80" i="6"/>
  <c r="H79" i="6"/>
  <c r="G79" i="6"/>
  <c r="F79" i="6"/>
  <c r="E79" i="6"/>
  <c r="D79" i="6"/>
  <c r="H78" i="6"/>
  <c r="G78" i="6"/>
  <c r="F78" i="6"/>
  <c r="E78" i="6"/>
  <c r="D78" i="6"/>
  <c r="H77" i="6"/>
  <c r="G77" i="6"/>
  <c r="F77" i="6"/>
  <c r="E77" i="6"/>
  <c r="H76" i="6"/>
  <c r="G76" i="6"/>
  <c r="F76" i="6"/>
  <c r="E76" i="6"/>
  <c r="D76" i="6"/>
  <c r="H75" i="6"/>
  <c r="G75" i="6"/>
  <c r="F75" i="6"/>
  <c r="E75" i="6"/>
  <c r="H74" i="6"/>
  <c r="G74" i="6"/>
  <c r="F74" i="6"/>
  <c r="E74" i="6"/>
  <c r="D74" i="6"/>
  <c r="H73" i="6"/>
  <c r="G73" i="6"/>
  <c r="F73" i="6"/>
  <c r="E73" i="6"/>
  <c r="H72" i="6"/>
  <c r="G72" i="6"/>
  <c r="F72" i="6"/>
  <c r="E72" i="6"/>
  <c r="H71" i="6"/>
  <c r="G71" i="6"/>
  <c r="F71" i="6"/>
  <c r="E71" i="6"/>
  <c r="H70" i="6"/>
  <c r="G70" i="6"/>
  <c r="F70" i="6"/>
  <c r="E70" i="6"/>
  <c r="D70" i="6"/>
  <c r="H69" i="6"/>
  <c r="G69" i="6"/>
  <c r="F69" i="6"/>
  <c r="E69" i="6"/>
  <c r="H68" i="6"/>
  <c r="G68" i="6"/>
  <c r="F68" i="6"/>
  <c r="E68" i="6"/>
  <c r="H67" i="6"/>
  <c r="G67" i="6"/>
  <c r="F67" i="6"/>
  <c r="E67" i="6"/>
  <c r="D67" i="6"/>
  <c r="H66" i="6"/>
  <c r="G66" i="6"/>
  <c r="F66" i="6"/>
  <c r="E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H61" i="6"/>
  <c r="G61" i="6"/>
  <c r="F61" i="6"/>
  <c r="E61" i="6"/>
  <c r="H60" i="6"/>
  <c r="G60" i="6"/>
  <c r="F60" i="6"/>
  <c r="E60" i="6"/>
  <c r="D60" i="6"/>
  <c r="H59" i="6"/>
  <c r="G59" i="6"/>
  <c r="F59" i="6"/>
  <c r="E59" i="6"/>
  <c r="D59" i="6"/>
  <c r="H58" i="6"/>
  <c r="G58" i="6"/>
  <c r="F58" i="6"/>
  <c r="E58" i="6"/>
  <c r="D58" i="6"/>
  <c r="H57" i="6"/>
  <c r="G57" i="6"/>
  <c r="F57" i="6"/>
  <c r="E57" i="6"/>
  <c r="D57" i="6"/>
  <c r="H56" i="6"/>
  <c r="G56" i="6"/>
  <c r="F56" i="6"/>
  <c r="E56" i="6"/>
  <c r="D56" i="6"/>
  <c r="H55" i="6"/>
  <c r="G55" i="6"/>
  <c r="F55" i="6"/>
  <c r="E55" i="6"/>
  <c r="D55" i="6"/>
  <c r="H54" i="6"/>
  <c r="G54" i="6"/>
  <c r="F54" i="6"/>
  <c r="E54" i="6"/>
  <c r="H53" i="6"/>
  <c r="G53" i="6"/>
  <c r="F53" i="6"/>
  <c r="E53" i="6"/>
  <c r="D53" i="6"/>
  <c r="H52" i="6"/>
  <c r="G52" i="6"/>
  <c r="F52" i="6"/>
  <c r="E52" i="6"/>
  <c r="D52" i="6"/>
  <c r="H51" i="6"/>
  <c r="G51" i="6"/>
  <c r="F51" i="6"/>
  <c r="E51" i="6"/>
  <c r="D51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D48" i="6"/>
  <c r="H47" i="6"/>
  <c r="G47" i="6"/>
  <c r="F47" i="6"/>
  <c r="E47" i="6"/>
  <c r="D47" i="6"/>
  <c r="H46" i="6"/>
  <c r="G46" i="6"/>
  <c r="F46" i="6"/>
  <c r="E46" i="6"/>
  <c r="D46" i="6"/>
  <c r="H45" i="6"/>
  <c r="G45" i="6"/>
  <c r="F45" i="6"/>
  <c r="E45" i="6"/>
  <c r="D45" i="6"/>
  <c r="H44" i="6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D42" i="6"/>
  <c r="H41" i="6"/>
  <c r="G41" i="6"/>
  <c r="F41" i="6"/>
  <c r="E41" i="6"/>
  <c r="D41" i="6"/>
  <c r="H40" i="6"/>
  <c r="G40" i="6"/>
  <c r="F40" i="6"/>
  <c r="E40" i="6"/>
  <c r="D40" i="6"/>
  <c r="H39" i="6"/>
  <c r="G39" i="6"/>
  <c r="F39" i="6"/>
  <c r="E39" i="6"/>
  <c r="H38" i="6"/>
  <c r="G38" i="6"/>
  <c r="F38" i="6"/>
  <c r="E38" i="6"/>
  <c r="D38" i="6"/>
  <c r="H37" i="6"/>
  <c r="G37" i="6"/>
  <c r="F37" i="6"/>
  <c r="E37" i="6"/>
  <c r="H36" i="6"/>
  <c r="G36" i="6"/>
  <c r="F36" i="6"/>
  <c r="E36" i="6"/>
  <c r="D36" i="6"/>
  <c r="H35" i="6"/>
  <c r="G35" i="6"/>
  <c r="F35" i="6"/>
  <c r="E35" i="6"/>
  <c r="D35" i="6"/>
  <c r="H34" i="6"/>
  <c r="G34" i="6"/>
  <c r="F34" i="6"/>
  <c r="E34" i="6"/>
  <c r="D34" i="6"/>
  <c r="H33" i="6"/>
  <c r="G33" i="6"/>
  <c r="F33" i="6"/>
  <c r="E33" i="6"/>
  <c r="D33" i="6"/>
  <c r="H32" i="6"/>
  <c r="G32" i="6"/>
  <c r="F32" i="6"/>
  <c r="E32" i="6"/>
  <c r="D32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H24" i="6"/>
  <c r="G24" i="6"/>
  <c r="F24" i="6"/>
  <c r="E24" i="6"/>
  <c r="D24" i="6"/>
  <c r="H23" i="6"/>
  <c r="G23" i="6"/>
  <c r="F23" i="6"/>
  <c r="E23" i="6"/>
  <c r="D23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D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D10" i="6"/>
  <c r="H9" i="6"/>
  <c r="G9" i="6"/>
  <c r="F9" i="6"/>
  <c r="E9" i="6"/>
  <c r="D9" i="6"/>
  <c r="H7" i="6"/>
  <c r="G7" i="6"/>
  <c r="D7" i="6"/>
  <c r="G80" i="5" l="1"/>
  <c r="F80" i="5"/>
  <c r="E80" i="5"/>
  <c r="H79" i="5"/>
  <c r="G79" i="5"/>
  <c r="F79" i="5"/>
  <c r="E79" i="5"/>
  <c r="D79" i="5"/>
  <c r="H78" i="5"/>
  <c r="G78" i="5"/>
  <c r="F78" i="5"/>
  <c r="E78" i="5"/>
  <c r="D78" i="5"/>
  <c r="H77" i="5"/>
  <c r="G77" i="5"/>
  <c r="F77" i="5"/>
  <c r="E77" i="5"/>
  <c r="H76" i="5"/>
  <c r="G76" i="5"/>
  <c r="F76" i="5"/>
  <c r="E76" i="5"/>
  <c r="D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H72" i="5"/>
  <c r="G72" i="5"/>
  <c r="F72" i="5"/>
  <c r="E72" i="5"/>
  <c r="H71" i="5"/>
  <c r="G71" i="5"/>
  <c r="F71" i="5"/>
  <c r="E71" i="5"/>
  <c r="D71" i="5"/>
  <c r="H70" i="5"/>
  <c r="G70" i="5"/>
  <c r="F70" i="5"/>
  <c r="E70" i="5"/>
  <c r="H69" i="5"/>
  <c r="G69" i="5"/>
  <c r="F69" i="5"/>
  <c r="E69" i="5"/>
  <c r="H68" i="5"/>
  <c r="G68" i="5"/>
  <c r="F68" i="5"/>
  <c r="E68" i="5"/>
  <c r="D68" i="5"/>
  <c r="H67" i="5"/>
  <c r="G67" i="5"/>
  <c r="F67" i="5"/>
  <c r="E67" i="5"/>
  <c r="H66" i="5"/>
  <c r="G66" i="5"/>
  <c r="F66" i="5"/>
  <c r="E66" i="5"/>
  <c r="H65" i="5"/>
  <c r="G65" i="5"/>
  <c r="F65" i="5"/>
  <c r="E65" i="5"/>
  <c r="D65" i="5"/>
  <c r="H64" i="5"/>
  <c r="G64" i="5"/>
  <c r="F64" i="5"/>
  <c r="E64" i="5"/>
  <c r="H63" i="5"/>
  <c r="G63" i="5"/>
  <c r="F63" i="5"/>
  <c r="E63" i="5"/>
  <c r="H62" i="5"/>
  <c r="G62" i="5"/>
  <c r="F62" i="5"/>
  <c r="E62" i="5"/>
  <c r="D62" i="5"/>
  <c r="H61" i="5"/>
  <c r="G61" i="5"/>
  <c r="F61" i="5"/>
  <c r="E61" i="5"/>
  <c r="D61" i="5"/>
  <c r="H60" i="5"/>
  <c r="G60" i="5"/>
  <c r="F60" i="5"/>
  <c r="E60" i="5"/>
  <c r="H59" i="5"/>
  <c r="G59" i="5"/>
  <c r="F59" i="5"/>
  <c r="E59" i="5"/>
  <c r="D59" i="5"/>
  <c r="H58" i="5"/>
  <c r="G58" i="5"/>
  <c r="F58" i="5"/>
  <c r="E58" i="5"/>
  <c r="H57" i="5"/>
  <c r="G57" i="5"/>
  <c r="F57" i="5"/>
  <c r="E57" i="5"/>
  <c r="D57" i="5"/>
  <c r="H56" i="5"/>
  <c r="G56" i="5"/>
  <c r="F56" i="5"/>
  <c r="E56" i="5"/>
  <c r="H55" i="5"/>
  <c r="G55" i="5"/>
  <c r="F55" i="5"/>
  <c r="E55" i="5"/>
  <c r="D55" i="5"/>
  <c r="H54" i="5"/>
  <c r="G54" i="5"/>
  <c r="F54" i="5"/>
  <c r="E54" i="5"/>
  <c r="D54" i="5"/>
  <c r="H53" i="5"/>
  <c r="G53" i="5"/>
  <c r="F53" i="5"/>
  <c r="E53" i="5"/>
  <c r="H52" i="5"/>
  <c r="G52" i="5"/>
  <c r="F52" i="5"/>
  <c r="E52" i="5"/>
  <c r="H51" i="5"/>
  <c r="G51" i="5"/>
  <c r="F51" i="5"/>
  <c r="E51" i="5"/>
  <c r="D51" i="5"/>
  <c r="H50" i="5"/>
  <c r="G50" i="5"/>
  <c r="F50" i="5"/>
  <c r="E50" i="5"/>
  <c r="H49" i="5"/>
  <c r="G49" i="5"/>
  <c r="F49" i="5"/>
  <c r="E49" i="5"/>
  <c r="H48" i="5"/>
  <c r="G48" i="5"/>
  <c r="F48" i="5"/>
  <c r="E48" i="5"/>
  <c r="D48" i="5"/>
  <c r="H47" i="5"/>
  <c r="G47" i="5"/>
  <c r="F47" i="5"/>
  <c r="E47" i="5"/>
  <c r="H46" i="5"/>
  <c r="G46" i="5"/>
  <c r="F46" i="5"/>
  <c r="E46" i="5"/>
  <c r="D46" i="5"/>
  <c r="H45" i="5"/>
  <c r="G45" i="5"/>
  <c r="F45" i="5"/>
  <c r="E45" i="5"/>
  <c r="H44" i="5"/>
  <c r="G44" i="5"/>
  <c r="F44" i="5"/>
  <c r="E44" i="5"/>
  <c r="H43" i="5"/>
  <c r="G43" i="5"/>
  <c r="F43" i="5"/>
  <c r="E43" i="5"/>
  <c r="D43" i="5"/>
  <c r="H42" i="5"/>
  <c r="G42" i="5"/>
  <c r="F42" i="5"/>
  <c r="E42" i="5"/>
  <c r="D42" i="5"/>
  <c r="H41" i="5"/>
  <c r="G41" i="5"/>
  <c r="F41" i="5"/>
  <c r="E41" i="5"/>
  <c r="D41" i="5"/>
  <c r="H40" i="5"/>
  <c r="G40" i="5"/>
  <c r="F40" i="5"/>
  <c r="E40" i="5"/>
  <c r="D40" i="5"/>
  <c r="H39" i="5"/>
  <c r="G39" i="5"/>
  <c r="F39" i="5"/>
  <c r="E39" i="5"/>
  <c r="D39" i="5"/>
  <c r="H38" i="5"/>
  <c r="G38" i="5"/>
  <c r="F38" i="5"/>
  <c r="E38" i="5"/>
  <c r="H37" i="5"/>
  <c r="G37" i="5"/>
  <c r="F37" i="5"/>
  <c r="E37" i="5"/>
  <c r="D37" i="5"/>
  <c r="H36" i="5"/>
  <c r="G36" i="5"/>
  <c r="F36" i="5"/>
  <c r="E36" i="5"/>
  <c r="D36" i="5"/>
  <c r="H35" i="5"/>
  <c r="G35" i="5"/>
  <c r="F35" i="5"/>
  <c r="E35" i="5"/>
  <c r="H34" i="5"/>
  <c r="G34" i="5"/>
  <c r="F34" i="5"/>
  <c r="E34" i="5"/>
  <c r="H33" i="5"/>
  <c r="G33" i="5"/>
  <c r="F33" i="5"/>
  <c r="E33" i="5"/>
  <c r="H32" i="5"/>
  <c r="G32" i="5"/>
  <c r="F32" i="5"/>
  <c r="E32" i="5"/>
  <c r="D32" i="5"/>
  <c r="H31" i="5"/>
  <c r="G31" i="5"/>
  <c r="F31" i="5"/>
  <c r="E31" i="5"/>
  <c r="H30" i="5"/>
  <c r="G30" i="5"/>
  <c r="F30" i="5"/>
  <c r="E30" i="5"/>
  <c r="D30" i="5"/>
  <c r="H29" i="5"/>
  <c r="G29" i="5"/>
  <c r="F29" i="5"/>
  <c r="E29" i="5"/>
  <c r="H28" i="5"/>
  <c r="G28" i="5"/>
  <c r="F28" i="5"/>
  <c r="E28" i="5"/>
  <c r="H27" i="5"/>
  <c r="G27" i="5"/>
  <c r="F27" i="5"/>
  <c r="E27" i="5"/>
  <c r="D27" i="5"/>
  <c r="H26" i="5"/>
  <c r="G26" i="5"/>
  <c r="F26" i="5"/>
  <c r="E26" i="5"/>
  <c r="D26" i="5"/>
  <c r="H25" i="5"/>
  <c r="G25" i="5"/>
  <c r="F25" i="5"/>
  <c r="E25" i="5"/>
  <c r="D25" i="5"/>
  <c r="H24" i="5"/>
  <c r="G24" i="5"/>
  <c r="F24" i="5"/>
  <c r="E24" i="5"/>
  <c r="D24" i="5"/>
  <c r="H23" i="5"/>
  <c r="G23" i="5"/>
  <c r="F23" i="5"/>
  <c r="E23" i="5"/>
  <c r="D23" i="5"/>
  <c r="H22" i="5"/>
  <c r="G22" i="5"/>
  <c r="F22" i="5"/>
  <c r="E22" i="5"/>
  <c r="D22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H18" i="5"/>
  <c r="G18" i="5"/>
  <c r="F18" i="5"/>
  <c r="E18" i="5"/>
  <c r="D18" i="5"/>
  <c r="H17" i="5"/>
  <c r="G17" i="5"/>
  <c r="F17" i="5"/>
  <c r="E17" i="5"/>
  <c r="D17" i="5"/>
  <c r="H16" i="5"/>
  <c r="G16" i="5"/>
  <c r="F16" i="5"/>
  <c r="E16" i="5"/>
  <c r="D16" i="5"/>
  <c r="H15" i="5"/>
  <c r="G15" i="5"/>
  <c r="F15" i="5"/>
  <c r="E15" i="5"/>
  <c r="D15" i="5"/>
  <c r="H14" i="5"/>
  <c r="G14" i="5"/>
  <c r="F14" i="5"/>
  <c r="E14" i="5"/>
  <c r="D14" i="5"/>
  <c r="H13" i="5"/>
  <c r="G13" i="5"/>
  <c r="F13" i="5"/>
  <c r="E13" i="5"/>
  <c r="D13" i="5"/>
  <c r="H12" i="5"/>
  <c r="G12" i="5"/>
  <c r="F12" i="5"/>
  <c r="E12" i="5"/>
  <c r="D12" i="5"/>
  <c r="H11" i="5"/>
  <c r="G11" i="5"/>
  <c r="F11" i="5"/>
  <c r="E11" i="5"/>
  <c r="H10" i="5"/>
  <c r="G10" i="5"/>
  <c r="F10" i="5"/>
  <c r="E10" i="5"/>
  <c r="D10" i="5"/>
  <c r="H9" i="5"/>
  <c r="G9" i="5"/>
  <c r="F9" i="5"/>
  <c r="E9" i="5"/>
  <c r="D9" i="5"/>
  <c r="H7" i="5"/>
  <c r="G7" i="5"/>
  <c r="D7" i="5"/>
  <c r="G110" i="2" l="1"/>
  <c r="F110" i="2"/>
  <c r="E110" i="2"/>
  <c r="D110" i="2"/>
  <c r="G109" i="2"/>
  <c r="F109" i="2"/>
  <c r="E109" i="2"/>
  <c r="D109" i="2"/>
  <c r="C109" i="2"/>
  <c r="G108" i="2"/>
  <c r="F108" i="2"/>
  <c r="E108" i="2"/>
  <c r="D108" i="2"/>
  <c r="G107" i="2"/>
  <c r="F107" i="2"/>
  <c r="E107" i="2"/>
  <c r="D107" i="2"/>
  <c r="C107" i="2"/>
  <c r="G106" i="2"/>
  <c r="F106" i="2"/>
  <c r="E106" i="2"/>
  <c r="D106" i="2"/>
  <c r="C106" i="2"/>
  <c r="G105" i="2"/>
  <c r="F105" i="2"/>
  <c r="E105" i="2"/>
  <c r="D105" i="2"/>
  <c r="C105" i="2"/>
  <c r="G104" i="2"/>
  <c r="F104" i="2"/>
  <c r="E104" i="2"/>
  <c r="D104" i="2"/>
  <c r="C104" i="2"/>
  <c r="G103" i="2"/>
  <c r="F103" i="2"/>
  <c r="E103" i="2"/>
  <c r="D103" i="2"/>
  <c r="G102" i="2"/>
  <c r="F102" i="2"/>
  <c r="E102" i="2"/>
  <c r="D102" i="2"/>
  <c r="C102" i="2"/>
  <c r="G101" i="2"/>
  <c r="F101" i="2"/>
  <c r="E101" i="2"/>
  <c r="D101" i="2"/>
  <c r="G100" i="2"/>
  <c r="F100" i="2"/>
  <c r="E100" i="2"/>
  <c r="D100" i="2"/>
  <c r="C100" i="2"/>
  <c r="G99" i="2"/>
  <c r="F99" i="2"/>
  <c r="E99" i="2"/>
  <c r="D99" i="2"/>
  <c r="G98" i="2"/>
  <c r="F98" i="2"/>
  <c r="E98" i="2"/>
  <c r="D98" i="2"/>
  <c r="C98" i="2"/>
  <c r="G97" i="2"/>
  <c r="F97" i="2"/>
  <c r="E97" i="2"/>
  <c r="D97" i="2"/>
  <c r="G96" i="2"/>
  <c r="F96" i="2"/>
  <c r="E96" i="2"/>
  <c r="D96" i="2"/>
  <c r="C96" i="2"/>
  <c r="G95" i="2"/>
  <c r="F95" i="2"/>
  <c r="E95" i="2"/>
  <c r="D95" i="2"/>
  <c r="G94" i="2"/>
  <c r="F94" i="2"/>
  <c r="E94" i="2"/>
  <c r="D94" i="2"/>
  <c r="C94" i="2"/>
  <c r="G93" i="2"/>
  <c r="F93" i="2"/>
  <c r="E93" i="2"/>
  <c r="D93" i="2"/>
  <c r="G92" i="2"/>
  <c r="F92" i="2"/>
  <c r="E92" i="2"/>
  <c r="D92" i="2"/>
  <c r="C92" i="2"/>
  <c r="G91" i="2"/>
  <c r="F91" i="2"/>
  <c r="E91" i="2"/>
  <c r="D91" i="2"/>
  <c r="C91" i="2"/>
  <c r="G90" i="2"/>
  <c r="F90" i="2"/>
  <c r="E90" i="2"/>
  <c r="D90" i="2"/>
  <c r="C90" i="2"/>
  <c r="G89" i="2"/>
  <c r="F89" i="2"/>
  <c r="E89" i="2"/>
  <c r="D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G82" i="2"/>
  <c r="F82" i="2"/>
  <c r="E82" i="2"/>
  <c r="D82" i="2"/>
  <c r="G81" i="2"/>
  <c r="F81" i="2"/>
  <c r="E81" i="2"/>
  <c r="D81" i="2"/>
  <c r="G80" i="2"/>
  <c r="F80" i="2"/>
  <c r="E80" i="2"/>
  <c r="D80" i="2"/>
  <c r="G79" i="2"/>
  <c r="F79" i="2"/>
  <c r="E79" i="2"/>
  <c r="D79" i="2"/>
  <c r="C79" i="2"/>
  <c r="G78" i="2"/>
  <c r="F78" i="2"/>
  <c r="E78" i="2"/>
  <c r="D78" i="2"/>
  <c r="G77" i="2"/>
  <c r="F77" i="2"/>
  <c r="E77" i="2"/>
  <c r="D77" i="2"/>
  <c r="G76" i="2"/>
  <c r="F76" i="2"/>
  <c r="E76" i="2"/>
  <c r="D76" i="2"/>
  <c r="C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G72" i="2"/>
  <c r="F72" i="2"/>
  <c r="E72" i="2"/>
  <c r="D72" i="2"/>
  <c r="C72" i="2"/>
  <c r="G71" i="2"/>
  <c r="F71" i="2"/>
  <c r="E71" i="2"/>
  <c r="D71" i="2"/>
  <c r="G70" i="2"/>
  <c r="F70" i="2"/>
  <c r="E70" i="2"/>
  <c r="D70" i="2"/>
  <c r="C70" i="2"/>
  <c r="G69" i="2"/>
  <c r="F69" i="2"/>
  <c r="E69" i="2"/>
  <c r="D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G61" i="2"/>
  <c r="F61" i="2"/>
  <c r="E61" i="2"/>
  <c r="D61" i="2"/>
  <c r="C61" i="2"/>
  <c r="G60" i="2"/>
  <c r="F60" i="2"/>
  <c r="E60" i="2"/>
  <c r="D60" i="2"/>
  <c r="C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G34" i="2"/>
  <c r="F34" i="2"/>
  <c r="E34" i="2"/>
  <c r="D34" i="2"/>
  <c r="C34" i="2"/>
  <c r="G33" i="2"/>
  <c r="F33" i="2"/>
  <c r="E33" i="2"/>
  <c r="D33" i="2"/>
  <c r="G32" i="2"/>
  <c r="F32" i="2"/>
  <c r="E32" i="2"/>
  <c r="D32" i="2"/>
  <c r="G31" i="2"/>
  <c r="F31" i="2"/>
  <c r="E31" i="2"/>
  <c r="D31" i="2"/>
  <c r="C31" i="2"/>
  <c r="G30" i="2"/>
  <c r="F30" i="2"/>
  <c r="E30" i="2"/>
  <c r="D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6" i="2"/>
  <c r="F6" i="2"/>
  <c r="C6" i="2"/>
  <c r="G35" i="1" l="1"/>
  <c r="F35" i="1"/>
  <c r="E35" i="1"/>
  <c r="D35" i="1"/>
  <c r="C35" i="1"/>
  <c r="G101" i="1" l="1"/>
  <c r="F101" i="1"/>
  <c r="E101" i="1"/>
  <c r="D101" i="1"/>
  <c r="C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C98" i="1"/>
  <c r="G97" i="1"/>
  <c r="F97" i="1"/>
  <c r="E97" i="1"/>
  <c r="D97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G79" i="1"/>
  <c r="F79" i="1"/>
  <c r="E79" i="1"/>
  <c r="D79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G75" i="1"/>
  <c r="F75" i="1"/>
  <c r="E75" i="1"/>
  <c r="D75" i="1"/>
  <c r="G74" i="1"/>
  <c r="F74" i="1"/>
  <c r="E74" i="1"/>
  <c r="D74" i="1"/>
  <c r="G73" i="1"/>
  <c r="F73" i="1"/>
  <c r="E73" i="1"/>
  <c r="D73" i="1"/>
  <c r="G72" i="1"/>
  <c r="F72" i="1"/>
  <c r="E72" i="1"/>
  <c r="D72" i="1"/>
  <c r="G71" i="1"/>
  <c r="F71" i="1"/>
  <c r="E71" i="1"/>
  <c r="D71" i="1"/>
  <c r="G70" i="1"/>
  <c r="F70" i="1"/>
  <c r="E70" i="1"/>
  <c r="D70" i="1"/>
  <c r="G69" i="1"/>
  <c r="F69" i="1"/>
  <c r="E69" i="1"/>
  <c r="D69" i="1"/>
  <c r="C69" i="1"/>
  <c r="G68" i="1"/>
  <c r="F68" i="1"/>
  <c r="E68" i="1"/>
  <c r="D68" i="1"/>
  <c r="G67" i="1"/>
  <c r="F67" i="1"/>
  <c r="E67" i="1"/>
  <c r="D67" i="1"/>
  <c r="C67" i="1"/>
  <c r="G66" i="1"/>
  <c r="F66" i="1"/>
  <c r="E66" i="1"/>
  <c r="D66" i="1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G62" i="1"/>
  <c r="F62" i="1"/>
  <c r="E62" i="1"/>
  <c r="D62" i="1"/>
  <c r="G61" i="1"/>
  <c r="F61" i="1"/>
  <c r="E61" i="1"/>
  <c r="D61" i="1"/>
  <c r="C61" i="1"/>
  <c r="G60" i="1"/>
  <c r="F60" i="1"/>
  <c r="E60" i="1"/>
  <c r="D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G42" i="1"/>
  <c r="F42" i="1"/>
  <c r="E42" i="1"/>
  <c r="D42" i="1"/>
  <c r="C42" i="1"/>
  <c r="G41" i="1"/>
  <c r="F41" i="1"/>
  <c r="E41" i="1"/>
  <c r="D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4" i="1"/>
  <c r="F34" i="1"/>
  <c r="E34" i="1"/>
  <c r="D34" i="1"/>
  <c r="C34" i="1"/>
  <c r="G33" i="1"/>
  <c r="F33" i="1"/>
  <c r="E33" i="1"/>
  <c r="D33" i="1"/>
  <c r="G32" i="1"/>
  <c r="F32" i="1"/>
  <c r="E32" i="1"/>
  <c r="D32" i="1"/>
  <c r="C32" i="1"/>
  <c r="G31" i="1"/>
  <c r="F31" i="1"/>
  <c r="E31" i="1"/>
  <c r="D31" i="1"/>
  <c r="G30" i="1"/>
  <c r="F30" i="1"/>
  <c r="E30" i="1"/>
  <c r="D30" i="1"/>
  <c r="G29" i="1"/>
  <c r="F29" i="1"/>
  <c r="E29" i="1"/>
  <c r="D29" i="1"/>
  <c r="C29" i="1"/>
  <c r="G28" i="1"/>
  <c r="F28" i="1"/>
  <c r="E28" i="1"/>
  <c r="D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6" i="1"/>
  <c r="F6" i="1"/>
  <c r="C6" i="1"/>
</calcChain>
</file>

<file path=xl/sharedStrings.xml><?xml version="1.0" encoding="utf-8"?>
<sst xmlns="http://schemas.openxmlformats.org/spreadsheetml/2006/main" count="1102" uniqueCount="384">
  <si>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</si>
  <si>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</si>
  <si>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</si>
  <si>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</si>
  <si>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</si>
  <si>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</si>
  <si>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</si>
  <si>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</si>
  <si>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</si>
  <si>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</si>
  <si>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</si>
  <si>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</si>
  <si>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</si>
  <si>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</si>
  <si>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</si>
  <si>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</si>
  <si>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</si>
  <si>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</si>
  <si>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</si>
  <si>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</si>
  <si>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</si>
  <si>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</si>
  <si>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</si>
  <si>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</si>
  <si>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</si>
  <si>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</si>
  <si>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</si>
  <si>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</si>
  <si>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</si>
  <si>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</si>
  <si>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</si>
  <si>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</si>
  <si>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</si>
  <si>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</si>
  <si>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</si>
  <si>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</si>
  <si>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</si>
  <si>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</si>
  <si>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</si>
  <si>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</si>
  <si>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</si>
  <si>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</si>
  <si>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</si>
  <si>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</si>
  <si>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</si>
  <si>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</si>
  <si>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</si>
  <si>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</si>
  <si>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</si>
  <si>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</si>
  <si>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</si>
  <si>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</si>
  <si>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</si>
  <si>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</si>
  <si>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</si>
  <si>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</si>
  <si>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</si>
  <si>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</si>
  <si>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</si>
  <si>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</si>
  <si>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</si>
  <si>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</si>
  <si>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</si>
  <si>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</si>
  <si>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</si>
  <si>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</si>
  <si>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</si>
  <si>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</si>
  <si>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</si>
  <si>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</si>
  <si>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</si>
  <si>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</si>
  <si>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</si>
  <si>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</si>
  <si>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</si>
  <si>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</si>
  <si>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</si>
  <si>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</si>
  <si>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</si>
  <si>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</si>
  <si>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</si>
  <si>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</si>
  <si>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</si>
  <si>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</si>
  <si>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</si>
  <si>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</si>
  <si>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</si>
  <si>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</si>
  <si>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</si>
  <si>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</si>
  <si>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</si>
  <si>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</si>
  <si>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</si>
  <si>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</si>
  <si>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</si>
  <si>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</si>
  <si>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</si>
  <si>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</si>
  <si>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</si>
  <si>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</si>
  <si>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</si>
  <si>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</si>
  <si>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</si>
  <si>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</si>
  <si>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</si>
  <si>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</si>
  <si>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</si>
  <si>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</si>
  <si>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</si>
  <si>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</si>
  <si>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mii dolari         SUA</t>
  </si>
  <si>
    <t>Belize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</si>
  <si>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</si>
  <si>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</si>
  <si>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</si>
  <si>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</si>
  <si>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</si>
  <si>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</si>
  <si>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</si>
  <si>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</si>
  <si>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</si>
  <si>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</si>
  <si>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Regatul Unit al Marii Britanii şi Irlandei de Nord</t>
  </si>
  <si>
    <t>Franţa</t>
  </si>
  <si>
    <t>Croaţia</t>
  </si>
  <si>
    <t>Federaţia Rusă</t>
  </si>
  <si>
    <t>Kârgâzstan</t>
  </si>
  <si>
    <t>Elveţia</t>
  </si>
  <si>
    <t>Siria</t>
  </si>
  <si>
    <t>IMPORT - total</t>
  </si>
  <si>
    <t>Etiopia</t>
  </si>
  <si>
    <t>Bahrain</t>
  </si>
  <si>
    <t>Senegal</t>
  </si>
  <si>
    <t xml:space="preserve">   din care:</t>
  </si>
  <si>
    <t xml:space="preserve">IMPORT - total      </t>
  </si>
  <si>
    <t>Burkina Faso</t>
  </si>
  <si>
    <t>Macedonia de Nord</t>
  </si>
  <si>
    <t>Cote D'Ivoire</t>
  </si>
  <si>
    <t>Insulele Feroe</t>
  </si>
  <si>
    <t>Laos</t>
  </si>
  <si>
    <t xml:space="preserve">     din care:</t>
  </si>
  <si>
    <t>Republica Yemen</t>
  </si>
  <si>
    <t>Zimbabwe</t>
  </si>
  <si>
    <t>Camerun</t>
  </si>
  <si>
    <t xml:space="preserve">EXPORT - total      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</si>
  <si>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</si>
  <si>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</si>
  <si>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grupe de ţări</t>
    </r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</si>
  <si>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</si>
  <si>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</si>
  <si>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</si>
  <si>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Liechtenstein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</si>
  <si>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</si>
  <si>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</si>
  <si>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</si>
  <si>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</si>
  <si>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</si>
  <si>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</si>
  <si>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Sri Lanka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</si>
  <si>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</si>
  <si>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</si>
  <si>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</si>
  <si>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</si>
  <si>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</si>
  <si>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</si>
  <si>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</si>
  <si>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</si>
  <si>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</si>
  <si>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</si>
  <si>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</si>
  <si>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</si>
  <si>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</si>
  <si>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</si>
  <si>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</si>
  <si>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</si>
  <si>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</si>
  <si>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</si>
  <si>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</si>
  <si>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</si>
  <si>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</si>
  <si>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</si>
  <si>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</si>
  <si>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</si>
  <si>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</si>
  <si>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</si>
  <si>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</si>
  <si>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</si>
  <si>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</si>
  <si>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</si>
  <si>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</si>
  <si>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</si>
  <si>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</si>
  <si>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</si>
  <si>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</si>
  <si>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</si>
  <si>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</si>
  <si>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</si>
  <si>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</si>
  <si>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</si>
  <si>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</si>
  <si>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</si>
  <si>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</si>
  <si>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</si>
  <si>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</si>
  <si>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</si>
  <si>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</si>
  <si>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</si>
  <si>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</si>
  <si>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</si>
  <si>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</si>
  <si>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</si>
  <si>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</si>
  <si>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</si>
  <si>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</si>
  <si>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</si>
  <si>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</si>
  <si>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</si>
  <si>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</si>
  <si>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</si>
  <si>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Uganda</t>
  </si>
  <si>
    <t>Mărfuri manufacturate, clasificate mai ales după materia primă</t>
  </si>
  <si>
    <t>de 2,2 ori</t>
  </si>
  <si>
    <t>de 1,8 ori</t>
  </si>
  <si>
    <t>Țările CSI - total</t>
  </si>
  <si>
    <t xml:space="preserve"> -</t>
  </si>
  <si>
    <t>Țările Uniunii Europene (UE-27)</t>
  </si>
  <si>
    <t xml:space="preserve">Țările CSI </t>
  </si>
  <si>
    <t xml:space="preserve">Celelalte țări ale lumii </t>
  </si>
  <si>
    <t>Cuba</t>
  </si>
  <si>
    <t>BALANŢA COMERCIALĂ – total, mii dolari SUA</t>
  </si>
  <si>
    <t>de 2,5 ori</t>
  </si>
  <si>
    <t>Ţările Uniunii Europene (UE 27) - total</t>
  </si>
  <si>
    <t>Bosnia şi Herţegovina</t>
  </si>
  <si>
    <t>Libia</t>
  </si>
  <si>
    <t>de 5,3 ori</t>
  </si>
  <si>
    <t>Statul Palestina</t>
  </si>
  <si>
    <t>de 2,3 ori</t>
  </si>
  <si>
    <t>de 4,1 ori</t>
  </si>
  <si>
    <t>de 3,7 ori</t>
  </si>
  <si>
    <t>de 1,5 ori</t>
  </si>
  <si>
    <t>de 3,4 ori</t>
  </si>
  <si>
    <t>de 3,2 ori</t>
  </si>
  <si>
    <t>Kosovo</t>
  </si>
  <si>
    <t>Afganistan</t>
  </si>
  <si>
    <t>Tanzania</t>
  </si>
  <si>
    <t>Nicaragua</t>
  </si>
  <si>
    <t>de 3,6 ori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</si>
  <si>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</si>
  <si>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</si>
  <si>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</si>
  <si>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</si>
  <si>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</si>
  <si>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</si>
  <si>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</si>
  <si>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</si>
  <si>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</si>
  <si>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</si>
  <si>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</si>
  <si>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</si>
  <si>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</si>
  <si>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</si>
  <si>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</si>
  <si>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</si>
  <si>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</si>
  <si>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</si>
  <si>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</si>
  <si>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</si>
  <si>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</si>
  <si>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</si>
  <si>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</si>
  <si>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</si>
  <si>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</si>
  <si>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</si>
  <si>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</si>
  <si>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</si>
  <si>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</si>
  <si>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</si>
  <si>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</si>
  <si>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</si>
  <si>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</si>
  <si>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</si>
  <si>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</si>
  <si>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</si>
  <si>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</si>
  <si>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</si>
  <si>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</si>
  <si>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</si>
  <si>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</si>
  <si>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</si>
  <si>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</si>
  <si>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</si>
  <si>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</si>
  <si>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</si>
  <si>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</si>
  <si>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</si>
  <si>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</si>
  <si>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</si>
  <si>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</si>
  <si>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</si>
  <si>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</si>
  <si>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</si>
  <si>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</si>
  <si>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</si>
  <si>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</si>
  <si>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</si>
  <si>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</si>
  <si>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</si>
  <si>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</si>
  <si>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</si>
  <si>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</si>
  <si>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</si>
  <si>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</si>
  <si>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</si>
  <si>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</si>
  <si>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</si>
  <si>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</si>
  <si>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</si>
  <si>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de 2,6 ori</t>
  </si>
  <si>
    <t>de 2,8 ori</t>
  </si>
  <si>
    <t>23</t>
  </si>
  <si>
    <t>34</t>
  </si>
  <si>
    <t>9</t>
  </si>
  <si>
    <t>Cod CSCI</t>
  </si>
  <si>
    <t>Țările Uniunii Europene (UE-27) - total</t>
  </si>
  <si>
    <t>de 8,2 ori</t>
  </si>
  <si>
    <t>de 6,6 ori</t>
  </si>
  <si>
    <t>de 5,4 ori</t>
  </si>
  <si>
    <t>conform Clasificării Standard de Comerţ Internaţional (CSCI)</t>
  </si>
  <si>
    <t xml:space="preserve">  ¹ În preţuri curente</t>
  </si>
  <si>
    <t>Ianuarie - aprilie 2021</t>
  </si>
  <si>
    <t>ianuarie - aprilie</t>
  </si>
  <si>
    <t>Ianuarie - aprilie</t>
  </si>
  <si>
    <r>
      <t>în % faţă de ianuarie - aprilie 2020</t>
    </r>
    <r>
      <rPr>
        <b/>
        <vertAlign val="superscript"/>
        <sz val="10"/>
        <color indexed="8"/>
        <rFont val="Times New Roman"/>
        <family val="1"/>
        <charset val="204"/>
      </rPr>
      <t>1</t>
    </r>
  </si>
  <si>
    <r>
      <t>Ianuarie - aprilie 2021 în % faţă de            ianuarie - aprilie 2020</t>
    </r>
    <r>
      <rPr>
        <b/>
        <vertAlign val="superscript"/>
        <sz val="10"/>
        <color indexed="8"/>
        <rFont val="Times New Roman"/>
        <family val="1"/>
        <charset val="204"/>
      </rPr>
      <t>1</t>
    </r>
  </si>
  <si>
    <r>
      <t>în % faţă de ianuarie - aprilie 2020</t>
    </r>
    <r>
      <rPr>
        <b/>
        <vertAlign val="superscript"/>
        <sz val="10"/>
        <rFont val="Times New Roman"/>
        <family val="1"/>
        <charset val="204"/>
      </rPr>
      <t>1</t>
    </r>
  </si>
  <si>
    <r>
      <t>în % faţă de ianuarie-aprilie 2020</t>
    </r>
    <r>
      <rPr>
        <b/>
        <vertAlign val="superscript"/>
        <sz val="10"/>
        <rFont val="Times New Roman"/>
        <family val="1"/>
        <charset val="204"/>
      </rPr>
      <t>1</t>
    </r>
  </si>
  <si>
    <r>
      <t>ianuarie - aprilie</t>
    </r>
    <r>
      <rPr>
        <b/>
        <vertAlign val="superscript"/>
        <sz val="10"/>
        <color indexed="8"/>
        <rFont val="Times New Roman"/>
        <family val="1"/>
        <charset val="204"/>
      </rPr>
      <t>1,2</t>
    </r>
  </si>
  <si>
    <r>
      <t>ianuarie - aprilie</t>
    </r>
    <r>
      <rPr>
        <b/>
        <vertAlign val="superscript"/>
        <sz val="10"/>
        <rFont val="Times New Roman"/>
        <family val="1"/>
        <charset val="204"/>
      </rPr>
      <t>1,2</t>
    </r>
  </si>
  <si>
    <t>Sierra Leone</t>
  </si>
  <si>
    <t>de 2,9 ori</t>
  </si>
  <si>
    <t>de 17,7 ori</t>
  </si>
  <si>
    <t>de 7,5 ori</t>
  </si>
  <si>
    <t>de 12,1 ori</t>
  </si>
  <si>
    <t>de 4,5 ori</t>
  </si>
  <si>
    <t>de 28,9 ori</t>
  </si>
  <si>
    <t>de 6,0 ori</t>
  </si>
  <si>
    <t>de 59,8 ori</t>
  </si>
  <si>
    <t>de 4,9 ori</t>
  </si>
  <si>
    <t>-</t>
  </si>
  <si>
    <t>Insulele Turks si Caicos</t>
  </si>
  <si>
    <t xml:space="preserve">Ţări cu codul ţării de origine a mărfii "EU" </t>
  </si>
  <si>
    <t>de 75,5 ori</t>
  </si>
  <si>
    <t>de 2,7 ori</t>
  </si>
  <si>
    <t>de 2,4 ori</t>
  </si>
  <si>
    <t>de 10,5 ori</t>
  </si>
  <si>
    <t>de 4,0 ori</t>
  </si>
  <si>
    <t>de 524,3 ori</t>
  </si>
  <si>
    <t>de 15,8 ori</t>
  </si>
  <si>
    <t>35</t>
  </si>
  <si>
    <t>Energie electrica</t>
  </si>
  <si>
    <t>de 8,4 ori</t>
  </si>
  <si>
    <t>de 12,2 ori</t>
  </si>
  <si>
    <t>de 6,5 ori</t>
  </si>
  <si>
    <t>de 370,1 ori</t>
  </si>
  <si>
    <t>de 4,3 ori</t>
  </si>
  <si>
    <t>din care</t>
  </si>
  <si>
    <t>Energie electrică</t>
  </si>
  <si>
    <r>
      <t xml:space="preserve">  </t>
    </r>
    <r>
      <rPr>
        <b/>
        <vertAlign val="superscript"/>
        <sz val="9"/>
        <rFont val="Times New Roman"/>
        <family val="1"/>
        <charset val="204"/>
      </rPr>
      <t>2</t>
    </r>
    <r>
      <rPr>
        <b/>
        <sz val="9"/>
        <rFont val="Times New Roman"/>
        <family val="1"/>
        <charset val="204"/>
      </rPr>
      <t xml:space="preserve"> Faţă de perioada corespunzătoare din anul precedent</t>
    </r>
  </si>
  <si>
    <t>BALANŢA COMERCIALĂ - total, mii dolari SUA</t>
  </si>
  <si>
    <t>de 23,2 ori</t>
  </si>
  <si>
    <t>de 10,2 ori</t>
  </si>
  <si>
    <t>de 5,5 ori</t>
  </si>
  <si>
    <t>mii dolari                 SUA</t>
  </si>
  <si>
    <t>de  2,5 ori</t>
  </si>
  <si>
    <t>de 4,6 ori</t>
  </si>
  <si>
    <t>de 5,0 ori</t>
  </si>
  <si>
    <t>de 4,4 ori</t>
  </si>
  <si>
    <t>de 3,3 ori</t>
  </si>
  <si>
    <t>de 10,6 ori</t>
  </si>
  <si>
    <t>de 36,2 ori</t>
  </si>
  <si>
    <t>de 5,1 ori</t>
  </si>
  <si>
    <t>de 13,5 ori</t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</si>
  <si>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după modul de transport al mărfurilor </t>
    </r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</si>
  <si>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după modul de transport al mărfurilor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</si>
</sst>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7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2"/>
      <charset val="238"/>
    </font>
    <font>
      <sz val="10"/>
      <name val="Times New Roman"/>
      <family val="2"/>
      <charset val="238"/>
    </font>
    <font>
      <sz val="9"/>
      <name val="Times New Roman"/>
      <family val="1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42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/>
    <xf numFmtId="38" fontId="23" fillId="0" borderId="0" xfId="0" applyNumberFormat="1" applyFont="1" applyFill="1" applyBorder="1" applyAlignment="1" applyProtection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24" fillId="0" borderId="0" xfId="0" applyNumberFormat="1" applyFont="1" applyFill="1" applyAlignment="1" applyProtection="1">
      <alignment horizontal="right" vertical="top" wrapText="1"/>
    </xf>
    <xf numFmtId="0" fontId="25" fillId="0" borderId="0" xfId="0" applyFont="1"/>
    <xf numFmtId="4" fontId="24" fillId="0" borderId="0" xfId="0" applyNumberFormat="1" applyFont="1" applyFill="1" applyAlignment="1" applyProtection="1">
      <alignment horizontal="right" vertical="top" indent="1"/>
    </xf>
    <xf numFmtId="4" fontId="22" fillId="0" borderId="0" xfId="0" applyNumberFormat="1" applyFont="1" applyFill="1" applyBorder="1" applyAlignment="1" applyProtection="1">
      <alignment horizontal="right" vertical="top" indent="1"/>
    </xf>
    <xf numFmtId="4" fontId="24" fillId="0" borderId="0" xfId="0" applyNumberFormat="1" applyFont="1" applyFill="1" applyAlignment="1" applyProtection="1">
      <alignment horizontal="right" vertical="top" wrapText="1" indent="1"/>
    </xf>
    <xf numFmtId="4" fontId="24" fillId="0" borderId="0" xfId="0" applyNumberFormat="1" applyFont="1" applyFill="1" applyBorder="1" applyAlignment="1" applyProtection="1">
      <alignment horizontal="right" vertical="top" wrapText="1" indent="1"/>
    </xf>
    <xf numFmtId="4" fontId="26" fillId="0" borderId="0" xfId="0" applyNumberFormat="1" applyFont="1" applyAlignment="1">
      <alignment horizontal="right" vertical="top" indent="2"/>
    </xf>
    <xf numFmtId="0" fontId="25" fillId="0" borderId="0" xfId="0" applyFont="1" applyAlignment="1">
      <alignment horizontal="right" vertical="top" indent="2"/>
    </xf>
    <xf numFmtId="4" fontId="24" fillId="0" borderId="0" xfId="0" applyNumberFormat="1" applyFont="1" applyFill="1" applyBorder="1" applyAlignment="1" applyProtection="1">
      <alignment horizontal="right" vertical="top"/>
    </xf>
    <xf numFmtId="4" fontId="26" fillId="0" borderId="0" xfId="0" applyNumberFormat="1" applyFont="1" applyAlignment="1">
      <alignment horizontal="right" vertical="top"/>
    </xf>
    <xf numFmtId="0" fontId="11" fillId="0" borderId="0" xfId="0" applyNumberFormat="1" applyFont="1" applyFill="1" applyAlignment="1" applyProtection="1">
      <alignment horizontal="left" vertical="top" wrapText="1" indent="1"/>
    </xf>
    <xf numFmtId="38" fontId="9" fillId="0" borderId="0" xfId="0" applyNumberFormat="1" applyFont="1" applyFill="1" applyAlignment="1" applyProtection="1">
      <alignment horizontal="left" vertical="top" wrapText="1" indent="1"/>
    </xf>
    <xf numFmtId="4" fontId="31" fillId="0" borderId="5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Fill="1" applyAlignment="1" applyProtection="1">
      <alignment horizontal="right" vertical="top" indent="1"/>
    </xf>
    <xf numFmtId="4" fontId="9" fillId="0" borderId="3" xfId="0" applyNumberFormat="1" applyFont="1" applyFill="1" applyBorder="1" applyAlignment="1" applyProtection="1">
      <alignment horizontal="right" vertical="top" indent="1"/>
    </xf>
    <xf numFmtId="4" fontId="9" fillId="0" borderId="0" xfId="0" applyNumberFormat="1" applyFont="1" applyFill="1" applyBorder="1" applyAlignment="1" applyProtection="1">
      <alignment horizontal="right" vertical="top" indent="1"/>
    </xf>
    <xf numFmtId="38" fontId="9" fillId="0" borderId="0" xfId="0" applyNumberFormat="1" applyFont="1" applyFill="1" applyBorder="1" applyAlignment="1" applyProtection="1">
      <alignment horizontal="left" vertical="top" wrapText="1" indent="1"/>
    </xf>
    <xf numFmtId="38" fontId="9" fillId="0" borderId="3" xfId="0" applyNumberFormat="1" applyFont="1" applyFill="1" applyBorder="1" applyAlignment="1" applyProtection="1">
      <alignment horizontal="left" vertical="top" wrapText="1" indent="1"/>
    </xf>
    <xf numFmtId="4" fontId="31" fillId="0" borderId="5" xfId="0" applyNumberFormat="1" applyFont="1" applyFill="1" applyBorder="1" applyAlignment="1" applyProtection="1">
      <alignment horizontal="right" vertical="top"/>
    </xf>
    <xf numFmtId="4" fontId="11" fillId="0" borderId="0" xfId="0" applyNumberFormat="1" applyFont="1" applyFill="1" applyAlignment="1" applyProtection="1">
      <alignment horizontal="right" vertical="top"/>
    </xf>
    <xf numFmtId="4" fontId="9" fillId="0" borderId="0" xfId="0" applyNumberFormat="1" applyFont="1" applyFill="1" applyAlignment="1" applyProtection="1">
      <alignment horizontal="right" vertical="top"/>
    </xf>
    <xf numFmtId="164" fontId="9" fillId="0" borderId="0" xfId="0" applyNumberFormat="1" applyFont="1" applyFill="1" applyAlignment="1" applyProtection="1">
      <alignment horizontal="left" vertical="top" wrapText="1" indent="1"/>
    </xf>
    <xf numFmtId="0" fontId="31" fillId="0" borderId="5" xfId="0" applyNumberFormat="1" applyFont="1" applyFill="1" applyBorder="1" applyAlignment="1" applyProtection="1">
      <alignment horizontal="left" vertical="top" wrapText="1" indent="1"/>
    </xf>
    <xf numFmtId="0" fontId="9" fillId="0" borderId="0" xfId="0" applyNumberFormat="1" applyFont="1" applyFill="1" applyBorder="1" applyAlignment="1" applyProtection="1">
      <alignment horizontal="left" vertical="top" wrapText="1" indent="1"/>
    </xf>
    <xf numFmtId="164" fontId="9" fillId="0" borderId="3" xfId="0" applyNumberFormat="1" applyFont="1" applyFill="1" applyBorder="1" applyAlignment="1" applyProtection="1">
      <alignment horizontal="left" vertical="top" wrapText="1" indent="1"/>
    </xf>
    <xf numFmtId="0" fontId="32" fillId="0" borderId="5" xfId="0" applyNumberFormat="1" applyFont="1" applyFill="1" applyBorder="1" applyAlignment="1" applyProtection="1">
      <alignment horizontal="center" vertical="top"/>
    </xf>
    <xf numFmtId="38" fontId="11" fillId="0" borderId="0" xfId="0" applyNumberFormat="1" applyFont="1" applyFill="1" applyAlignment="1" applyProtection="1">
      <alignment horizontal="center" vertical="top"/>
    </xf>
    <xf numFmtId="38" fontId="11" fillId="0" borderId="0" xfId="0" applyNumberFormat="1" applyFont="1" applyFill="1" applyAlignment="1" applyProtection="1">
      <alignment horizontal="left" vertical="top" wrapText="1"/>
    </xf>
    <xf numFmtId="38" fontId="9" fillId="0" borderId="0" xfId="0" applyNumberFormat="1" applyFont="1" applyFill="1" applyAlignment="1" applyProtection="1">
      <alignment horizontal="center" vertical="top"/>
    </xf>
    <xf numFmtId="38" fontId="9" fillId="0" borderId="0" xfId="0" applyNumberFormat="1" applyFont="1" applyFill="1" applyAlignment="1" applyProtection="1">
      <alignment horizontal="left" vertical="top" wrapText="1"/>
    </xf>
    <xf numFmtId="38" fontId="11" fillId="0" borderId="3" xfId="0" applyNumberFormat="1" applyFont="1" applyFill="1" applyBorder="1" applyAlignment="1" applyProtection="1">
      <alignment horizontal="center" vertical="top"/>
    </xf>
    <xf numFmtId="4" fontId="11" fillId="0" borderId="3" xfId="0" applyNumberFormat="1" applyFont="1" applyFill="1" applyBorder="1" applyAlignment="1" applyProtection="1">
      <alignment horizontal="right" vertical="top"/>
    </xf>
    <xf numFmtId="0" fontId="31" fillId="0" borderId="5" xfId="0" applyNumberFormat="1" applyFont="1" applyFill="1" applyBorder="1" applyAlignment="1" applyProtection="1">
      <alignment horizontal="left" vertical="top" wrapText="1"/>
    </xf>
    <xf numFmtId="4" fontId="11" fillId="0" borderId="3" xfId="0" applyNumberFormat="1" applyFont="1" applyFill="1" applyBorder="1" applyAlignment="1" applyProtection="1">
      <alignment horizontal="right" vertical="top" indent="1"/>
    </xf>
    <xf numFmtId="38" fontId="33" fillId="0" borderId="0" xfId="0" applyNumberFormat="1" applyFont="1" applyFill="1" applyAlignment="1" applyProtection="1">
      <alignment horizontal="left" vertical="top" wrapText="1"/>
    </xf>
    <xf numFmtId="38" fontId="34" fillId="0" borderId="0" xfId="0" applyNumberFormat="1" applyFont="1" applyFill="1" applyAlignment="1" applyProtection="1">
      <alignment horizontal="left" vertical="top" wrapText="1"/>
    </xf>
    <xf numFmtId="38" fontId="33" fillId="0" borderId="3" xfId="0" applyNumberFormat="1" applyFont="1" applyFill="1" applyBorder="1" applyAlignment="1" applyProtection="1">
      <alignment horizontal="left" vertical="top" wrapText="1"/>
    </xf>
    <xf numFmtId="38" fontId="33" fillId="0" borderId="0" xfId="0" applyNumberFormat="1" applyFont="1" applyFill="1" applyAlignment="1" applyProtection="1">
      <alignment horizontal="center" vertical="top"/>
    </xf>
    <xf numFmtId="38" fontId="34" fillId="0" borderId="0" xfId="0" applyNumberFormat="1" applyFont="1" applyFill="1" applyAlignment="1" applyProtection="1">
      <alignment horizontal="center" vertical="top"/>
    </xf>
    <xf numFmtId="38" fontId="33" fillId="0" borderId="3" xfId="0" applyNumberFormat="1" applyFont="1" applyFill="1" applyBorder="1" applyAlignment="1" applyProtection="1">
      <alignment horizontal="center" vertical="top"/>
    </xf>
    <xf numFmtId="0" fontId="32" fillId="0" borderId="0" xfId="0" applyNumberFormat="1" applyFont="1" applyFill="1" applyBorder="1" applyAlignment="1" applyProtection="1">
      <alignment horizontal="center" vertical="top"/>
    </xf>
    <xf numFmtId="4" fontId="31" fillId="0" borderId="0" xfId="0" applyNumberFormat="1" applyFont="1" applyFill="1" applyBorder="1" applyAlignment="1" applyProtection="1">
      <alignment horizontal="right" vertical="top"/>
    </xf>
    <xf numFmtId="4" fontId="31" fillId="0" borderId="0" xfId="0" applyNumberFormat="1" applyFont="1" applyFill="1" applyBorder="1" applyAlignment="1" applyProtection="1">
      <alignment horizontal="right" vertical="top" inden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 vertical="top"/>
    </xf>
    <xf numFmtId="4" fontId="11" fillId="0" borderId="0" xfId="0" applyNumberFormat="1" applyFont="1" applyFill="1" applyBorder="1" applyAlignment="1" applyProtection="1">
      <alignment horizontal="right" vertical="top"/>
    </xf>
    <xf numFmtId="38" fontId="11" fillId="0" borderId="0" xfId="0" applyNumberFormat="1" applyFont="1" applyFill="1" applyBorder="1" applyAlignment="1" applyProtection="1">
      <alignment horizontal="center" vertical="top"/>
    </xf>
    <xf numFmtId="38" fontId="11" fillId="0" borderId="0" xfId="0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Fill="1" applyBorder="1" applyAlignment="1" applyProtection="1">
      <alignment horizontal="right" vertical="top" indent="1"/>
    </xf>
    <xf numFmtId="0" fontId="7" fillId="0" borderId="0" xfId="0" applyFont="1"/>
    <xf numFmtId="0" fontId="35" fillId="0" borderId="0" xfId="0" applyFont="1"/>
    <xf numFmtId="0" fontId="25" fillId="0" borderId="0" xfId="0" applyFont="1" applyAlignment="1">
      <alignment horizontal="center" vertical="top"/>
    </xf>
    <xf numFmtId="4" fontId="31" fillId="0" borderId="5" xfId="0" applyNumberFormat="1" applyFont="1" applyFill="1" applyBorder="1" applyAlignment="1" applyProtection="1">
      <alignment horizontal="right" vertical="top" indent="2"/>
    </xf>
    <xf numFmtId="4" fontId="11" fillId="0" borderId="0" xfId="0" applyNumberFormat="1" applyFont="1" applyFill="1" applyAlignment="1" applyProtection="1">
      <alignment horizontal="right" vertical="top" indent="2"/>
    </xf>
    <xf numFmtId="4" fontId="9" fillId="0" borderId="0" xfId="0" applyNumberFormat="1" applyFont="1" applyFill="1" applyAlignment="1" applyProtection="1">
      <alignment horizontal="right" vertical="top" indent="2"/>
    </xf>
    <xf numFmtId="38" fontId="11" fillId="0" borderId="3" xfId="0" applyNumberFormat="1" applyFont="1" applyFill="1" applyBorder="1" applyAlignment="1" applyProtection="1">
      <alignment horizontal="left" vertical="top" wrapText="1"/>
    </xf>
    <xf numFmtId="4" fontId="11" fillId="0" borderId="3" xfId="0" applyNumberFormat="1" applyFont="1" applyFill="1" applyBorder="1" applyAlignment="1" applyProtection="1">
      <alignment horizontal="right" vertical="top" indent="2"/>
    </xf>
    <xf numFmtId="4" fontId="22" fillId="0" borderId="0" xfId="0" applyNumberFormat="1" applyFont="1" applyFill="1" applyBorder="1" applyAlignment="1" applyProtection="1">
      <alignment horizontal="right" vertical="top"/>
    </xf>
    <xf numFmtId="4" fontId="9" fillId="0" borderId="3" xfId="0" applyNumberFormat="1" applyFont="1" applyFill="1" applyBorder="1" applyAlignment="1" applyProtection="1">
      <alignment horizontal="right" vertical="top"/>
    </xf>
    <xf numFmtId="4" fontId="9" fillId="0" borderId="0" xfId="0" applyNumberFormat="1" applyFont="1" applyFill="1" applyBorder="1" applyAlignment="1" applyProtection="1">
      <alignment horizontal="right" vertical="top"/>
    </xf>
    <xf numFmtId="4" fontId="31" fillId="0" borderId="5" xfId="0" applyNumberFormat="1" applyFont="1" applyFill="1" applyBorder="1" applyAlignment="1" applyProtection="1">
      <alignment horizontal="center" vertical="top"/>
    </xf>
    <xf numFmtId="4" fontId="11" fillId="0" borderId="0" xfId="0" applyNumberFormat="1" applyFont="1" applyFill="1" applyAlignment="1" applyProtection="1">
      <alignment horizontal="center" vertical="top"/>
    </xf>
    <xf numFmtId="4" fontId="9" fillId="0" borderId="0" xfId="0" applyNumberFormat="1" applyFont="1" applyFill="1" applyAlignment="1" applyProtection="1">
      <alignment horizontal="center" vertical="top"/>
    </xf>
    <xf numFmtId="4" fontId="22" fillId="0" borderId="0" xfId="0" applyNumberFormat="1" applyFont="1" applyFill="1" applyBorder="1" applyAlignment="1" applyProtection="1">
      <alignment horizontal="center" vertical="top"/>
    </xf>
    <xf numFmtId="4" fontId="9" fillId="0" borderId="3" xfId="0" applyNumberFormat="1" applyFont="1" applyFill="1" applyBorder="1" applyAlignment="1" applyProtection="1">
      <alignment horizontal="center" vertical="top"/>
    </xf>
    <xf numFmtId="4" fontId="31" fillId="0" borderId="0" xfId="0" applyNumberFormat="1" applyFont="1" applyFill="1" applyAlignment="1" applyProtection="1">
      <alignment horizontal="right" vertical="top" indent="1"/>
    </xf>
    <xf numFmtId="4" fontId="31" fillId="0" borderId="0" xfId="0" applyNumberFormat="1" applyFont="1" applyFill="1" applyAlignment="1" applyProtection="1">
      <alignment horizontal="right" vertical="top" wrapText="1" indent="1"/>
    </xf>
    <xf numFmtId="4" fontId="36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Alignment="1">
      <alignment horizontal="right" vertical="top" wrapText="1" indent="1"/>
    </xf>
    <xf numFmtId="4" fontId="11" fillId="0" borderId="0" xfId="0" applyNumberFormat="1" applyFont="1" applyAlignment="1">
      <alignment horizontal="right" vertical="top" indent="1"/>
    </xf>
    <xf numFmtId="4" fontId="9" fillId="0" borderId="0" xfId="0" applyNumberFormat="1" applyFont="1" applyAlignment="1">
      <alignment horizontal="right" vertical="top" indent="1"/>
    </xf>
    <xf numFmtId="4" fontId="9" fillId="0" borderId="3" xfId="0" applyNumberFormat="1" applyFont="1" applyBorder="1" applyAlignment="1">
      <alignment horizontal="right" vertical="top" indent="1"/>
    </xf>
    <xf numFmtId="4" fontId="11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Border="1" applyAlignment="1">
      <alignment horizontal="right" vertical="top" indent="1"/>
    </xf>
    <xf numFmtId="0" fontId="31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4" fontId="11" fillId="0" borderId="0" xfId="0" applyNumberFormat="1" applyFont="1" applyFill="1" applyAlignment="1" applyProtection="1">
      <alignment horizontal="left" vertical="top" wrapText="1" indent="1"/>
    </xf>
    <xf numFmtId="0" fontId="9" fillId="0" borderId="0" xfId="0" applyNumberFormat="1" applyFont="1" applyFill="1" applyAlignment="1" applyProtection="1">
      <alignment horizontal="left" vertical="top" wrapText="1" indent="1"/>
    </xf>
    <xf numFmtId="0" fontId="9" fillId="0" borderId="3" xfId="0" applyNumberFormat="1" applyFont="1" applyFill="1" applyBorder="1" applyAlignment="1" applyProtection="1">
      <alignment horizontal="left" vertical="top" wrapText="1" indent="1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8" fontId="23" fillId="0" borderId="5" xfId="0" applyNumberFormat="1" applyFont="1" applyFill="1" applyBorder="1" applyAlignment="1" applyProtection="1">
      <alignment horizontal="left" vertical="top" wrapText="1"/>
    </xf>
  </cellXfs>
  <cellStyles count="6">
    <cellStyle name="Normal 2" xfId="4"/>
    <cellStyle name="Normal 3" xfId="3"/>
    <cellStyle name="Обычный" xfId="0" builtinId="0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3"/>
  <sheetViews>
    <sheetView tabSelected="1" zoomScaleNormal="100" workbookViewId="0">
      <selection activeCell="L22" sqref="L22"/>
    </sheetView>
  </sheetViews>
  <sheetFormatPr defaultRowHeight="15.75" x14ac:dyDescent="0.25"/>
  <cols>
    <col min="1" max="1" width="30.5" style="7" customWidth="1"/>
    <col min="2" max="2" width="11.375" style="7" customWidth="1"/>
    <col min="3" max="3" width="10.5" style="7" customWidth="1"/>
    <col min="4" max="4" width="8.5" style="7" customWidth="1"/>
    <col min="5" max="5" width="8.25" style="7" customWidth="1"/>
    <col min="6" max="7" width="9.875" style="7" customWidth="1"/>
  </cols>
  <sheetData>
    <row r="1" spans="1:7" x14ac:dyDescent="0.25">
      <c r="A1" s="109" t="s">
        <v>145</v>
      </c>
      <c r="B1" s="109"/>
      <c r="C1" s="109"/>
      <c r="D1" s="109"/>
      <c r="E1" s="109"/>
      <c r="F1" s="109"/>
      <c r="G1" s="109"/>
    </row>
    <row r="3" spans="1:7" ht="54" customHeight="1" x14ac:dyDescent="0.25">
      <c r="A3" s="110"/>
      <c r="B3" s="113" t="s">
        <v>329</v>
      </c>
      <c r="C3" s="114"/>
      <c r="D3" s="113" t="s">
        <v>108</v>
      </c>
      <c r="E3" s="114"/>
      <c r="F3" s="115" t="s">
        <v>1</v>
      </c>
      <c r="G3" s="116"/>
    </row>
    <row r="4" spans="1:7" ht="22.5" customHeight="1" x14ac:dyDescent="0.25">
      <c r="A4" s="111"/>
      <c r="B4" s="117" t="s">
        <v>99</v>
      </c>
      <c r="C4" s="119" t="s">
        <v>334</v>
      </c>
      <c r="D4" s="121" t="s">
        <v>330</v>
      </c>
      <c r="E4" s="121"/>
      <c r="F4" s="121" t="s">
        <v>337</v>
      </c>
      <c r="G4" s="113"/>
    </row>
    <row r="5" spans="1:7" ht="38.25" customHeight="1" x14ac:dyDescent="0.25">
      <c r="A5" s="112"/>
      <c r="B5" s="118"/>
      <c r="C5" s="120"/>
      <c r="D5" s="20">
        <v>2020</v>
      </c>
      <c r="E5" s="20">
        <v>2021</v>
      </c>
      <c r="F5" s="20">
        <v>2020</v>
      </c>
      <c r="G5" s="16">
        <v>2021</v>
      </c>
    </row>
    <row r="6" spans="1:7" ht="15.75" customHeight="1" x14ac:dyDescent="0.25">
      <c r="A6" s="51" t="s">
        <v>100</v>
      </c>
      <c r="B6" s="47">
        <v>902994.40784</v>
      </c>
      <c r="C6" s="40">
        <f>IF(824887.0263="","-",902994.40784/824887.0263*100)</f>
        <v>109.46885804354902</v>
      </c>
      <c r="D6" s="40">
        <v>100</v>
      </c>
      <c r="E6" s="40">
        <v>100</v>
      </c>
      <c r="F6" s="40">
        <f>IF(948466.87002="","-",(824887.0263-948466.87002)/948466.87002*100)</f>
        <v>-13.029431773130264</v>
      </c>
      <c r="G6" s="40">
        <f>IF(824887.0263="","-",(902994.40784-824887.0263)/824887.0263*100)</f>
        <v>9.4688580435490319</v>
      </c>
    </row>
    <row r="7" spans="1:7" x14ac:dyDescent="0.25">
      <c r="A7" s="52" t="s">
        <v>133</v>
      </c>
      <c r="B7" s="86"/>
      <c r="C7" s="31"/>
      <c r="D7" s="31"/>
      <c r="E7" s="31"/>
      <c r="F7" s="31"/>
      <c r="G7" s="31"/>
    </row>
    <row r="8" spans="1:7" x14ac:dyDescent="0.25">
      <c r="A8" s="38" t="s">
        <v>153</v>
      </c>
      <c r="B8" s="48">
        <v>581455.35974999995</v>
      </c>
      <c r="C8" s="41">
        <f>IF(529563.49898="","-",581455.35975/529563.49898*100)</f>
        <v>109.79898744342267</v>
      </c>
      <c r="D8" s="41">
        <f>IF(529563.49898="","-",529563.49898/824887.0263*100)</f>
        <v>64.198306203861307</v>
      </c>
      <c r="E8" s="41">
        <f>IF(581455.35975="","-",581455.35975/902994.40784*100)</f>
        <v>64.391911478263225</v>
      </c>
      <c r="F8" s="41">
        <f>IF(948466.87002="","-",(529563.49898-585280.73053)/948466.87002*100)</f>
        <v>-5.8744520563828466</v>
      </c>
      <c r="G8" s="41">
        <f>IF(824887.0263="","-",(581455.35975-529563.49898)/824887.0263*100)</f>
        <v>6.2907839638064038</v>
      </c>
    </row>
    <row r="9" spans="1:7" ht="15.75" customHeight="1" x14ac:dyDescent="0.25">
      <c r="A9" s="39" t="s">
        <v>2</v>
      </c>
      <c r="B9" s="49">
        <v>247790.66967</v>
      </c>
      <c r="C9" s="42">
        <f>IF(OR(202944.70685="",247790.66967=""),"-",247790.66967/202944.70685*100)</f>
        <v>122.09762625301997</v>
      </c>
      <c r="D9" s="42">
        <f>IF(202944.70685="","-",202944.70685/824887.0263*100)</f>
        <v>24.602727449878913</v>
      </c>
      <c r="E9" s="42">
        <f>IF(247790.66967="","-",247790.66967/902994.40784*100)</f>
        <v>27.440997144459129</v>
      </c>
      <c r="F9" s="42">
        <f>IF(OR(948466.87002="",258147.78313="",202944.70685=""),"-",(202944.70685-258147.78313)/948466.87002*100)</f>
        <v>-5.8202429652430512</v>
      </c>
      <c r="G9" s="42">
        <f>IF(OR(824887.0263="",247790.66967="",202944.70685=""),"-",(247790.66967-202944.70685)/824887.0263*100)</f>
        <v>5.4366187599233928</v>
      </c>
    </row>
    <row r="10" spans="1:7" ht="15.75" customHeight="1" x14ac:dyDescent="0.25">
      <c r="A10" s="39" t="s">
        <v>4</v>
      </c>
      <c r="B10" s="49">
        <v>94699.910740000007</v>
      </c>
      <c r="C10" s="42">
        <f>IF(OR(72591.21203="",94699.91074=""),"-",94699.91074/72591.21203*100)</f>
        <v>130.45643968702862</v>
      </c>
      <c r="D10" s="42">
        <f>IF(72591.21203="","-",72591.21203/824887.0263*100)</f>
        <v>8.8001398634677486</v>
      </c>
      <c r="E10" s="42">
        <f>IF(94699.91074="","-",94699.91074/902994.40784*100)</f>
        <v>10.487319735071905</v>
      </c>
      <c r="F10" s="42">
        <f>IF(OR(948466.87002="",83395.70219="",72591.21203=""),"-",(72591.21203-83395.70219)/948466.87002*100)</f>
        <v>-1.1391531429845483</v>
      </c>
      <c r="G10" s="42">
        <f>IF(OR(824887.0263="",94699.91074="",72591.21203=""),"-",(94699.91074-72591.21203)/824887.0263*100)</f>
        <v>2.6802092898912178</v>
      </c>
    </row>
    <row r="11" spans="1:7" ht="13.5" customHeight="1" x14ac:dyDescent="0.25">
      <c r="A11" s="39" t="s">
        <v>3</v>
      </c>
      <c r="B11" s="49">
        <v>57979.302819999997</v>
      </c>
      <c r="C11" s="42">
        <f>IF(OR(71436.16188="",57979.30282=""),"-",57979.30282/71436.16188*100)</f>
        <v>81.162399118523297</v>
      </c>
      <c r="D11" s="42">
        <f>IF(71436.16188="","-",71436.16188/824887.0263*100)</f>
        <v>8.6601146099271613</v>
      </c>
      <c r="E11" s="42">
        <f>IF(57979.30282="","-",57979.30282/902994.40784*100)</f>
        <v>6.4207820465565115</v>
      </c>
      <c r="F11" s="42">
        <f>IF(OR(948466.87002="",98423.23123="",71436.16188=""),"-",(71436.16188-98423.23123)/948466.87002*100)</f>
        <v>-2.845336005192352</v>
      </c>
      <c r="G11" s="42">
        <f>IF(OR(824887.0263="",57979.30282="",71436.16188=""),"-",(57979.30282-71436.16188)/824887.0263*100)</f>
        <v>-1.6313578260965313</v>
      </c>
    </row>
    <row r="12" spans="1:7" ht="15.75" customHeight="1" x14ac:dyDescent="0.25">
      <c r="A12" s="39" t="s">
        <v>5</v>
      </c>
      <c r="B12" s="49">
        <v>36254.400020000001</v>
      </c>
      <c r="C12" s="42">
        <f>IF(OR(35097.11766="",36254.40002=""),"-",36254.40002/35097.11766*100)</f>
        <v>103.29737151412563</v>
      </c>
      <c r="D12" s="42">
        <f>IF(35097.11766="","-",35097.11766/824887.0263*100)</f>
        <v>4.2547787201147793</v>
      </c>
      <c r="E12" s="42">
        <f>IF(36254.40002="","-",36254.40002/902994.40784*100)</f>
        <v>4.0149085869448546</v>
      </c>
      <c r="F12" s="42">
        <f>IF(OR(948466.87002="",34323.76548="",35097.11766=""),"-",(35097.11766-34323.76548)/948466.87002*100)</f>
        <v>8.1537078884336173E-2</v>
      </c>
      <c r="G12" s="42">
        <f>IF(OR(824887.0263="",36254.40002="",35097.11766=""),"-",(36254.40002-35097.11766)/824887.0263*100)</f>
        <v>0.14029586150614395</v>
      </c>
    </row>
    <row r="13" spans="1:7" s="12" customFormat="1" x14ac:dyDescent="0.25">
      <c r="A13" s="39" t="s">
        <v>7</v>
      </c>
      <c r="B13" s="49">
        <v>27703.778480000001</v>
      </c>
      <c r="C13" s="42">
        <f>IF(OR(27218.5145="",27703.77848=""),"-",27703.77848/27218.5145*100)</f>
        <v>101.78284520266527</v>
      </c>
      <c r="D13" s="42">
        <f>IF(27218.5145="","-",27218.5145/824887.0263*100)</f>
        <v>3.299665727813375</v>
      </c>
      <c r="E13" s="42">
        <f>IF(27703.77848="","-",27703.77848/902994.40784*100)</f>
        <v>3.067990038417689</v>
      </c>
      <c r="F13" s="42">
        <f>IF(OR(948466.87002="",16104.20487="",27218.5145=""),"-",(27218.5145-16104.20487)/948466.87002*100)</f>
        <v>1.1718184347088094</v>
      </c>
      <c r="G13" s="42">
        <f>IF(OR(824887.0263="",27703.77848="",27218.5145=""),"-",(27703.77848-27218.5145)/824887.0263*100)</f>
        <v>5.8827932132310676E-2</v>
      </c>
    </row>
    <row r="14" spans="1:7" s="12" customFormat="1" x14ac:dyDescent="0.25">
      <c r="A14" s="39" t="s">
        <v>40</v>
      </c>
      <c r="B14" s="49">
        <v>16462.450199999999</v>
      </c>
      <c r="C14" s="42">
        <f>IF(OR(18552.75422="",16462.4502=""),"-",16462.4502/18552.75422*100)</f>
        <v>88.733187562272363</v>
      </c>
      <c r="D14" s="42">
        <f>IF(18552.75422="","-",18552.75422/824887.0263*100)</f>
        <v>2.2491266838342319</v>
      </c>
      <c r="E14" s="42">
        <f>IF(16462.4502="","-",16462.4502/902994.40784*100)</f>
        <v>1.8230954762365428</v>
      </c>
      <c r="F14" s="42">
        <f>IF(OR(948466.87002="",11895.90062="",18552.75422=""),"-",(18552.75422-11895.90062)/948466.87002*100)</f>
        <v>0.70185409848418079</v>
      </c>
      <c r="G14" s="42">
        <f>IF(OR(824887.0263="",16462.4502="",18552.75422=""),"-",(16462.4502-18552.75422)/824887.0263*100)</f>
        <v>-0.25340488495448649</v>
      </c>
    </row>
    <row r="15" spans="1:7" s="12" customFormat="1" x14ac:dyDescent="0.25">
      <c r="A15" s="39" t="s">
        <v>42</v>
      </c>
      <c r="B15" s="49">
        <v>14206.462890000001</v>
      </c>
      <c r="C15" s="42" t="s">
        <v>339</v>
      </c>
      <c r="D15" s="42">
        <f>IF(4852.2338="","-",4852.2338/824887.0263*100)</f>
        <v>0.58823010246197149</v>
      </c>
      <c r="E15" s="42">
        <f>IF(14206.46289="","-",14206.46289/902994.40784*100)</f>
        <v>1.573261447319751</v>
      </c>
      <c r="F15" s="42">
        <f>IF(OR(948466.87002="",2369.67324="",4852.2338=""),"-",(4852.2338-2369.67324)/948466.87002*100)</f>
        <v>0.26174457310750882</v>
      </c>
      <c r="G15" s="42">
        <f>IF(OR(824887.0263="",14206.46289="",4852.2338=""),"-",(14206.46289-4852.2338)/824887.0263*100)</f>
        <v>1.1340012379583719</v>
      </c>
    </row>
    <row r="16" spans="1:7" s="12" customFormat="1" x14ac:dyDescent="0.25">
      <c r="A16" s="39" t="s">
        <v>10</v>
      </c>
      <c r="B16" s="49">
        <v>13135.57962</v>
      </c>
      <c r="C16" s="42">
        <f>IF(OR(12528.30206="",13135.57962=""),"-",13135.57962/12528.30206*100)</f>
        <v>104.84724551732272</v>
      </c>
      <c r="D16" s="42">
        <f>IF(12528.30206="","-",12528.30206/824887.0263*100)</f>
        <v>1.5187900476741927</v>
      </c>
      <c r="E16" s="42">
        <f>IF(13135.57962="","-",13135.57962/902994.40784*100)</f>
        <v>1.4546689886397912</v>
      </c>
      <c r="F16" s="42">
        <f>IF(OR(948466.87002="",13709.63237="",12528.30206=""),"-",(12528.30206-13709.63237)/948466.87002*100)</f>
        <v>-0.12455156287905859</v>
      </c>
      <c r="G16" s="42">
        <f>IF(OR(824887.0263="",13135.57962="",12528.30206=""),"-",(13135.57962-12528.30206)/824887.0263*100)</f>
        <v>7.361948250343095E-2</v>
      </c>
    </row>
    <row r="17" spans="1:7" s="12" customFormat="1" x14ac:dyDescent="0.25">
      <c r="A17" s="39" t="s">
        <v>6</v>
      </c>
      <c r="B17" s="49">
        <v>13121.33735</v>
      </c>
      <c r="C17" s="42">
        <f>IF(OR(15205.32653="",13121.33735=""),"-",13121.33735/15205.32653*100)</f>
        <v>86.294347734734245</v>
      </c>
      <c r="D17" s="42">
        <f>IF(15205.32653="","-",15205.32653/824887.0263*100)</f>
        <v>1.8433223029586154</v>
      </c>
      <c r="E17" s="42">
        <f>IF(13121.33735="","-",13121.33735/902994.40784*100)</f>
        <v>1.4530917618179697</v>
      </c>
      <c r="F17" s="42">
        <f>IF(OR(948466.87002="",13834.40704="",15205.32653=""),"-",(15205.32653-13834.40704)/948466.87002*100)</f>
        <v>0.14454057736050305</v>
      </c>
      <c r="G17" s="42">
        <f>IF(OR(824887.0263="",13121.33735="",15205.32653=""),"-",(13121.33735-15205.32653)/824887.0263*100)</f>
        <v>-0.2526393449715964</v>
      </c>
    </row>
    <row r="18" spans="1:7" s="12" customFormat="1" x14ac:dyDescent="0.25">
      <c r="A18" s="39" t="s">
        <v>123</v>
      </c>
      <c r="B18" s="49">
        <v>12487.16734</v>
      </c>
      <c r="C18" s="42">
        <f>IF(OR(14373.34846="",12487.16734=""),"-",12487.16734/14373.34846*100)</f>
        <v>86.877232363432171</v>
      </c>
      <c r="D18" s="42">
        <f>IF(14373.34846="","-",14373.34846/824887.0263*100)</f>
        <v>1.7424626647931558</v>
      </c>
      <c r="E18" s="42">
        <f>IF(12487.16734="","-",12487.16734/902994.40784*100)</f>
        <v>1.3828620899070485</v>
      </c>
      <c r="F18" s="42">
        <f>IF(OR(948466.87002="",12974.08512="",14373.34846=""),"-",(14373.34846-12974.08512)/948466.87002*100)</f>
        <v>0.14752896323837791</v>
      </c>
      <c r="G18" s="42">
        <f>IF(OR(824887.0263="",12487.16734="",14373.34846=""),"-",(12487.16734-14373.34846)/824887.0263*100)</f>
        <v>-0.2286593266547535</v>
      </c>
    </row>
    <row r="19" spans="1:7" s="14" customFormat="1" x14ac:dyDescent="0.25">
      <c r="A19" s="39" t="s">
        <v>9</v>
      </c>
      <c r="B19" s="49">
        <v>9160.5201300000008</v>
      </c>
      <c r="C19" s="42">
        <f>IF(OR(16241.55693="",9160.52013=""),"-",9160.52013/16241.55693*100)</f>
        <v>56.401736418997359</v>
      </c>
      <c r="D19" s="42">
        <f>IF(16241.55693="","-",16241.55693/824887.0263*100)</f>
        <v>1.9689431900572978</v>
      </c>
      <c r="E19" s="42">
        <f>IF(9160.52013="","-",9160.52013/902994.40784*100)</f>
        <v>1.0144603388975957</v>
      </c>
      <c r="F19" s="42">
        <f>IF(OR(948466.87002="",8653.08494="",16241.55693=""),"-",(16241.55693-8653.08494)/948466.87002*100)</f>
        <v>0.80007770749440987</v>
      </c>
      <c r="G19" s="42">
        <f>IF(OR(824887.0263="",9160.52013="",16241.55693=""),"-",(9160.52013-16241.55693)/824887.0263*100)</f>
        <v>-0.85842504176138235</v>
      </c>
    </row>
    <row r="20" spans="1:7" s="12" customFormat="1" x14ac:dyDescent="0.25">
      <c r="A20" s="39" t="s">
        <v>51</v>
      </c>
      <c r="B20" s="49">
        <v>8760.0122300000003</v>
      </c>
      <c r="C20" s="42">
        <f>IF(OR(8883.20258="",8760.01223=""),"-",8760.01223/8883.20258*100)</f>
        <v>98.613221426725602</v>
      </c>
      <c r="D20" s="42">
        <f>IF(8883.20258="","-",8883.20258/824887.0263*100)</f>
        <v>1.0768992961188</v>
      </c>
      <c r="E20" s="42">
        <f>IF(8760.01223="","-",8760.01223/902994.40784*100)</f>
        <v>0.97010702989338682</v>
      </c>
      <c r="F20" s="42">
        <f>IF(OR(948466.87002="",26.77361="",8883.20258=""),"-",(8883.20258-26.77361)/948466.87002*100)</f>
        <v>0.93376260678596468</v>
      </c>
      <c r="G20" s="42">
        <f>IF(OR(824887.0263="",8760.01223="",8883.20258=""),"-",(8760.01223-8883.20258)/824887.0263*100)</f>
        <v>-1.4934208694318381E-2</v>
      </c>
    </row>
    <row r="21" spans="1:7" s="12" customFormat="1" x14ac:dyDescent="0.25">
      <c r="A21" s="39" t="s">
        <v>41</v>
      </c>
      <c r="B21" s="49">
        <v>7614.3482100000001</v>
      </c>
      <c r="C21" s="42" t="s">
        <v>221</v>
      </c>
      <c r="D21" s="42">
        <f>IF(3463.09252="","-",3463.09252/824887.0263*100)</f>
        <v>0.41982628039788333</v>
      </c>
      <c r="E21" s="42">
        <f>IF(7614.34821="","-",7614.34821/902994.40784*100)</f>
        <v>0.84323315226434647</v>
      </c>
      <c r="F21" s="42">
        <f>IF(OR(948466.87002="",5082.16003="",3463.09252=""),"-",(3463.09252-5082.16003)/948466.87002*100)</f>
        <v>-0.1707036440783492</v>
      </c>
      <c r="G21" s="42">
        <f>IF(OR(824887.0263="",7614.34821="",3463.09252=""),"-",(7614.34821-3463.09252)/824887.0263*100)</f>
        <v>0.50325142203051765</v>
      </c>
    </row>
    <row r="22" spans="1:7" s="12" customFormat="1" x14ac:dyDescent="0.25">
      <c r="A22" s="39" t="s">
        <v>8</v>
      </c>
      <c r="B22" s="49">
        <v>7604.9909600000001</v>
      </c>
      <c r="C22" s="42">
        <f>IF(OR(7672.52789="",7604.99096=""),"-",7604.99096/7672.52789*100)</f>
        <v>99.119756474420583</v>
      </c>
      <c r="D22" s="42">
        <f>IF(7672.52789="","-",7672.52789/824887.0263*100)</f>
        <v>0.93013075068168283</v>
      </c>
      <c r="E22" s="42">
        <f>IF(7604.99096="","-",7604.99096/902994.40784*100)</f>
        <v>0.84219690553692939</v>
      </c>
      <c r="F22" s="42">
        <f>IF(OR(948466.87002="",10549.53079="",7672.52789=""),"-",(7672.52789-10549.53079)/948466.87002*100)</f>
        <v>-0.30333193398092378</v>
      </c>
      <c r="G22" s="42">
        <f>IF(OR(824887.0263="",7604.99096="",7672.52789=""),"-",(7604.99096-7672.52789)/824887.0263*100)</f>
        <v>-8.1874157122987599E-3</v>
      </c>
    </row>
    <row r="23" spans="1:7" s="12" customFormat="1" x14ac:dyDescent="0.25">
      <c r="A23" s="39" t="s">
        <v>44</v>
      </c>
      <c r="B23" s="49">
        <v>4726.5495300000002</v>
      </c>
      <c r="C23" s="42">
        <f>IF(OR(3864.22769="",4726.54953=""),"-",4726.54953/3864.22769*100)</f>
        <v>122.31550284243215</v>
      </c>
      <c r="D23" s="42">
        <f>IF(3864.22769="","-",3864.22769/824887.0263*100)</f>
        <v>0.46845538440977175</v>
      </c>
      <c r="E23" s="42">
        <f>IF(4726.54953="","-",4726.54953/902994.40784*100)</f>
        <v>0.52343065349719087</v>
      </c>
      <c r="F23" s="42">
        <f>IF(OR(948466.87002="",3530.85724="",3864.22769=""),"-",(3864.22769-3530.85724)/948466.87002*100)</f>
        <v>3.5148349461375565E-2</v>
      </c>
      <c r="G23" s="42">
        <f>IF(OR(824887.0263="",4726.54953="",3864.22769=""),"-",(4726.54953-3864.22769)/824887.0263*100)</f>
        <v>0.10453817462348905</v>
      </c>
    </row>
    <row r="24" spans="1:7" s="12" customFormat="1" x14ac:dyDescent="0.25">
      <c r="A24" s="39" t="s">
        <v>43</v>
      </c>
      <c r="B24" s="49">
        <v>2747.0558500000002</v>
      </c>
      <c r="C24" s="42">
        <f>IF(OR(2319.88383="",2747.05585=""),"-",2747.05585/2319.88383*100)</f>
        <v>118.41350909368596</v>
      </c>
      <c r="D24" s="42">
        <f>IF(2319.88383="","-",2319.88383/824887.0263*100)</f>
        <v>0.28123655191981289</v>
      </c>
      <c r="E24" s="42">
        <f>IF(2747.05585="","-",2747.05585/902994.40784*100)</f>
        <v>0.3042162638161926</v>
      </c>
      <c r="F24" s="42">
        <f>IF(OR(948466.87002="",2938.64359="",2319.88383=""),"-",(2319.88383-2938.64359)/948466.87002*100)</f>
        <v>-6.5237888592455773E-2</v>
      </c>
      <c r="G24" s="42">
        <f>IF(OR(824887.0263="",2747.05585="",2319.88383=""),"-",(2747.05585-2319.88383)/824887.0263*100)</f>
        <v>5.1785518062523558E-2</v>
      </c>
    </row>
    <row r="25" spans="1:7" s="12" customFormat="1" x14ac:dyDescent="0.25">
      <c r="A25" s="39" t="s">
        <v>47</v>
      </c>
      <c r="B25" s="49">
        <v>2268.2082099999998</v>
      </c>
      <c r="C25" s="42">
        <f>IF(OR(7081.10511="",2268.20821=""),"-",2268.20821/7081.10511*100)</f>
        <v>32.031839307071088</v>
      </c>
      <c r="D25" s="42">
        <f>IF(7081.10511="","-",7081.10511/824887.0263*100)</f>
        <v>0.85843332289538277</v>
      </c>
      <c r="E25" s="42">
        <f>IF(2268.20821="","-",2268.20821/902994.40784*100)</f>
        <v>0.2511874038539893</v>
      </c>
      <c r="F25" s="42">
        <f>IF(OR(948466.87002="",4292.97223="",7081.10511=""),"-",(7081.10511-4292.97223)/948466.87002*100)</f>
        <v>0.29396207375606148</v>
      </c>
      <c r="G25" s="42">
        <f>IF(OR(824887.0263="",2268.20821="",7081.10511=""),"-",(2268.20821-7081.10511)/824887.0263*100)</f>
        <v>-0.583461340347183</v>
      </c>
    </row>
    <row r="26" spans="1:7" s="7" customFormat="1" x14ac:dyDescent="0.25">
      <c r="A26" s="39" t="s">
        <v>45</v>
      </c>
      <c r="B26" s="49">
        <v>1911.2530400000001</v>
      </c>
      <c r="C26" s="42">
        <f>IF(OR(1404.05322="",1911.25304=""),"-",1911.25304/1404.05322*100)</f>
        <v>136.12397399010274</v>
      </c>
      <c r="D26" s="42">
        <f>IF(1404.05322="","-",1404.05322/824887.0263*100)</f>
        <v>0.17021157749296026</v>
      </c>
      <c r="E26" s="42">
        <f>IF(1911.25304="","-",1911.25304/902994.40784*100)</f>
        <v>0.21165723989053226</v>
      </c>
      <c r="F26" s="42">
        <f>IF(OR(948466.87002="",2440.17441="",1404.05322=""),"-",(1404.05322-2440.17441)/948466.87002*100)</f>
        <v>-0.10924168494974966</v>
      </c>
      <c r="G26" s="42">
        <f>IF(OR(824887.0263="",1911.25304="",1404.05322=""),"-",(1911.25304-1404.05322)/824887.0263*100)</f>
        <v>6.148718598170054E-2</v>
      </c>
    </row>
    <row r="27" spans="1:7" s="7" customFormat="1" x14ac:dyDescent="0.25">
      <c r="A27" s="39" t="s">
        <v>46</v>
      </c>
      <c r="B27" s="49">
        <v>918.35283000000004</v>
      </c>
      <c r="C27" s="42">
        <f>IF(OR(2328.14457="",918.35283=""),"-",918.35283/2328.14457*100)</f>
        <v>39.445696020500996</v>
      </c>
      <c r="D27" s="42">
        <f>IF(2328.14457="","-",2328.14457/824887.0263*100)</f>
        <v>0.28223799087285995</v>
      </c>
      <c r="E27" s="42">
        <f>IF(918.35283="","-",918.35283/902994.40784*100)</f>
        <v>0.1017008324776604</v>
      </c>
      <c r="F27" s="42">
        <f>IF(OR(948466.87002="",1026.14482="",2328.14457=""),"-",(2328.14457-1026.14482)/948466.87002*100)</f>
        <v>0.13727414115925263</v>
      </c>
      <c r="G27" s="42">
        <f>IF(OR(824887.0263="",918.35283="",2328.14457=""),"-",(918.35283-2328.14457)/824887.0263*100)</f>
        <v>-0.17090725093878226</v>
      </c>
    </row>
    <row r="28" spans="1:7" s="12" customFormat="1" x14ac:dyDescent="0.25">
      <c r="A28" s="39" t="s">
        <v>48</v>
      </c>
      <c r="B28" s="49">
        <v>684.40093999999999</v>
      </c>
      <c r="C28" s="42" t="s">
        <v>103</v>
      </c>
      <c r="D28" s="42">
        <f>IF(412.95671="","-",412.95671/824887.0263*100)</f>
        <v>5.006221419826444E-2</v>
      </c>
      <c r="E28" s="42">
        <f>IF(684.40094="","-",684.40094/902994.40784*100)</f>
        <v>7.5792378563795906E-2</v>
      </c>
      <c r="F28" s="42">
        <f>IF(OR(948466.87002="",162.20684="",412.95671=""),"-",(412.95671-162.20684)/948466.87002*100)</f>
        <v>2.643738837126831E-2</v>
      </c>
      <c r="G28" s="42">
        <f>IF(OR(824887.0263="",684.40094="",412.95671=""),"-",(684.40094-412.95671)/824887.0263*100)</f>
        <v>3.2906837099566592E-2</v>
      </c>
    </row>
    <row r="29" spans="1:7" s="12" customFormat="1" x14ac:dyDescent="0.25">
      <c r="A29" s="39" t="s">
        <v>49</v>
      </c>
      <c r="B29" s="49">
        <v>545.38369</v>
      </c>
      <c r="C29" s="42">
        <f>IF(OR(460.92453="",545.38369=""),"-",545.38369/460.92453*100)</f>
        <v>118.32385878876961</v>
      </c>
      <c r="D29" s="42">
        <f>IF(460.92453="","-",460.92453/824887.0263*100)</f>
        <v>5.5877291714413281E-2</v>
      </c>
      <c r="E29" s="42">
        <f>IF(545.38369="","-",545.38369/902994.40784*100)</f>
        <v>6.0397238926936471E-2</v>
      </c>
      <c r="F29" s="42">
        <f>IF(OR(948466.87002="",365.4901="",460.92453=""),"-",(460.92453-365.4901)/948466.87002*100)</f>
        <v>1.00619676887594E-2</v>
      </c>
      <c r="G29" s="42">
        <f>IF(OR(824887.0263="",545.38369="",460.92453=""),"-",(545.38369-460.92453)/824887.0263*100)</f>
        <v>1.0238876028737947E-2</v>
      </c>
    </row>
    <row r="30" spans="1:7" s="7" customFormat="1" x14ac:dyDescent="0.25">
      <c r="A30" s="39" t="s">
        <v>53</v>
      </c>
      <c r="B30" s="49">
        <v>262.90566999999999</v>
      </c>
      <c r="C30" s="42" t="s">
        <v>230</v>
      </c>
      <c r="D30" s="42">
        <f>IF(103.15197="","-",103.15197/824887.0263*100)</f>
        <v>1.2504981495791529E-2</v>
      </c>
      <c r="E30" s="42">
        <f>IF(262.90567="","-",262.90567/902994.40784*100)</f>
        <v>2.9114872441888234E-2</v>
      </c>
      <c r="F30" s="42">
        <f>IF(OR(948466.87002="",6.49691="",103.15197=""),"-",(103.15197-6.49691)/948466.87002*100)</f>
        <v>1.0190662747973672E-2</v>
      </c>
      <c r="G30" s="42">
        <f>IF(OR(824887.0263="",262.90567="",103.15197=""),"-",(262.90567-103.15197)/824887.0263*100)</f>
        <v>1.9366736887179478E-2</v>
      </c>
    </row>
    <row r="31" spans="1:7" s="7" customFormat="1" x14ac:dyDescent="0.25">
      <c r="A31" s="39" t="s">
        <v>50</v>
      </c>
      <c r="B31" s="49">
        <v>214.44300999999999</v>
      </c>
      <c r="C31" s="42" t="s">
        <v>222</v>
      </c>
      <c r="D31" s="42">
        <f>IF(121.21804="","-",121.21804/824887.0263*100)</f>
        <v>1.4695108073613305E-2</v>
      </c>
      <c r="E31" s="42">
        <f>IF(214.44301="","-",214.44301/902994.40784*100)</f>
        <v>2.3747988707145656E-2</v>
      </c>
      <c r="F31" s="42">
        <f>IF(OR(948466.87002="",328.94668="",121.21804=""),"-",(121.21804-328.94668)/948466.87002*100)</f>
        <v>-2.1901517761566063E-2</v>
      </c>
      <c r="G31" s="42">
        <f>IF(OR(824887.0263="",214.44301="",121.21804=""),"-",(214.44301-121.21804)/824887.0263*100)</f>
        <v>1.1301543972410028E-2</v>
      </c>
    </row>
    <row r="32" spans="1:7" s="7" customFormat="1" x14ac:dyDescent="0.25">
      <c r="A32" s="39" t="s">
        <v>124</v>
      </c>
      <c r="B32" s="49">
        <v>117.0098</v>
      </c>
      <c r="C32" s="42">
        <f>IF(OR(345.01853="",117.0098=""),"-",117.0098/345.01853*100)</f>
        <v>33.914062528757512</v>
      </c>
      <c r="D32" s="42">
        <f>IF(345.01853="","-",345.01853/824887.0263*100)</f>
        <v>4.1826155461259673E-2</v>
      </c>
      <c r="E32" s="42">
        <f>IF(117.0098="","-",117.0098/902994.40784*100)</f>
        <v>1.295797614958572E-2</v>
      </c>
      <c r="F32" s="42">
        <f>IF(OR(948466.87002="",166.64133="",345.01853=""),"-",(345.01853-166.64133)/948466.87002*100)</f>
        <v>1.8806898336495254E-2</v>
      </c>
      <c r="G32" s="42">
        <f>IF(OR(824887.0263="",117.0098="",345.01853=""),"-",(117.0098-345.01853)/824887.0263*100)</f>
        <v>-2.7641206944752746E-2</v>
      </c>
    </row>
    <row r="33" spans="1:7" s="7" customFormat="1" x14ac:dyDescent="0.25">
      <c r="A33" s="39" t="s">
        <v>52</v>
      </c>
      <c r="B33" s="49">
        <v>75.220380000000006</v>
      </c>
      <c r="C33" s="42" t="s">
        <v>221</v>
      </c>
      <c r="D33" s="42">
        <f>IF(34.72929="","-",34.72929/824887.0263*100)</f>
        <v>4.2101874429734858E-3</v>
      </c>
      <c r="E33" s="42">
        <f>IF(75.22038="","-",75.22038/902994.40784*100)</f>
        <v>8.3301047433870894E-3</v>
      </c>
      <c r="F33" s="42">
        <f>IF(OR(948466.87002="",31.66733="",34.72929=""),"-",(34.72929-31.66733)/948466.87002*100)</f>
        <v>3.2283257294326288E-4</v>
      </c>
      <c r="G33" s="42">
        <f>IF(OR(824887.0263="",75.22038="",34.72929=""),"-",(75.22038-34.72929)/824887.0263*100)</f>
        <v>4.9086830934438721E-3</v>
      </c>
    </row>
    <row r="34" spans="1:7" s="7" customFormat="1" x14ac:dyDescent="0.25">
      <c r="A34" s="39" t="s">
        <v>54</v>
      </c>
      <c r="B34" s="49">
        <v>3.6461399999999999</v>
      </c>
      <c r="C34" s="42">
        <f>IF(OR(25.65794="",3.64614=""),"-",3.64614/25.65794*100)</f>
        <v>14.210571854170679</v>
      </c>
      <c r="D34" s="42">
        <f>IF(25.65794="","-",25.65794/824887.0263*100)</f>
        <v>3.1104792755788308E-3</v>
      </c>
      <c r="E34" s="42">
        <f>IF(3.64614="","-",3.64614/902994.40784*100)</f>
        <v>4.0378323147335075E-4</v>
      </c>
      <c r="F34" s="42">
        <f>IF(OR(948466.87002="",39.75135="",25.65794=""),"-",(25.65794-39.75135)/948466.87002*100)</f>
        <v>-1.4859148427295956E-3</v>
      </c>
      <c r="G34" s="42">
        <f>IF(OR(824887.0263="",3.64614="",25.65794=""),"-",(3.64614-25.65794)/824887.0263*100)</f>
        <v>-2.6684623831136137E-3</v>
      </c>
    </row>
    <row r="35" spans="1:7" s="7" customFormat="1" x14ac:dyDescent="0.25">
      <c r="A35" s="39" t="s">
        <v>55</v>
      </c>
      <c r="B35" s="49" t="s">
        <v>348</v>
      </c>
      <c r="C35" s="42" t="str">
        <f>IF(OR(2.36964="",""=""),"-",""/2.36964*100)</f>
        <v>-</v>
      </c>
      <c r="D35" s="42">
        <f>IF(2.36964="","-",2.36964/824887.0263*100)</f>
        <v>2.8726842882096618E-4</v>
      </c>
      <c r="E35" s="42" t="str">
        <f>IF(""="","-",""/902994.40784*100)</f>
        <v>-</v>
      </c>
      <c r="F35" s="42">
        <f>IF(OR(948466.87002="",460.80304="",2.36964=""),"-",(2.36964-460.80304)/948466.87002*100)</f>
        <v>-4.8334150036293114E-2</v>
      </c>
      <c r="G35" s="42" t="str">
        <f>IF(OR(824887.0263="",""="",2.36964=""),"-",(""-2.36964)/824887.0263*100)</f>
        <v>-</v>
      </c>
    </row>
    <row r="36" spans="1:7" s="7" customFormat="1" x14ac:dyDescent="0.25">
      <c r="A36" s="38" t="s">
        <v>155</v>
      </c>
      <c r="B36" s="48">
        <v>144264.37249000001</v>
      </c>
      <c r="C36" s="41">
        <f>IF(128972.26234="","-",144264.37249/128972.26234*100)</f>
        <v>111.85689843114216</v>
      </c>
      <c r="D36" s="41">
        <f>IF(128972.26234="","-",128972.26234/824887.0263*100)</f>
        <v>15.635142538063699</v>
      </c>
      <c r="E36" s="41">
        <f>IF(144264.37249="","-",144264.37249/902994.40784*100)</f>
        <v>15.976219923120716</v>
      </c>
      <c r="F36" s="41">
        <f>IF(948466.87002="","-",(128972.26234-138986.19225)/948466.87002*100)</f>
        <v>-1.0558017603491865</v>
      </c>
      <c r="G36" s="41">
        <f>IF(824887.0263="","-",(144264.37249-128972.26234)/824887.0263*100)</f>
        <v>1.853842970302515</v>
      </c>
    </row>
    <row r="37" spans="1:7" s="7" customFormat="1" x14ac:dyDescent="0.25">
      <c r="A37" s="39" t="s">
        <v>125</v>
      </c>
      <c r="B37" s="49">
        <v>85746.767649999994</v>
      </c>
      <c r="C37" s="42">
        <f>IF(OR(78161.21121="",85746.76765=""),"-",85746.76765/78161.21121*100)</f>
        <v>109.70501393538984</v>
      </c>
      <c r="D37" s="42">
        <f>IF(78161.21121="","-",78161.21121/824887.0263*100)</f>
        <v>9.4753837456492906</v>
      </c>
      <c r="E37" s="42">
        <f>IF(85746.76765="","-",85746.76765/902994.40784*100)</f>
        <v>9.4958248805892183</v>
      </c>
      <c r="F37" s="42">
        <f>IF(OR(948466.87002="",80626.87187="",78161.21121=""),"-",(78161.21121-80626.87187)/948466.87002*100)</f>
        <v>-0.25996276073913011</v>
      </c>
      <c r="G37" s="42">
        <f>IF(OR(824887.0263="",85746.76765="",78161.21121=""),"-",(85746.76765-78161.21121)/824887.0263*100)</f>
        <v>0.9195873129469293</v>
      </c>
    </row>
    <row r="38" spans="1:7" s="7" customFormat="1" x14ac:dyDescent="0.25">
      <c r="A38" s="39" t="s">
        <v>12</v>
      </c>
      <c r="B38" s="49">
        <v>27370.52693</v>
      </c>
      <c r="C38" s="42">
        <f>IF(OR(20165.6553="",27370.52693=""),"-",27370.52693/20165.6553*100)</f>
        <v>135.72842797724508</v>
      </c>
      <c r="D38" s="42">
        <f>IF(20165.6553="","-",20165.6553/824887.0263*100)</f>
        <v>2.4446566204892677</v>
      </c>
      <c r="E38" s="42">
        <f>IF(27370.52693="","-",27370.52693/902994.40784*100)</f>
        <v>3.0310848763140665</v>
      </c>
      <c r="F38" s="42">
        <f>IF(OR(948466.87002="",23341.71894="",20165.6553=""),"-",(20165.6553-23341.71894)/948466.87002*100)</f>
        <v>-0.3348628972072612</v>
      </c>
      <c r="G38" s="42">
        <f>IF(OR(824887.0263="",27370.52693="",20165.6553=""),"-",(27370.52693-20165.6553)/824887.0263*100)</f>
        <v>0.87343737994246118</v>
      </c>
    </row>
    <row r="39" spans="1:7" s="7" customFormat="1" ht="14.25" customHeight="1" x14ac:dyDescent="0.25">
      <c r="A39" s="39" t="s">
        <v>11</v>
      </c>
      <c r="B39" s="49">
        <v>22684.581890000001</v>
      </c>
      <c r="C39" s="42">
        <f>IF(OR(24385.36998="",22684.58189=""),"-",22684.58189/24385.36998*100)</f>
        <v>93.025375085984251</v>
      </c>
      <c r="D39" s="42">
        <f>IF(24385.36998="","-",24385.36998/824887.0263*100)</f>
        <v>2.9562072383874995</v>
      </c>
      <c r="E39" s="42">
        <f>IF(22684.58189="","-",22684.58189/902994.40784*100)</f>
        <v>2.5121508719264893</v>
      </c>
      <c r="F39" s="42">
        <f>IF(OR(948466.87002="",29232.55218="",24385.36998=""),"-",(24385.36998-29232.55218)/948466.87002*100)</f>
        <v>-0.51105445569203578</v>
      </c>
      <c r="G39" s="42">
        <f>IF(OR(824887.0263="",22684.58189="",24385.36998=""),"-",(22684.58189-24385.36998)/824887.0263*100)</f>
        <v>-0.20618436655851163</v>
      </c>
    </row>
    <row r="40" spans="1:7" s="13" customFormat="1" ht="14.25" customHeight="1" x14ac:dyDescent="0.2">
      <c r="A40" s="39" t="s">
        <v>13</v>
      </c>
      <c r="B40" s="49">
        <v>3784.5909099999999</v>
      </c>
      <c r="C40" s="42">
        <f>IF(OR(3581.82872="",3784.59091=""),"-",3784.59091/3581.82872*100)</f>
        <v>105.66085666988565</v>
      </c>
      <c r="D40" s="42">
        <f>IF(3581.82872="","-",3581.82872/824887.0263*100)</f>
        <v>0.43422051818006629</v>
      </c>
      <c r="E40" s="42">
        <f>IF(3784.59091="","-",3784.59091/902994.40784*100)</f>
        <v>0.41911565311383248</v>
      </c>
      <c r="F40" s="42">
        <f>IF(OR(948466.87002="",2545.94653="",3581.82872=""),"-",(3581.82872-2545.94653)/948466.87002*100)</f>
        <v>0.10921648638904556</v>
      </c>
      <c r="G40" s="42">
        <f>IF(OR(824887.0263="",3784.59091="",3581.82872=""),"-",(3784.59091-3581.82872)/824887.0263*100)</f>
        <v>2.458060116540833E-2</v>
      </c>
    </row>
    <row r="41" spans="1:7" s="13" customFormat="1" ht="14.25" customHeight="1" x14ac:dyDescent="0.2">
      <c r="A41" s="39" t="s">
        <v>15</v>
      </c>
      <c r="B41" s="49">
        <v>2352.4105500000001</v>
      </c>
      <c r="C41" s="42" t="s">
        <v>95</v>
      </c>
      <c r="D41" s="42">
        <f>IF(1132.69734="","-",1132.69734/824887.0263*100)</f>
        <v>0.13731545095098313</v>
      </c>
      <c r="E41" s="42">
        <f>IF(2352.41055="","-",2352.41055/902994.40784*100)</f>
        <v>0.26051219471303966</v>
      </c>
      <c r="F41" s="42">
        <f>IF(OR(948466.87002="",1128.70152="",1132.69734=""),"-",(1132.69734-1128.70152)/948466.87002*100)</f>
        <v>4.2129252231188724E-4</v>
      </c>
      <c r="G41" s="42">
        <f>IF(OR(824887.0263="",2352.41055="",1132.69734=""),"-",(2352.41055-1132.69734)/824887.0263*100)</f>
        <v>0.14786427366556826</v>
      </c>
    </row>
    <row r="42" spans="1:7" s="13" customFormat="1" ht="14.25" customHeight="1" x14ac:dyDescent="0.2">
      <c r="A42" s="39" t="s">
        <v>14</v>
      </c>
      <c r="B42" s="49">
        <v>1072.3300999999999</v>
      </c>
      <c r="C42" s="42">
        <f>IF(OR(912.94479="",1072.3301=""),"-",1072.3301/912.94479*100)</f>
        <v>117.45837335902863</v>
      </c>
      <c r="D42" s="42">
        <f>IF(912.94479="","-",912.94479/824887.0263*100)</f>
        <v>0.11067513015630515</v>
      </c>
      <c r="E42" s="42">
        <f>IF(1072.3301="","-",1072.3301/902994.40784*100)</f>
        <v>0.11875268447841864</v>
      </c>
      <c r="F42" s="42">
        <f>IF(OR(948466.87002="",1306.58021="",912.94479=""),"-",(912.94479-1306.58021)/948466.87002*100)</f>
        <v>-4.1502284628212642E-2</v>
      </c>
      <c r="G42" s="42">
        <f>IF(OR(824887.0263="",1072.3301="",912.94479=""),"-",(1072.3301-912.94479)/824887.0263*100)</f>
        <v>1.9322077438278639E-2</v>
      </c>
    </row>
    <row r="43" spans="1:7" s="11" customFormat="1" ht="14.25" customHeight="1" x14ac:dyDescent="0.2">
      <c r="A43" s="39" t="s">
        <v>126</v>
      </c>
      <c r="B43" s="49">
        <v>412.00027999999998</v>
      </c>
      <c r="C43" s="42" t="s">
        <v>104</v>
      </c>
      <c r="D43" s="42">
        <f>IF(253.48503="","-",253.48503/824887.0263*100)</f>
        <v>3.0729666235265893E-2</v>
      </c>
      <c r="E43" s="42">
        <f>IF(412.00028="","-",412.00028/902994.40784*100)</f>
        <v>4.5626005700912554E-2</v>
      </c>
      <c r="F43" s="42">
        <f>IF(OR(948466.87002="",230.13975="",253.48503=""),"-",(253.48503-230.13975)/948466.87002*100)</f>
        <v>2.4613701055797264E-3</v>
      </c>
      <c r="G43" s="42">
        <f>IF(OR(824887.0263="",412.00028="",253.48503=""),"-",(412.00028-253.48503)/824887.0263*100)</f>
        <v>1.9216601176407663E-2</v>
      </c>
    </row>
    <row r="44" spans="1:7" s="13" customFormat="1" ht="14.25" customHeight="1" x14ac:dyDescent="0.2">
      <c r="A44" s="39" t="s">
        <v>16</v>
      </c>
      <c r="B44" s="49">
        <v>390.37457000000001</v>
      </c>
      <c r="C44" s="42" t="str">
        <f>IF(OR(""="",390.37457=""),"-",390.37457/""*100)</f>
        <v>-</v>
      </c>
      <c r="D44" s="42" t="str">
        <f>IF(""="","-",""/824887.0263*100)</f>
        <v>-</v>
      </c>
      <c r="E44" s="42">
        <f>IF(390.37457="","-",390.37457/902994.40784*100)</f>
        <v>4.3231117115530328E-2</v>
      </c>
      <c r="F44" s="42" t="str">
        <f>IF(OR(948466.87002="",153.20977="",""=""),"-",(""-153.20977)/948466.87002*100)</f>
        <v>-</v>
      </c>
      <c r="G44" s="42" t="str">
        <f>IF(OR(824887.0263="",390.37457="",""=""),"-",(390.37457-"")/824887.0263*100)</f>
        <v>-</v>
      </c>
    </row>
    <row r="45" spans="1:7" s="11" customFormat="1" ht="14.25" customHeight="1" x14ac:dyDescent="0.2">
      <c r="A45" s="39" t="s">
        <v>17</v>
      </c>
      <c r="B45" s="49">
        <v>314.44387</v>
      </c>
      <c r="C45" s="42">
        <f>IF(OR(268.04648="",314.44387=""),"-",314.44387/268.04648*100)</f>
        <v>117.30945692702252</v>
      </c>
      <c r="D45" s="42">
        <f>IF(268.04648="","-",268.04648/824887.0263*100)</f>
        <v>3.2494932209361137E-2</v>
      </c>
      <c r="E45" s="42">
        <f>IF(314.44387="","-",314.44387/902994.40784*100)</f>
        <v>3.4822349648007539E-2</v>
      </c>
      <c r="F45" s="42">
        <f>IF(OR(948466.87002="",346.55142="",268.04648=""),"-",(268.04648-346.55142)/948466.87002*100)</f>
        <v>-8.2770355487846014E-3</v>
      </c>
      <c r="G45" s="42">
        <f>IF(OR(824887.0263="",314.44387="",268.04648=""),"-",(314.44387-268.04648)/824887.0263*100)</f>
        <v>5.6246962942445335E-3</v>
      </c>
    </row>
    <row r="46" spans="1:7" s="11" customFormat="1" ht="14.25" customHeight="1" x14ac:dyDescent="0.2">
      <c r="A46" s="39" t="s">
        <v>18</v>
      </c>
      <c r="B46" s="49">
        <v>136.34574000000001</v>
      </c>
      <c r="C46" s="42">
        <f>IF(OR(111.02349="",136.34574=""),"-",136.34574/111.02349*100)</f>
        <v>122.8080111695282</v>
      </c>
      <c r="D46" s="42">
        <f>IF(111.02349="","-",111.02349/824887.0263*100)</f>
        <v>1.3459235805658349E-2</v>
      </c>
      <c r="E46" s="42">
        <f>IF(136.34574="","-",136.34574/902994.40784*100)</f>
        <v>1.5099289521199212E-2</v>
      </c>
      <c r="F46" s="42">
        <f>IF(OR(948466.87002="",73.92006="",111.02349=""),"-",(111.02349-73.92006)/948466.87002*100)</f>
        <v>3.9119373773400861E-3</v>
      </c>
      <c r="G46" s="42">
        <f>IF(OR(824887.0263="",136.34574="",111.02349=""),"-",(136.34574-111.02349)/824887.0263*100)</f>
        <v>3.0697840058876934E-3</v>
      </c>
    </row>
    <row r="47" spans="1:7" s="11" customFormat="1" ht="14.25" customHeight="1" x14ac:dyDescent="0.2">
      <c r="A47" s="38" t="s">
        <v>156</v>
      </c>
      <c r="B47" s="48">
        <v>177274.67559999999</v>
      </c>
      <c r="C47" s="41">
        <f>IF(166351.26498="","-",177274.6756/166351.26498*100)</f>
        <v>106.56647283163929</v>
      </c>
      <c r="D47" s="41">
        <f>IF(166351.26498="","-",166351.26498/824887.0263*100)</f>
        <v>20.166551258074989</v>
      </c>
      <c r="E47" s="41">
        <f>IF(177274.6756="","-",177274.6756/902994.40784*100)</f>
        <v>19.631868598616059</v>
      </c>
      <c r="F47" s="41">
        <f>IF(948466.87002="","-",(166351.26498-224199.94724)/948466.87002*100)</f>
        <v>-6.0991779563982202</v>
      </c>
      <c r="G47" s="41">
        <f>IF(824887.0263="","-",(177274.6756-166351.26498)/824887.0263*100)</f>
        <v>1.3242311094401049</v>
      </c>
    </row>
    <row r="48" spans="1:7" s="11" customFormat="1" ht="14.25" customHeight="1" x14ac:dyDescent="0.2">
      <c r="A48" s="39" t="s">
        <v>56</v>
      </c>
      <c r="B48" s="49">
        <v>88013.510970000003</v>
      </c>
      <c r="C48" s="42" t="s">
        <v>103</v>
      </c>
      <c r="D48" s="42">
        <f>IF(52061.00263="","-",52061.00263/824887.0263*100)</f>
        <v>6.311288815332408</v>
      </c>
      <c r="E48" s="42">
        <f>IF(88013.51097="","-",88013.51097/902994.40784*100)</f>
        <v>9.7468500586323632</v>
      </c>
      <c r="F48" s="42">
        <f>IF(OR(948466.87002="",95759.85917="",52061.00263=""),"-",(52061.00263-95759.85917)/948466.87002*100)</f>
        <v>-4.6073150176640887</v>
      </c>
      <c r="G48" s="42">
        <f>IF(OR(824887.0263="",88013.51097="",52061.00263=""),"-",(88013.51097-52061.00263)/824887.0263*100)</f>
        <v>4.3584766390694289</v>
      </c>
    </row>
    <row r="49" spans="1:7" s="7" customFormat="1" ht="25.5" x14ac:dyDescent="0.25">
      <c r="A49" s="39" t="s">
        <v>122</v>
      </c>
      <c r="B49" s="49">
        <v>14463.94378</v>
      </c>
      <c r="C49" s="42">
        <f>IF(OR(12561.24668="",14463.94378=""),"-",14463.94378/12561.24668*100)</f>
        <v>115.14735876518907</v>
      </c>
      <c r="D49" s="42">
        <f>IF(12561.24668="","-",12561.24668/824887.0263*100)</f>
        <v>1.5227838818538586</v>
      </c>
      <c r="E49" s="42">
        <f>IF(14463.94378="","-",14463.94378/902994.40784*100)</f>
        <v>1.6017755652106809</v>
      </c>
      <c r="F49" s="42">
        <f>IF(OR(948466.87002="",16767.65278="",12561.24668=""),"-",(12561.24668-16767.65278)/948466.87002*100)</f>
        <v>-0.44349531153484584</v>
      </c>
      <c r="G49" s="42">
        <f>IF(OR(824887.0263="",14463.94378="",12561.24668=""),"-",(14463.94378-12561.24668)/824887.0263*100)</f>
        <v>0.23066153780287665</v>
      </c>
    </row>
    <row r="50" spans="1:7" s="7" customFormat="1" x14ac:dyDescent="0.25">
      <c r="A50" s="39" t="s">
        <v>127</v>
      </c>
      <c r="B50" s="49">
        <v>12786.13622</v>
      </c>
      <c r="C50" s="42">
        <f>IF(OR(31804.15603="",12786.13622=""),"-",12786.13622/31804.15603*100)</f>
        <v>40.202721329687805</v>
      </c>
      <c r="D50" s="42">
        <f>IF(31804.15603="","-",31804.15603/824887.0263*100)</f>
        <v>3.8555771900858176</v>
      </c>
      <c r="E50" s="42">
        <f>IF(12786.13622="","-",12786.13622/902994.40784*100)</f>
        <v>1.4159706980450706</v>
      </c>
      <c r="F50" s="42">
        <f>IF(OR(948466.87002="",27795.22601="",31804.15603=""),"-",(31804.15603-27795.22601)/948466.87002*100)</f>
        <v>0.42267475509349783</v>
      </c>
      <c r="G50" s="42">
        <f>IF(OR(824887.0263="",12786.13622="",31804.15603=""),"-",(12786.13622-31804.15603)/824887.0263*100)</f>
        <v>-2.3055302367046089</v>
      </c>
    </row>
    <row r="51" spans="1:7" s="12" customFormat="1" x14ac:dyDescent="0.25">
      <c r="A51" s="39" t="s">
        <v>60</v>
      </c>
      <c r="B51" s="49">
        <v>9230.9466200000006</v>
      </c>
      <c r="C51" s="42">
        <f>IF(OR(6499.03867="",9230.94662=""),"-",9230.94662/6499.03867*100)</f>
        <v>142.03557000838711</v>
      </c>
      <c r="D51" s="42">
        <f>IF(6499.03867="","-",6499.03867/824887.0263*100)</f>
        <v>0.78787015224996271</v>
      </c>
      <c r="E51" s="42">
        <f>IF(9230.94662="","-",9230.94662/902994.40784*100)</f>
        <v>1.0222595555249125</v>
      </c>
      <c r="F51" s="42">
        <f>IF(OR(948466.87002="",2797.26433="",6499.03867=""),"-",(6499.03867-2797.26433)/948466.87002*100)</f>
        <v>0.39029031556178045</v>
      </c>
      <c r="G51" s="42">
        <f>IF(OR(824887.0263="",9230.94662="",6499.03867=""),"-",(9230.94662-6499.03867)/824887.0263*100)</f>
        <v>0.33118570942421921</v>
      </c>
    </row>
    <row r="52" spans="1:7" s="7" customFormat="1" x14ac:dyDescent="0.25">
      <c r="A52" s="39" t="s">
        <v>19</v>
      </c>
      <c r="B52" s="49">
        <v>7408.2779300000002</v>
      </c>
      <c r="C52" s="42">
        <f>IF(OR(7777.63209="",7408.27793=""),"-",7408.27793/7777.63209*100)</f>
        <v>95.251071846469927</v>
      </c>
      <c r="D52" s="42">
        <f>IF(7777.63209="","-",7777.63209/824887.0263*100)</f>
        <v>0.94287239852544158</v>
      </c>
      <c r="E52" s="42">
        <f>IF(7408.27793="","-",7408.27793/902994.40784*100)</f>
        <v>0.82041238192392651</v>
      </c>
      <c r="F52" s="42">
        <f>IF(OR(948466.87002="",7124.40858="",7777.63209=""),"-",(7777.63209-7124.40858)/948466.87002*100)</f>
        <v>6.8871515774317493E-2</v>
      </c>
      <c r="G52" s="42">
        <f>IF(OR(824887.0263="",7408.27793="",7777.63209=""),"-",(7408.27793-7777.63209)/824887.0263*100)</f>
        <v>-4.4776332785439014E-2</v>
      </c>
    </row>
    <row r="53" spans="1:7" s="14" customFormat="1" x14ac:dyDescent="0.25">
      <c r="A53" s="39" t="s">
        <v>58</v>
      </c>
      <c r="B53" s="49">
        <v>6960.6943099999999</v>
      </c>
      <c r="C53" s="42">
        <f>IF(OR(6368.53897="",6960.69431=""),"-",6960.69431/6368.53897*100)</f>
        <v>109.29813482793213</v>
      </c>
      <c r="D53" s="42">
        <f>IF(6368.53897="","-",6368.53897/824887.0263*100)</f>
        <v>0.77204984039642899</v>
      </c>
      <c r="E53" s="42">
        <f>IF(6960.69431="","-",6960.69431/902994.40784*100)</f>
        <v>0.77084578260570502</v>
      </c>
      <c r="F53" s="42">
        <f>IF(OR(948466.87002="",5641.67708="",6368.53897=""),"-",(6368.53897-5641.67708)/948466.87002*100)</f>
        <v>7.6635453801846776E-2</v>
      </c>
      <c r="G53" s="42">
        <f>IF(OR(824887.0263="",6960.69431="",6368.53897=""),"-",(6960.69431-6368.53897)/824887.0263*100)</f>
        <v>7.1786235098894813E-2</v>
      </c>
    </row>
    <row r="54" spans="1:7" s="12" customFormat="1" x14ac:dyDescent="0.25">
      <c r="A54" s="39" t="s">
        <v>59</v>
      </c>
      <c r="B54" s="49">
        <v>4658.2772299999997</v>
      </c>
      <c r="C54" s="42">
        <f>IF(OR(3650.57085="",4658.27723=""),"-",4658.27723/3650.57085*100)</f>
        <v>127.60407677062342</v>
      </c>
      <c r="D54" s="42">
        <f>IF(3650.57085="","-",3650.57085/824887.0263*100)</f>
        <v>0.4425540387481301</v>
      </c>
      <c r="E54" s="42">
        <f>IF(4658.27723="","-",4658.27723/902994.40784*100)</f>
        <v>0.51586999759420349</v>
      </c>
      <c r="F54" s="42">
        <f>IF(OR(948466.87002="",5612.47519="",3650.57085=""),"-",(3650.57085-5612.47519)/948466.87002*100)</f>
        <v>-0.20685006530155661</v>
      </c>
      <c r="G54" s="42">
        <f>IF(OR(824887.0263="",4658.27723="",3650.57085=""),"-",(4658.27723-3650.57085)/824887.0263*100)</f>
        <v>0.12216295660752831</v>
      </c>
    </row>
    <row r="55" spans="1:7" s="7" customFormat="1" x14ac:dyDescent="0.25">
      <c r="A55" s="39" t="s">
        <v>68</v>
      </c>
      <c r="B55" s="49">
        <v>3610.8907100000001</v>
      </c>
      <c r="C55" s="42" t="s">
        <v>222</v>
      </c>
      <c r="D55" s="42">
        <f>IF(2051.45781="","-",2051.45781/824887.0263*100)</f>
        <v>0.24869560856130046</v>
      </c>
      <c r="E55" s="42">
        <f>IF(3610.89071="","-",3610.89071/902994.40784*100)</f>
        <v>0.39987963144061989</v>
      </c>
      <c r="F55" s="42">
        <f>IF(OR(948466.87002="",4131.54658="",2051.45781=""),"-",(2051.45781-4131.54658)/948466.87002*100)</f>
        <v>-0.21931064075608017</v>
      </c>
      <c r="G55" s="42">
        <f>IF(OR(824887.0263="",3610.89071="",2051.45781=""),"-",(3610.89071-2051.45781)/824887.0263*100)</f>
        <v>0.18904805752549877</v>
      </c>
    </row>
    <row r="56" spans="1:7" s="7" customFormat="1" x14ac:dyDescent="0.25">
      <c r="A56" s="39" t="s">
        <v>66</v>
      </c>
      <c r="B56" s="49">
        <v>3080.9982399999999</v>
      </c>
      <c r="C56" s="42">
        <f>IF(OR(3124.26661="",3080.99824=""),"-",3080.99824/3124.26661*100)</f>
        <v>98.615087142002906</v>
      </c>
      <c r="D56" s="42">
        <f>IF(3124.26661="","-",3124.26661/824887.0263*100)</f>
        <v>0.37875084834510991</v>
      </c>
      <c r="E56" s="42">
        <f>IF(3080.99824="","-",3080.99824/902994.40784*100)</f>
        <v>0.34119793137699211</v>
      </c>
      <c r="F56" s="42">
        <f>IF(OR(948466.87002="",3797.21895="",3124.26661=""),"-",(3124.26661-3797.21895)/948466.87002*100)</f>
        <v>-7.0951591591787433E-2</v>
      </c>
      <c r="G56" s="42">
        <f>IF(OR(824887.0263="",3080.99824="",3124.26661=""),"-",(3080.99824-3124.26661)/824887.0263*100)</f>
        <v>-5.2453691985045381E-3</v>
      </c>
    </row>
    <row r="57" spans="1:7" s="14" customFormat="1" x14ac:dyDescent="0.25">
      <c r="A57" s="39" t="s">
        <v>57</v>
      </c>
      <c r="B57" s="49">
        <v>2362.0970699999998</v>
      </c>
      <c r="C57" s="42">
        <f>IF(OR(2806.63124="",2362.09707=""),"-",2362.09707/2806.63124*100)</f>
        <v>84.161290458663871</v>
      </c>
      <c r="D57" s="42">
        <f>IF(2806.63124="","-",2806.63124/824887.0263*100)</f>
        <v>0.34024431837521313</v>
      </c>
      <c r="E57" s="42">
        <f>IF(2362.09707="","-",2362.09707/902994.40784*100)</f>
        <v>0.26158490567513409</v>
      </c>
      <c r="F57" s="42">
        <f>IF(OR(948466.87002="",4363.4312="",2806.63124=""),"-",(2806.63124-4363.4312)/948466.87002*100)</f>
        <v>-0.16413857027680598</v>
      </c>
      <c r="G57" s="42">
        <f>IF(OR(824887.0263="",2362.09707="",2806.63124=""),"-",(2362.09707-2806.63124)/824887.0263*100)</f>
        <v>-5.3890309318348935E-2</v>
      </c>
    </row>
    <row r="58" spans="1:7" s="7" customFormat="1" x14ac:dyDescent="0.25">
      <c r="A58" s="39" t="s">
        <v>233</v>
      </c>
      <c r="B58" s="49">
        <v>2085.5038500000001</v>
      </c>
      <c r="C58" s="42" t="str">
        <f>IF(OR(""="",2085.50385=""),"-",2085.50385/""*100)</f>
        <v>-</v>
      </c>
      <c r="D58" s="42" t="str">
        <f>IF(""="","-",""/824887.0263*100)</f>
        <v>-</v>
      </c>
      <c r="E58" s="42">
        <f>IF(2085.50385="","-",2085.50385/902994.40784*100)</f>
        <v>0.23095423757812758</v>
      </c>
      <c r="F58" s="42" t="str">
        <f>IF(OR(948466.87002="",66.1902="",""=""),"-",(""-66.1902)/948466.87002*100)</f>
        <v>-</v>
      </c>
      <c r="G58" s="42" t="str">
        <f>IF(OR(824887.0263="",2085.50385="",""=""),"-",(2085.50385-"")/824887.0263*100)</f>
        <v>-</v>
      </c>
    </row>
    <row r="59" spans="1:7" s="12" customFormat="1" x14ac:dyDescent="0.25">
      <c r="A59" s="39" t="s">
        <v>62</v>
      </c>
      <c r="B59" s="49">
        <v>1705.23534</v>
      </c>
      <c r="C59" s="42">
        <f>IF(OR(1960.43088="",1705.23534=""),"-",1705.23534/1960.43088*100)</f>
        <v>86.982681072642563</v>
      </c>
      <c r="D59" s="42">
        <f>IF(1960.43088="","-",1960.43088/824887.0263*100)</f>
        <v>0.23766053016901473</v>
      </c>
      <c r="E59" s="42">
        <f>IF(1705.23534="","-",1705.23534/902994.40784*100)</f>
        <v>0.18884229239901867</v>
      </c>
      <c r="F59" s="42">
        <f>IF(OR(948466.87002="",2925.55502="",1960.43088=""),"-",(1960.43088-2925.55502)/948466.87002*100)</f>
        <v>-0.10175623108265748</v>
      </c>
      <c r="G59" s="42">
        <f>IF(OR(824887.0263="",1705.23534="",1960.43088=""),"-",(1705.23534-1960.43088)/824887.0263*100)</f>
        <v>-3.0937029176549183E-2</v>
      </c>
    </row>
    <row r="60" spans="1:7" s="7" customFormat="1" x14ac:dyDescent="0.25">
      <c r="A60" s="39" t="s">
        <v>63</v>
      </c>
      <c r="B60" s="49">
        <v>1507.7358200000001</v>
      </c>
      <c r="C60" s="42" t="s">
        <v>340</v>
      </c>
      <c r="D60" s="42">
        <f>IF(85.11492="","-",85.11492/824887.0263*100)</f>
        <v>1.0318372975482449E-2</v>
      </c>
      <c r="E60" s="42">
        <f>IF(1507.73582="","-",1507.73582/902994.40784*100)</f>
        <v>0.16697067079369479</v>
      </c>
      <c r="F60" s="42">
        <f>IF(OR(948466.87002="",1464.91451="",85.11492=""),"-",(85.11492-1464.91451)/948466.87002*100)</f>
        <v>-0.1454768356822948</v>
      </c>
      <c r="G60" s="42">
        <f>IF(OR(824887.0263="",1507.73582="",85.11492=""),"-",(1507.73582-85.11492)/824887.0263*100)</f>
        <v>0.17246251361002887</v>
      </c>
    </row>
    <row r="61" spans="1:7" s="12" customFormat="1" x14ac:dyDescent="0.25">
      <c r="A61" s="39" t="s">
        <v>37</v>
      </c>
      <c r="B61" s="49">
        <v>1133.14176</v>
      </c>
      <c r="C61" s="42">
        <f>IF(OR(1841.55709="",1133.14176=""),"-",1133.14176/1841.55709*100)</f>
        <v>61.531720420353622</v>
      </c>
      <c r="D61" s="42">
        <f>IF(1841.55709="","-",1841.55709/824887.0263*100)</f>
        <v>0.22324961252697056</v>
      </c>
      <c r="E61" s="42">
        <f>IF(1133.14176="","-",1133.14176/902994.40784*100)</f>
        <v>0.12548712928472303</v>
      </c>
      <c r="F61" s="42">
        <f>IF(OR(948466.87002="",1249.70475="",1841.55709=""),"-",(1841.55709-1249.70475)/948466.87002*100)</f>
        <v>6.2400950281744652E-2</v>
      </c>
      <c r="G61" s="42">
        <f>IF(OR(824887.0263="",1133.14176="",1841.55709=""),"-",(1133.14176-1841.55709)/824887.0263*100)</f>
        <v>-8.588028510735228E-2</v>
      </c>
    </row>
    <row r="62" spans="1:7" s="7" customFormat="1" x14ac:dyDescent="0.25">
      <c r="A62" s="39" t="s">
        <v>77</v>
      </c>
      <c r="B62" s="49">
        <v>857.53751</v>
      </c>
      <c r="C62" s="42" t="s">
        <v>20</v>
      </c>
      <c r="D62" s="42">
        <f>IF(427.57781="","-",427.57781/824887.0263*100)</f>
        <v>5.1834711465627521E-2</v>
      </c>
      <c r="E62" s="42">
        <f>IF(857.53751="","-",857.53751/902994.40784*100)</f>
        <v>9.496598235323131E-2</v>
      </c>
      <c r="F62" s="42">
        <f>IF(OR(948466.87002="",450.78501="",427.57781=""),"-",(427.57781-450.78501)/948466.87002*100)</f>
        <v>-2.4468118743578926E-3</v>
      </c>
      <c r="G62" s="42">
        <f>IF(OR(824887.0263="",857.53751="",427.57781=""),"-",(857.53751-427.57781)/824887.0263*100)</f>
        <v>5.2123464946293087E-2</v>
      </c>
    </row>
    <row r="63" spans="1:7" s="12" customFormat="1" x14ac:dyDescent="0.25">
      <c r="A63" s="39" t="s">
        <v>136</v>
      </c>
      <c r="B63" s="49">
        <v>763.86197000000004</v>
      </c>
      <c r="C63" s="42" t="s">
        <v>103</v>
      </c>
      <c r="D63" s="42">
        <f>IF(437.16982="","-",437.16982/824887.0263*100)</f>
        <v>5.2997538579423284E-2</v>
      </c>
      <c r="E63" s="42">
        <f>IF(763.86197="","-",763.86197/902994.40784*100)</f>
        <v>8.4592104155682371E-2</v>
      </c>
      <c r="F63" s="42">
        <f>IF(OR(948466.87002="",331.48511="",437.16982=""),"-",(437.16982-331.48511)/948466.87002*100)</f>
        <v>1.1142688621034433E-2</v>
      </c>
      <c r="G63" s="42">
        <f>IF(OR(824887.0263="",763.86197="",437.16982=""),"-",(763.86197-437.16982)/824887.0263*100)</f>
        <v>3.9604471834811791E-2</v>
      </c>
    </row>
    <row r="64" spans="1:7" s="7" customFormat="1" x14ac:dyDescent="0.25">
      <c r="A64" s="39" t="s">
        <v>76</v>
      </c>
      <c r="B64" s="49">
        <v>753.06863999999996</v>
      </c>
      <c r="C64" s="42">
        <f>IF(OR(613.88166="",753.06864=""),"-",753.06864/613.88166*100)</f>
        <v>122.67325920764598</v>
      </c>
      <c r="D64" s="42">
        <f>IF(613.88166="","-",613.88166/824887.0263*100)</f>
        <v>7.4420089106449316E-2</v>
      </c>
      <c r="E64" s="42">
        <f>IF(753.06864="","-",753.06864/902994.40784*100)</f>
        <v>8.3396822113369587E-2</v>
      </c>
      <c r="F64" s="42">
        <f>IF(OR(948466.87002="",401.818="",613.88166=""),"-",(613.88166-401.818)/948466.87002*100)</f>
        <v>2.2358573262082237E-2</v>
      </c>
      <c r="G64" s="42">
        <f>IF(OR(824887.0263="",753.06864="",613.88166=""),"-",(753.06864-613.88166)/824887.0263*100)</f>
        <v>1.6873459705666359E-2</v>
      </c>
    </row>
    <row r="65" spans="1:7" s="7" customFormat="1" x14ac:dyDescent="0.25">
      <c r="A65" s="39" t="s">
        <v>232</v>
      </c>
      <c r="B65" s="49">
        <v>638.31668999999999</v>
      </c>
      <c r="C65" s="42">
        <f>IF(OR(642.60593="",638.31669=""),"-",638.31669/642.60593*100)</f>
        <v>99.332524055605916</v>
      </c>
      <c r="D65" s="42">
        <f>IF(642.60593="","-",642.60593/824887.0263*100)</f>
        <v>7.7902295649185424E-2</v>
      </c>
      <c r="E65" s="42">
        <f>IF(638.31669="","-",638.31669/902994.40784*100)</f>
        <v>7.068888627194049E-2</v>
      </c>
      <c r="F65" s="42">
        <f>IF(OR(948466.87002="",416.91871="",642.60593=""),"-",(642.60593-416.91871)/948466.87002*100)</f>
        <v>2.3794950264867023E-2</v>
      </c>
      <c r="G65" s="42">
        <f>IF(OR(824887.0263="",638.31669="",642.60593=""),"-",(638.31669-642.60593)/824887.0263*100)</f>
        <v>-5.1997908358907951E-4</v>
      </c>
    </row>
    <row r="66" spans="1:7" s="12" customFormat="1" x14ac:dyDescent="0.25">
      <c r="A66" s="39" t="s">
        <v>109</v>
      </c>
      <c r="B66" s="49">
        <v>488.06799999999998</v>
      </c>
      <c r="C66" s="42" t="s">
        <v>104</v>
      </c>
      <c r="D66" s="42">
        <f>IF(296.96236="","-",296.96236/824887.0263*100)</f>
        <v>3.6000367387521361E-2</v>
      </c>
      <c r="E66" s="42">
        <f>IF(488.068="","-",488.068/902994.40784*100)</f>
        <v>5.404994712730047E-2</v>
      </c>
      <c r="F66" s="42">
        <f>IF(OR(948466.87002="",540.10447="",296.96236=""),"-",(296.96236-540.10447)/948466.87002*100)</f>
        <v>-2.5635277065067429E-2</v>
      </c>
      <c r="G66" s="42">
        <f>IF(OR(824887.0263="",488.068="",296.96236=""),"-",(488.068-296.96236)/824887.0263*100)</f>
        <v>2.3167492505876495E-2</v>
      </c>
    </row>
    <row r="67" spans="1:7" s="14" customFormat="1" x14ac:dyDescent="0.25">
      <c r="A67" s="39" t="s">
        <v>39</v>
      </c>
      <c r="B67" s="49">
        <v>465.29104999999998</v>
      </c>
      <c r="C67" s="42">
        <f>IF(OR(1309.92535="",465.29105=""),"-",465.29105/1309.92535*100)</f>
        <v>35.520424885280676</v>
      </c>
      <c r="D67" s="42">
        <f>IF(1309.92535="","-",1309.92535/824887.0263*100)</f>
        <v>0.15880057610744847</v>
      </c>
      <c r="E67" s="42">
        <f>IF(465.29105="","-",465.29105/902994.40784*100)</f>
        <v>5.1527567165448498E-2</v>
      </c>
      <c r="F67" s="42">
        <f>IF(OR(948466.87002="",925.87868="",1309.92535=""),"-",(1309.92535-925.87868)/948466.87002*100)</f>
        <v>4.0491310992433679E-2</v>
      </c>
      <c r="G67" s="42">
        <f>IF(OR(824887.0263="",465.29105="",1309.92535=""),"-",(465.29105-1309.92535)/824887.0263*100)</f>
        <v>-0.10239393675380926</v>
      </c>
    </row>
    <row r="68" spans="1:7" s="7" customFormat="1" x14ac:dyDescent="0.25">
      <c r="A68" s="39" t="s">
        <v>36</v>
      </c>
      <c r="B68" s="49">
        <v>404.56601000000001</v>
      </c>
      <c r="C68" s="42" t="s">
        <v>20</v>
      </c>
      <c r="D68" s="42">
        <f>IF(198.17559="","-",198.17559/824887.0263*100)</f>
        <v>2.4024573509042711E-2</v>
      </c>
      <c r="E68" s="42">
        <f>IF(404.56601="","-",404.56601/902994.40784*100)</f>
        <v>4.4802714888095341E-2</v>
      </c>
      <c r="F68" s="42">
        <f>IF(OR(948466.87002="",95.93332="",198.17559=""),"-",(198.17559-95.93332)/948466.87002*100)</f>
        <v>1.0779740782916755E-2</v>
      </c>
      <c r="G68" s="42">
        <f>IF(OR(824887.0263="",404.56601="",198.17559=""),"-",(404.56601-198.17559)/824887.0263*100)</f>
        <v>2.5020446851462382E-2</v>
      </c>
    </row>
    <row r="69" spans="1:7" s="7" customFormat="1" x14ac:dyDescent="0.25">
      <c r="A69" s="39" t="s">
        <v>65</v>
      </c>
      <c r="B69" s="49">
        <v>320.46370999999999</v>
      </c>
      <c r="C69" s="42">
        <f>IF(OR(4398.10823="",320.46371=""),"-",320.46371/4398.10823*100)</f>
        <v>7.2863989070137096</v>
      </c>
      <c r="D69" s="42">
        <f>IF(4398.10823="","-",4398.10823/824887.0263*100)</f>
        <v>0.53317703997934718</v>
      </c>
      <c r="E69" s="42">
        <f>IF(320.46371="","-",320.46371/902994.40784*100)</f>
        <v>3.5489002724453461E-2</v>
      </c>
      <c r="F69" s="42">
        <f>IF(OR(948466.87002="",5115.24906="",4398.10823=""),"-",(4398.10823-5115.24906)/948466.87002*100)</f>
        <v>-7.561053028503549E-2</v>
      </c>
      <c r="G69" s="42">
        <f>IF(OR(824887.0263="",320.46371="",4398.10823=""),"-",(320.46371-4398.10823)/824887.0263*100)</f>
        <v>-0.494327633965844</v>
      </c>
    </row>
    <row r="70" spans="1:7" s="7" customFormat="1" x14ac:dyDescent="0.25">
      <c r="A70" s="39" t="s">
        <v>160</v>
      </c>
      <c r="B70" s="49">
        <v>314.57897000000003</v>
      </c>
      <c r="C70" s="42" t="s">
        <v>341</v>
      </c>
      <c r="D70" s="42">
        <f>IF(42.13654="","-",42.13654/824887.0263*100)</f>
        <v>5.1081588940732735E-3</v>
      </c>
      <c r="E70" s="42">
        <f>IF(314.57897="","-",314.57897/902994.40784*100)</f>
        <v>3.4837310980971183E-2</v>
      </c>
      <c r="F70" s="42">
        <f>IF(OR(948466.87002="",142.41387="",42.13654=""),"-",(42.13654-142.41387)/948466.87002*100)</f>
        <v>-1.0572570657938268E-2</v>
      </c>
      <c r="G70" s="42">
        <f>IF(OR(824887.0263="",314.57897="",42.13654=""),"-",(314.57897-42.13654)/824887.0263*100)</f>
        <v>3.3027847609875795E-2</v>
      </c>
    </row>
    <row r="71" spans="1:7" s="7" customFormat="1" x14ac:dyDescent="0.25">
      <c r="A71" s="39" t="s">
        <v>137</v>
      </c>
      <c r="B71" s="49">
        <v>305.84127000000001</v>
      </c>
      <c r="C71" s="42" t="s">
        <v>342</v>
      </c>
      <c r="D71" s="42">
        <f>IF(25.28671="","-",25.28671/824887.0263*100)</f>
        <v>3.0654755371074985E-3</v>
      </c>
      <c r="E71" s="42">
        <f>IF(305.84127="","-",305.84127/902994.40784*100)</f>
        <v>3.3869674866712073E-2</v>
      </c>
      <c r="F71" s="42">
        <f>IF(OR(948466.87002="",98.70973="",25.28671=""),"-",(25.28671-98.70973)/948466.87002*100)</f>
        <v>-7.7412319102354889E-3</v>
      </c>
      <c r="G71" s="42">
        <f>IF(OR(824887.0263="",305.84127="",25.28671=""),"-",(305.84127-25.28671)/824887.0263*100)</f>
        <v>3.4011270762545148E-2</v>
      </c>
    </row>
    <row r="72" spans="1:7" s="7" customFormat="1" x14ac:dyDescent="0.25">
      <c r="A72" s="39" t="s">
        <v>83</v>
      </c>
      <c r="B72" s="49">
        <v>303.34928000000002</v>
      </c>
      <c r="C72" s="42" t="s">
        <v>236</v>
      </c>
      <c r="D72" s="42">
        <f>IF(130.95927="","-",130.95927/824887.0263*100)</f>
        <v>1.5876024937307224E-2</v>
      </c>
      <c r="E72" s="42">
        <f>IF(303.34928="","-",303.34928/902994.40784*100)</f>
        <v>3.3593705272840405E-2</v>
      </c>
      <c r="F72" s="42">
        <f>IF(OR(948466.87002="",542.71609="",130.95927=""),"-",(130.95927-542.71609)/948466.87002*100)</f>
        <v>-4.3412883782784885E-2</v>
      </c>
      <c r="G72" s="42">
        <f>IF(OR(824887.0263="",303.34928="",130.95927=""),"-",(303.34928-130.95927)/824887.0263*100)</f>
        <v>2.0898620599386679E-2</v>
      </c>
    </row>
    <row r="73" spans="1:7" s="7" customFormat="1" x14ac:dyDescent="0.25">
      <c r="A73" s="39" t="s">
        <v>157</v>
      </c>
      <c r="B73" s="49">
        <v>299.39999999999998</v>
      </c>
      <c r="C73" s="42" t="s">
        <v>343</v>
      </c>
      <c r="D73" s="42">
        <f>IF(66.8448="","-",66.8448/824887.0263*100)</f>
        <v>8.1035096769347757E-3</v>
      </c>
      <c r="E73" s="42">
        <f>IF(299.4="","-",299.4/902994.40784*100)</f>
        <v>3.3156351512317467E-2</v>
      </c>
      <c r="F73" s="42" t="str">
        <f>IF(OR(948466.87002="",""="",66.8448=""),"-",(66.8448-"")/948466.87002*100)</f>
        <v>-</v>
      </c>
      <c r="G73" s="42">
        <f>IF(OR(824887.0263="",299.4="",66.8448=""),"-",(299.4-66.8448)/824887.0263*100)</f>
        <v>2.819236969250415E-2</v>
      </c>
    </row>
    <row r="74" spans="1:7" s="7" customFormat="1" x14ac:dyDescent="0.25">
      <c r="A74" s="39" t="s">
        <v>88</v>
      </c>
      <c r="B74" s="49">
        <v>296.44179000000003</v>
      </c>
      <c r="C74" s="42" t="s">
        <v>344</v>
      </c>
      <c r="D74" s="42">
        <f>IF(10.25096="","-",10.25096/824887.0263*100)</f>
        <v>1.2427107801634724E-3</v>
      </c>
      <c r="E74" s="42">
        <f>IF(296.44179="","-",296.44179/902994.40784*100)</f>
        <v>3.2828751476889108E-2</v>
      </c>
      <c r="F74" s="42" t="str">
        <f>IF(OR(948466.87002="",""="",10.25096=""),"-",(10.25096-"")/948466.87002*100)</f>
        <v>-</v>
      </c>
      <c r="G74" s="42">
        <f>IF(OR(824887.0263="",296.44179="",10.25096=""),"-",(296.44179-10.25096)/824887.0263*100)</f>
        <v>3.4694548571541764E-2</v>
      </c>
    </row>
    <row r="75" spans="1:7" s="7" customFormat="1" x14ac:dyDescent="0.25">
      <c r="A75" s="39" t="s">
        <v>75</v>
      </c>
      <c r="B75" s="49">
        <v>286.26648999999998</v>
      </c>
      <c r="C75" s="42" t="s">
        <v>105</v>
      </c>
      <c r="D75" s="42">
        <f>IF(151.7808="","-",151.7808/824887.0263*100)</f>
        <v>1.8400192409475404E-2</v>
      </c>
      <c r="E75" s="42">
        <f>IF(286.26649="","-",286.26649/902994.40784*100)</f>
        <v>3.1701911718895498E-2</v>
      </c>
      <c r="F75" s="42">
        <f>IF(OR(948466.87002="",1037.22968="",151.7808=""),"-",(151.7808-1037.22968)/948466.87002*100)</f>
        <v>-9.335580482440349E-2</v>
      </c>
      <c r="G75" s="42">
        <f>IF(OR(824887.0263="",286.26649="",151.7808=""),"-",(286.26649-151.7808)/824887.0263*100)</f>
        <v>1.6303528327173543E-2</v>
      </c>
    </row>
    <row r="76" spans="1:7" s="7" customFormat="1" x14ac:dyDescent="0.25">
      <c r="A76" s="39" t="s">
        <v>101</v>
      </c>
      <c r="B76" s="49">
        <v>221.38569000000001</v>
      </c>
      <c r="C76" s="42" t="s">
        <v>241</v>
      </c>
      <c r="D76" s="42">
        <f>IF(68.48415="","-",68.48415/824887.0263*100)</f>
        <v>8.3022459823599241E-3</v>
      </c>
      <c r="E76" s="42">
        <f>IF(221.38569="","-",221.38569/902994.40784*100)</f>
        <v>2.4516839537197549E-2</v>
      </c>
      <c r="F76" s="42">
        <f>IF(OR(948466.87002="",220.02423="",68.48415=""),"-",(68.48415-220.02423)/948466.87002*100)</f>
        <v>-1.5977371987363619E-2</v>
      </c>
      <c r="G76" s="42">
        <f>IF(OR(824887.0263="",221.38569="",68.48415=""),"-",(221.38569-68.48415)/824887.0263*100)</f>
        <v>1.8536058287379566E-2</v>
      </c>
    </row>
    <row r="77" spans="1:7" x14ac:dyDescent="0.25">
      <c r="A77" s="39" t="s">
        <v>72</v>
      </c>
      <c r="B77" s="49">
        <v>217.04541</v>
      </c>
      <c r="C77" s="42">
        <f>IF(OR(309.28081="",217.04541=""),"-",217.04541/309.28081*100)</f>
        <v>70.177457825462895</v>
      </c>
      <c r="D77" s="42">
        <f>IF(309.28081="","-",309.28081/824887.0263*100)</f>
        <v>3.7493717338150837E-2</v>
      </c>
      <c r="E77" s="42">
        <f>IF(217.04541="","-",217.04541/902994.40784*100)</f>
        <v>2.4036185397779106E-2</v>
      </c>
      <c r="F77" s="42">
        <f>IF(OR(948466.87002="",395.93959="",309.28081=""),"-",(309.28081-395.93959)/948466.87002*100)</f>
        <v>-9.1367218760284898E-3</v>
      </c>
      <c r="G77" s="42">
        <f>IF(OR(824887.0263="",217.04541="",309.28081=""),"-",(217.04541-309.28081)/824887.0263*100)</f>
        <v>-1.1181579665971766E-2</v>
      </c>
    </row>
    <row r="78" spans="1:7" x14ac:dyDescent="0.25">
      <c r="A78" s="39" t="s">
        <v>38</v>
      </c>
      <c r="B78" s="49">
        <v>211.57198</v>
      </c>
      <c r="C78" s="42">
        <f>IF(OR(191.17765="",211.57198=""),"-",211.57198/191.17765*100)</f>
        <v>110.66773757288051</v>
      </c>
      <c r="D78" s="42">
        <f>IF(191.17765="","-",191.17765/824887.0263*100)</f>
        <v>2.3176222186148353E-2</v>
      </c>
      <c r="E78" s="42">
        <f>IF(211.57198="","-",211.57198/902994.40784*100)</f>
        <v>2.3430043216556447E-2</v>
      </c>
      <c r="F78" s="42">
        <f>IF(OR(948466.87002="",413.12635="",191.17765=""),"-",(191.17765-413.12635)/948466.87002*100)</f>
        <v>-2.3400785732802645E-2</v>
      </c>
      <c r="G78" s="42">
        <f>IF(OR(824887.0263="",211.57198="",191.17765=""),"-",(211.57198-191.17765)/824887.0263*100)</f>
        <v>2.4723785621260166E-3</v>
      </c>
    </row>
    <row r="79" spans="1:7" x14ac:dyDescent="0.25">
      <c r="A79" s="39" t="s">
        <v>91</v>
      </c>
      <c r="B79" s="49">
        <v>196.21935999999999</v>
      </c>
      <c r="C79" s="42" t="s">
        <v>345</v>
      </c>
      <c r="D79" s="42">
        <f>IF(32.50811="","-",32.50811/824887.0263*100)</f>
        <v>3.9409166302219484E-3</v>
      </c>
      <c r="E79" s="42">
        <f>IF(196.21936="","-",196.21936/902994.40784*100)</f>
        <v>2.1729853285510907E-2</v>
      </c>
      <c r="F79" s="42">
        <f>IF(OR(948466.87002="",1152.32054="",32.50811=""),"-",(32.50811-1152.32054)/948466.87002*100)</f>
        <v>-0.11806552926581261</v>
      </c>
      <c r="G79" s="42">
        <f>IF(OR(824887.0263="",196.21936="",32.50811=""),"-",(196.21936-32.50811)/824887.0263*100)</f>
        <v>1.9846505615965463E-2</v>
      </c>
    </row>
    <row r="80" spans="1:7" x14ac:dyDescent="0.25">
      <c r="A80" s="39" t="s">
        <v>141</v>
      </c>
      <c r="B80" s="49">
        <v>182.67859999999999</v>
      </c>
      <c r="C80" s="42" t="s">
        <v>246</v>
      </c>
      <c r="D80" s="42">
        <f>IF(50.18097="","-",50.18097/824887.0263*100)</f>
        <v>6.0833748622626388E-3</v>
      </c>
      <c r="E80" s="42">
        <f>IF(182.6786="","-",182.6786/902994.40784*100)</f>
        <v>2.0230313545016827E-2</v>
      </c>
      <c r="F80" s="42" t="str">
        <f>IF(OR(948466.87002="",""="",50.18097=""),"-",(50.18097-"")/948466.87002*100)</f>
        <v>-</v>
      </c>
      <c r="G80" s="42">
        <f>IF(OR(824887.0263="",182.6786="",50.18097=""),"-",(182.6786-50.18097)/824887.0263*100)</f>
        <v>1.6062518354096701E-2</v>
      </c>
    </row>
    <row r="81" spans="1:7" x14ac:dyDescent="0.25">
      <c r="A81" s="39" t="s">
        <v>102</v>
      </c>
      <c r="B81" s="49">
        <v>169.69425000000001</v>
      </c>
      <c r="C81" s="42">
        <f>IF(OR(146.13724="",169.69425=""),"-",169.69425/146.13724*100)</f>
        <v>116.11978575755231</v>
      </c>
      <c r="D81" s="42">
        <f>IF(146.13724="","-",146.13724/824887.0263*100)</f>
        <v>1.7716030843095344E-2</v>
      </c>
      <c r="E81" s="42">
        <f>IF(169.69425="","-",169.69425/902994.40784*100)</f>
        <v>1.8792392126316226E-2</v>
      </c>
      <c r="F81" s="42">
        <f>IF(OR(948466.87002="",68.63161="",146.13724=""),"-",(146.13724-68.63161)/948466.87002*100)</f>
        <v>8.171674989382146E-3</v>
      </c>
      <c r="G81" s="42">
        <f>IF(OR(824887.0263="",169.69425="",146.13724=""),"-",(169.69425-146.13724)/824887.0263*100)</f>
        <v>2.8557862166488555E-3</v>
      </c>
    </row>
    <row r="82" spans="1:7" x14ac:dyDescent="0.25">
      <c r="A82" s="39" t="s">
        <v>96</v>
      </c>
      <c r="B82" s="49">
        <v>168.99047999999999</v>
      </c>
      <c r="C82" s="42">
        <f>IF(OR(159.60595="",168.99048=""),"-",168.99048/159.60595*100)</f>
        <v>105.8798121247986</v>
      </c>
      <c r="D82" s="42">
        <f>IF(159.60595="","-",159.60595/824887.0263*100)</f>
        <v>1.9348825343502678E-2</v>
      </c>
      <c r="E82" s="42">
        <f>IF(168.99048="","-",168.99048/902994.40784*100)</f>
        <v>1.8714454766584013E-2</v>
      </c>
      <c r="F82" s="42">
        <f>IF(OR(948466.87002="",248.77491="",159.60595=""),"-",(159.60595-248.77491)/948466.87002*100)</f>
        <v>-9.4013784580709407E-3</v>
      </c>
      <c r="G82" s="42">
        <f>IF(OR(824887.0263="",168.99048="",159.60595=""),"-",(168.99048-159.60595)/824887.0263*100)</f>
        <v>1.137674578553374E-3</v>
      </c>
    </row>
    <row r="83" spans="1:7" x14ac:dyDescent="0.25">
      <c r="A83" s="39" t="s">
        <v>152</v>
      </c>
      <c r="B83" s="49">
        <v>168.98978</v>
      </c>
      <c r="C83" s="42" t="s">
        <v>20</v>
      </c>
      <c r="D83" s="42">
        <f>IF(86.20905="","-",86.20905/824887.0263*100)</f>
        <v>1.0451012957093952E-2</v>
      </c>
      <c r="E83" s="42">
        <f>IF(168.98978="","-",168.98978/902994.40784*100)</f>
        <v>1.87143772467241E-2</v>
      </c>
      <c r="F83" s="42">
        <f>IF(OR(948466.87002="",82.78842="",86.20905=""),"-",(86.20905-82.78842)/948466.87002*100)</f>
        <v>3.6064833766179656E-4</v>
      </c>
      <c r="G83" s="42">
        <f>IF(OR(824887.0263="",168.98978="",86.20905=""),"-",(168.98978-86.20905)/824887.0263*100)</f>
        <v>1.0035402104856693E-2</v>
      </c>
    </row>
    <row r="84" spans="1:7" x14ac:dyDescent="0.25">
      <c r="A84" s="39" t="s">
        <v>135</v>
      </c>
      <c r="B84" s="49">
        <v>164.81958</v>
      </c>
      <c r="C84" s="42">
        <f>IF(OR(245.97432="",164.81958=""),"-",164.81958/245.97432*100)</f>
        <v>67.006824127006425</v>
      </c>
      <c r="D84" s="42">
        <f>IF(245.97432="","-",245.97432/824887.0263*100)</f>
        <v>2.9819152460587073E-2</v>
      </c>
      <c r="E84" s="42">
        <f>IF(164.81958="","-",164.81958/902994.40784*100)</f>
        <v>1.8252558218411923E-2</v>
      </c>
      <c r="F84" s="42" t="str">
        <f>IF(OR(948466.87002="",""="",245.97432=""),"-",(245.97432-"")/948466.87002*100)</f>
        <v>-</v>
      </c>
      <c r="G84" s="42">
        <f>IF(OR(824887.0263="",164.81958="",245.97432=""),"-",(164.81958-245.97432)/824887.0263*100)</f>
        <v>-9.8382854151575841E-3</v>
      </c>
    </row>
    <row r="85" spans="1:7" x14ac:dyDescent="0.25">
      <c r="A85" s="39" t="s">
        <v>235</v>
      </c>
      <c r="B85" s="49">
        <v>162.96404999999999</v>
      </c>
      <c r="C85" s="42" t="str">
        <f>IF(OR(""="",162.96405=""),"-",162.96405/""*100)</f>
        <v>-</v>
      </c>
      <c r="D85" s="42" t="str">
        <f>IF(""="","-",""/824887.0263*100)</f>
        <v>-</v>
      </c>
      <c r="E85" s="42">
        <f>IF(162.96405="","-",162.96405/902994.40784*100)</f>
        <v>1.8047071896028319E-2</v>
      </c>
      <c r="F85" s="42" t="str">
        <f>IF(OR(948466.87002="",223.62437="",""=""),"-",(""-223.62437)/948466.87002*100)</f>
        <v>-</v>
      </c>
      <c r="G85" s="42" t="str">
        <f>IF(OR(824887.0263="",162.96405="",""=""),"-",(162.96405-"")/824887.0263*100)</f>
        <v>-</v>
      </c>
    </row>
    <row r="86" spans="1:7" x14ac:dyDescent="0.25">
      <c r="A86" s="39" t="s">
        <v>131</v>
      </c>
      <c r="B86" s="49">
        <v>140.52190999999999</v>
      </c>
      <c r="C86" s="42">
        <f>IF(OR(219.08243="",140.52191=""),"-",140.52191/219.08243*100)</f>
        <v>64.141113461266613</v>
      </c>
      <c r="D86" s="42">
        <f>IF(219.08243="","-",219.08243/824887.0263*100)</f>
        <v>2.6559083003485466E-2</v>
      </c>
      <c r="E86" s="42">
        <f>IF(140.52191="","-",140.52191/902994.40784*100)</f>
        <v>1.5561769683173811E-2</v>
      </c>
      <c r="F86" s="42">
        <f>IF(OR(948466.87002="",89.84425="",219.08243=""),"-",(219.08243-89.84425)/948466.87002*100)</f>
        <v>1.3626008887086883E-2</v>
      </c>
      <c r="G86" s="42">
        <f>IF(OR(824887.0263="",140.52191="",219.08243=""),"-",(140.52191-219.08243)/824887.0263*100)</f>
        <v>-9.5237914399478769E-3</v>
      </c>
    </row>
    <row r="87" spans="1:7" x14ac:dyDescent="0.25">
      <c r="A87" s="39" t="s">
        <v>67</v>
      </c>
      <c r="B87" s="49">
        <v>133.19958</v>
      </c>
      <c r="C87" s="42">
        <f>IF(OR(1515.65933="",133.19958=""),"-",133.19958/1515.65933*100)</f>
        <v>8.7882268372273344</v>
      </c>
      <c r="D87" s="42">
        <f>IF(1515.65933="","-",1515.65933/824887.0263*100)</f>
        <v>0.18374144357663535</v>
      </c>
      <c r="E87" s="42">
        <f>IF(133.19958="","-",133.19958/902994.40784*100)</f>
        <v>1.4750875403383604E-2</v>
      </c>
      <c r="F87" s="42">
        <f>IF(OR(948466.87002="",22.26872="",1515.65933=""),"-",(1515.65933-22.26872)/948466.87002*100)</f>
        <v>0.15745311272374851</v>
      </c>
      <c r="G87" s="42">
        <f>IF(OR(824887.0263="",133.19958="",1515.65933=""),"-",(133.19958-1515.65933)/824887.0263*100)</f>
        <v>-0.1675938287211246</v>
      </c>
    </row>
    <row r="88" spans="1:7" x14ac:dyDescent="0.25">
      <c r="A88" s="39" t="s">
        <v>93</v>
      </c>
      <c r="B88" s="49">
        <v>125.90409</v>
      </c>
      <c r="C88" s="42">
        <f>IF(OR(359.55392="",125.90409=""),"-",125.90409/359.55392*100)</f>
        <v>35.016747974823915</v>
      </c>
      <c r="D88" s="42">
        <f>IF(359.55392="","-",359.55392/824887.0263*100)</f>
        <v>4.3588262214859369E-2</v>
      </c>
      <c r="E88" s="42">
        <f>IF(125.90409="","-",125.90409/902994.40784*100)</f>
        <v>1.3942953456507864E-2</v>
      </c>
      <c r="F88" s="42">
        <f>IF(OR(948466.87002="",25.90083="",359.55392=""),"-",(359.55392-25.90083)/948466.87002*100)</f>
        <v>3.5178149131657531E-2</v>
      </c>
      <c r="G88" s="42">
        <f>IF(OR(824887.0263="",125.90409="",359.55392=""),"-",(125.90409-359.55392)/824887.0263*100)</f>
        <v>-2.8325070288476663E-2</v>
      </c>
    </row>
    <row r="89" spans="1:7" x14ac:dyDescent="0.25">
      <c r="A89" s="39" t="s">
        <v>70</v>
      </c>
      <c r="B89" s="49">
        <v>121.87053</v>
      </c>
      <c r="C89" s="42">
        <f>IF(OR(653.94852="",121.87053=""),"-",121.87053/653.94852*100)</f>
        <v>18.636104566763144</v>
      </c>
      <c r="D89" s="42">
        <f>IF(653.94852="","-",653.94852/824887.0263*100)</f>
        <v>7.9277343339155384E-2</v>
      </c>
      <c r="E89" s="42">
        <f>IF(121.87053="","-",121.87053/902994.40784*100)</f>
        <v>1.3496266304851141E-2</v>
      </c>
      <c r="F89" s="42">
        <f>IF(OR(948466.87002="",47.17183="",653.94852=""),"-",(653.94852-47.17183)/948466.87002*100)</f>
        <v>6.3974473877743895E-2</v>
      </c>
      <c r="G89" s="42">
        <f>IF(OR(824887.0263="",121.87053="",653.94852=""),"-",(121.87053-653.94852)/824887.0263*100)</f>
        <v>-6.4503134736718551E-2</v>
      </c>
    </row>
    <row r="90" spans="1:7" x14ac:dyDescent="0.25">
      <c r="A90" s="39" t="s">
        <v>69</v>
      </c>
      <c r="B90" s="49">
        <v>110.86398</v>
      </c>
      <c r="C90" s="42" t="s">
        <v>346</v>
      </c>
      <c r="D90" s="42">
        <f>IF(1.8532="","-",1.8532/824887.0263*100)</f>
        <v>2.2466106762673423E-4</v>
      </c>
      <c r="E90" s="42">
        <f>IF(110.86398="","-",110.86398/902994.40784*100)</f>
        <v>1.2277371713208194E-2</v>
      </c>
      <c r="F90" s="42">
        <f>IF(OR(948466.87002="",144.72726="",1.8532=""),"-",(1.8532-144.72726)/948466.87002*100)</f>
        <v>-1.5063684828230981E-2</v>
      </c>
      <c r="G90" s="42">
        <f>IF(OR(824887.0263="",110.86398="",1.8532=""),"-",(110.86398-1.8532)/824887.0263*100)</f>
        <v>1.3215237544583988E-2</v>
      </c>
    </row>
    <row r="91" spans="1:7" x14ac:dyDescent="0.25">
      <c r="A91" s="39" t="s">
        <v>132</v>
      </c>
      <c r="B91" s="49">
        <v>95.292249999999996</v>
      </c>
      <c r="C91" s="42">
        <f>IF(OR(129.00573="",95.29225=""),"-",95.29225/129.00573*100)</f>
        <v>73.866680185446015</v>
      </c>
      <c r="D91" s="42">
        <f>IF(129.00573="","-",129.00573/824887.0263*100)</f>
        <v>1.5639199779714126E-2</v>
      </c>
      <c r="E91" s="42">
        <f>IF(95.29225="","-",95.29225/902994.40784*100)</f>
        <v>1.0552916958582612E-2</v>
      </c>
      <c r="F91" s="42">
        <f>IF(OR(948466.87002="",178.00746="",129.00573=""),"-",(129.00573-178.00746)/948466.87002*100)</f>
        <v>-5.1664145105001632E-3</v>
      </c>
      <c r="G91" s="42">
        <f>IF(OR(824887.0263="",95.29225="",129.00573=""),"-",(95.29225-129.00573)/824887.0263*100)</f>
        <v>-4.0870420948697127E-3</v>
      </c>
    </row>
    <row r="92" spans="1:7" x14ac:dyDescent="0.25">
      <c r="A92" s="39" t="s">
        <v>85</v>
      </c>
      <c r="B92" s="49">
        <v>85.816090000000003</v>
      </c>
      <c r="C92" s="42">
        <f>IF(OR(509.38636="",85.81609=""),"-",85.81609/509.38636*100)</f>
        <v>16.846954834047775</v>
      </c>
      <c r="D92" s="42">
        <f>IF(509.38636="","-",509.38636/824887.0263*100)</f>
        <v>6.1752257431521691E-2</v>
      </c>
      <c r="E92" s="42">
        <f>IF(85.81609="","-",85.81609/902994.40784*100)</f>
        <v>9.5035018218192126E-3</v>
      </c>
      <c r="F92" s="42">
        <f>IF(OR(948466.87002="",1085.68084="",509.38636=""),"-",(509.38636-1085.68084)/948466.87002*100)</f>
        <v>-6.0760633630550308E-2</v>
      </c>
      <c r="G92" s="42">
        <f>IF(OR(824887.0263="",85.81609="",509.38636=""),"-",(85.81609-509.38636)/824887.0263*100)</f>
        <v>-5.134888251302832E-2</v>
      </c>
    </row>
    <row r="93" spans="1:7" x14ac:dyDescent="0.25">
      <c r="A93" s="39" t="s">
        <v>349</v>
      </c>
      <c r="B93" s="49">
        <v>70.539510000000007</v>
      </c>
      <c r="C93" s="42" t="str">
        <f>IF(OR(""="",70.53951=""),"-",70.53951/""*100)</f>
        <v>-</v>
      </c>
      <c r="D93" s="42" t="str">
        <f>IF(""="","-",""/824887.0263*100)</f>
        <v>-</v>
      </c>
      <c r="E93" s="42">
        <f>IF(70.53951="","-",70.53951/902994.40784*100)</f>
        <v>7.8117327624136054E-3</v>
      </c>
      <c r="F93" s="42" t="str">
        <f>IF(OR(948466.87002="",""="",""=""),"-",(""-"")/948466.87002*100)</f>
        <v>-</v>
      </c>
      <c r="G93" s="42" t="str">
        <f>IF(OR(824887.0263="",70.53951="",""=""),"-",(70.53951-"")/824887.0263*100)</f>
        <v>-</v>
      </c>
    </row>
    <row r="94" spans="1:7" x14ac:dyDescent="0.25">
      <c r="A94" s="39" t="s">
        <v>243</v>
      </c>
      <c r="B94" s="49">
        <v>66.366720000000001</v>
      </c>
      <c r="C94" s="42">
        <f>IF(OR(71.04353="",66.36672=""),"-",66.36672/71.04353*100)</f>
        <v>93.416979702444408</v>
      </c>
      <c r="D94" s="42">
        <f>IF(71.04353="","-",71.04353/824887.0263*100)</f>
        <v>8.6125163488948425E-3</v>
      </c>
      <c r="E94" s="42">
        <f>IF(66.36672="","-",66.36672/902994.40784*100)</f>
        <v>7.3496269106197399E-3</v>
      </c>
      <c r="F94" s="42">
        <f>IF(OR(948466.87002="",2432.16442="",71.04353=""),"-",(71.04353-2432.16442)/948466.87002*100)</f>
        <v>-0.24894078693019736</v>
      </c>
      <c r="G94" s="42">
        <f>IF(OR(824887.0263="",66.36672="",71.04353=""),"-",(66.36672-71.04353)/824887.0263*100)</f>
        <v>-5.6696369937804211E-4</v>
      </c>
    </row>
    <row r="95" spans="1:7" x14ac:dyDescent="0.25">
      <c r="A95" s="39" t="s">
        <v>338</v>
      </c>
      <c r="B95" s="49">
        <v>60.503999999999998</v>
      </c>
      <c r="C95" s="42">
        <f>IF(OR(64.848="",60.504=""),"-",60.504/64.848*100)</f>
        <v>93.301258327165058</v>
      </c>
      <c r="D95" s="42">
        <f>IF(64.848="","-",64.848/824887.0263*100)</f>
        <v>7.8614401648275743E-3</v>
      </c>
      <c r="E95" s="42">
        <f>IF(60.504="","-",60.504/902994.40784*100)</f>
        <v>6.7003737204450776E-3</v>
      </c>
      <c r="F95" s="42">
        <f>IF(OR(948466.87002="",23.32711="",64.848=""),"-",(64.848-23.32711)/948466.87002*100)</f>
        <v>4.3776847997995397E-3</v>
      </c>
      <c r="G95" s="42">
        <f>IF(OR(824887.0263="",60.504="",64.848=""),"-",(60.504-64.848)/824887.0263*100)</f>
        <v>-5.2661756840628846E-4</v>
      </c>
    </row>
    <row r="96" spans="1:7" x14ac:dyDescent="0.25">
      <c r="A96" s="39" t="s">
        <v>107</v>
      </c>
      <c r="B96" s="49">
        <v>60.374099999999999</v>
      </c>
      <c r="C96" s="42">
        <f>IF(OR(85.0699="",60.3741=""),"-",60.3741/85.0699*100)</f>
        <v>70.969990560703593</v>
      </c>
      <c r="D96" s="42">
        <f>IF(85.0699="","-",85.0699/824887.0263*100)</f>
        <v>1.0312915258417613E-2</v>
      </c>
      <c r="E96" s="42">
        <f>IF(60.3741="","-",60.3741/902994.40784*100)</f>
        <v>6.6859882492979498E-3</v>
      </c>
      <c r="F96" s="42">
        <f>IF(OR(948466.87002="",157.5047="",85.0699=""),"-",(85.0699-157.5047)/948466.87002*100)</f>
        <v>-7.6370406062230296E-3</v>
      </c>
      <c r="G96" s="42">
        <f>IF(OR(824887.0263="",60.3741="",85.0699=""),"-",(60.3741-85.0699)/824887.0263*100)</f>
        <v>-2.9938402729852713E-3</v>
      </c>
    </row>
    <row r="97" spans="1:7" x14ac:dyDescent="0.25">
      <c r="A97" s="39" t="s">
        <v>242</v>
      </c>
      <c r="B97" s="49">
        <v>59.071559999999998</v>
      </c>
      <c r="C97" s="42" t="s">
        <v>347</v>
      </c>
      <c r="D97" s="42">
        <f>IF(11.98348="","-",11.98348/824887.0263*100)</f>
        <v>1.4527419656181833E-3</v>
      </c>
      <c r="E97" s="42">
        <f>IF(59.07156="","-",59.07156/902994.40784*100)</f>
        <v>6.5417415088208147E-3</v>
      </c>
      <c r="F97" s="42">
        <f>IF(OR(948466.87002="",8.71721="",11.98348=""),"-",(11.98348-8.71721)/948466.87002*100)</f>
        <v>3.4437365217945099E-4</v>
      </c>
      <c r="G97" s="42">
        <f>IF(OR(824887.0263="",59.07156="",11.98348=""),"-",(59.07156-11.98348)/824887.0263*100)</f>
        <v>5.7084277602487974E-3</v>
      </c>
    </row>
    <row r="98" spans="1:7" x14ac:dyDescent="0.25">
      <c r="A98" s="39" t="s">
        <v>86</v>
      </c>
      <c r="B98" s="49">
        <v>56.953060000000001</v>
      </c>
      <c r="C98" s="42">
        <f>IF(OR(244.79303="",56.95306=""),"-",56.95306/244.79303*100)</f>
        <v>23.265801317954192</v>
      </c>
      <c r="D98" s="42">
        <f>IF(244.79303="","-",244.79303/824887.0263*100)</f>
        <v>2.9675946183565279E-2</v>
      </c>
      <c r="E98" s="42">
        <f>IF(56.95306="","-",56.95306/902994.40784*100)</f>
        <v>6.3071331899201988E-3</v>
      </c>
      <c r="F98" s="42">
        <f>IF(OR(948466.87002="",2.12515="",244.79303=""),"-",(244.79303-2.12515)/948466.87002*100)</f>
        <v>2.5585277427231899E-2</v>
      </c>
      <c r="G98" s="42">
        <f>IF(OR(824887.0263="",56.95306="",244.79303=""),"-",(56.95306-244.79303)/824887.0263*100)</f>
        <v>-2.2771599505273972E-2</v>
      </c>
    </row>
    <row r="99" spans="1:7" x14ac:dyDescent="0.25">
      <c r="A99" s="39" t="s">
        <v>78</v>
      </c>
      <c r="B99" s="49">
        <v>46.902929999999998</v>
      </c>
      <c r="C99" s="42">
        <f>IF(OR(67.26986="",46.90293=""),"-",46.90293/67.26986*100)</f>
        <v>69.7235433521045</v>
      </c>
      <c r="D99" s="42">
        <f>IF(67.26986="","-",67.26986/824887.0263*100)</f>
        <v>8.1550391575118397E-3</v>
      </c>
      <c r="E99" s="42">
        <f>IF(46.90293="","-",46.90293/902994.40784*100)</f>
        <v>5.1941550903060124E-3</v>
      </c>
      <c r="F99" s="42">
        <f>IF(OR(948466.87002="",37.5515="",67.26986=""),"-",(67.26986-37.5515)/948466.87002*100)</f>
        <v>3.1333050145835178E-3</v>
      </c>
      <c r="G99" s="42">
        <f>IF(OR(824887.0263="",46.90293="",67.26986=""),"-",(46.90293-67.26986)/824887.0263*100)</f>
        <v>-2.4690568951429752E-3</v>
      </c>
    </row>
    <row r="100" spans="1:7" x14ac:dyDescent="0.25">
      <c r="A100" s="45" t="s">
        <v>74</v>
      </c>
      <c r="B100" s="88">
        <v>45.75</v>
      </c>
      <c r="C100" s="44">
        <f>IF(OR(42.02936="",45.75=""),"-",45.75/42.02936*100)</f>
        <v>108.85247836274452</v>
      </c>
      <c r="D100" s="44">
        <f>IF(42.02936="","-",42.02936/824887.0263*100)</f>
        <v>5.0951655996483687E-3</v>
      </c>
      <c r="E100" s="44">
        <f>IF(45.75="","-",45.75/902994.40784*100)</f>
        <v>5.0664765587459058E-3</v>
      </c>
      <c r="F100" s="44">
        <f>IF(OR(948466.87002="",454.88621="",42.02936=""),"-",(42.02936-454.88621)/948466.87002*100)</f>
        <v>-4.3528863585007904E-2</v>
      </c>
      <c r="G100" s="44">
        <f>IF(OR(824887.0263="",45.75="",42.02936=""),"-",(45.75-42.02936)/824887.0263*100)</f>
        <v>4.5104843225487437E-4</v>
      </c>
    </row>
    <row r="101" spans="1:7" x14ac:dyDescent="0.25">
      <c r="A101" s="46" t="s">
        <v>90</v>
      </c>
      <c r="B101" s="87">
        <v>45.109529999999999</v>
      </c>
      <c r="C101" s="43">
        <f>IF(OR(44.77231="",45.10953=""),"-",45.10953/44.77231*100)</f>
        <v>100.75318874545451</v>
      </c>
      <c r="D101" s="43">
        <f>IF(44.77231="","-",44.77231/824887.0263*100)</f>
        <v>5.4276899226824455E-3</v>
      </c>
      <c r="E101" s="43">
        <f>IF(45.10953="","-",45.10953/902994.40784*100)</f>
        <v>4.9955492092031732E-3</v>
      </c>
      <c r="F101" s="43">
        <f>IF(OR(948466.87002="",37.52855="",44.77231=""),"-",(44.77231-37.52855)/948466.87002*100)</f>
        <v>7.6373358194865024E-4</v>
      </c>
      <c r="G101" s="43">
        <f>IF(OR(824887.0263="",45.10953="",44.77231=""),"-",(45.10953-44.77231)/824887.0263*100)</f>
        <v>4.0880749635812533E-5</v>
      </c>
    </row>
    <row r="102" spans="1:7" x14ac:dyDescent="0.25">
      <c r="A102" s="78" t="s">
        <v>328</v>
      </c>
      <c r="B102" s="79"/>
      <c r="C102" s="79"/>
      <c r="D102" s="79"/>
      <c r="E102" s="79"/>
    </row>
    <row r="103" spans="1:7" x14ac:dyDescent="0.25">
      <c r="A103" s="108" t="s">
        <v>367</v>
      </c>
      <c r="B103" s="108"/>
      <c r="C103" s="108"/>
      <c r="D103" s="108"/>
      <c r="E103" s="108"/>
    </row>
  </sheetData>
  <mergeCells count="10">
    <mergeCell ref="A103:E103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2"/>
  <sheetViews>
    <sheetView zoomScaleNormal="100" workbookViewId="0">
      <selection activeCell="J23" sqref="J23"/>
    </sheetView>
  </sheetViews>
  <sheetFormatPr defaultRowHeight="15.75" x14ac:dyDescent="0.25"/>
  <cols>
    <col min="1" max="1" width="30.375" customWidth="1"/>
    <col min="2" max="2" width="12.625" customWidth="1"/>
    <col min="3" max="3" width="10.25" customWidth="1"/>
    <col min="4" max="5" width="8.5" customWidth="1"/>
    <col min="6" max="6" width="9.625" customWidth="1"/>
    <col min="7" max="7" width="10.125" customWidth="1"/>
  </cols>
  <sheetData>
    <row r="1" spans="1:7" x14ac:dyDescent="0.25">
      <c r="A1" s="122" t="s">
        <v>146</v>
      </c>
      <c r="B1" s="122"/>
      <c r="C1" s="122"/>
      <c r="D1" s="122"/>
      <c r="E1" s="122"/>
      <c r="F1" s="122"/>
      <c r="G1" s="122"/>
    </row>
    <row r="2" spans="1:7" x14ac:dyDescent="0.25">
      <c r="A2" s="2"/>
    </row>
    <row r="3" spans="1:7" ht="55.5" customHeight="1" x14ac:dyDescent="0.25">
      <c r="A3" s="110"/>
      <c r="B3" s="113" t="s">
        <v>329</v>
      </c>
      <c r="C3" s="114"/>
      <c r="D3" s="113" t="s">
        <v>108</v>
      </c>
      <c r="E3" s="114"/>
      <c r="F3" s="115" t="s">
        <v>120</v>
      </c>
      <c r="G3" s="116"/>
    </row>
    <row r="4" spans="1:7" ht="21" customHeight="1" x14ac:dyDescent="0.25">
      <c r="A4" s="111"/>
      <c r="B4" s="117" t="s">
        <v>372</v>
      </c>
      <c r="C4" s="119" t="s">
        <v>335</v>
      </c>
      <c r="D4" s="121" t="s">
        <v>330</v>
      </c>
      <c r="E4" s="121"/>
      <c r="F4" s="121" t="s">
        <v>337</v>
      </c>
      <c r="G4" s="113"/>
    </row>
    <row r="5" spans="1:7" ht="33.75" customHeight="1" x14ac:dyDescent="0.25">
      <c r="A5" s="112"/>
      <c r="B5" s="118"/>
      <c r="C5" s="120"/>
      <c r="D5" s="25">
        <v>2020</v>
      </c>
      <c r="E5" s="25">
        <v>2021</v>
      </c>
      <c r="F5" s="25">
        <v>2020</v>
      </c>
      <c r="G5" s="24">
        <v>2021</v>
      </c>
    </row>
    <row r="6" spans="1:7" s="3" customFormat="1" ht="15" x14ac:dyDescent="0.25">
      <c r="A6" s="51" t="s">
        <v>129</v>
      </c>
      <c r="B6" s="47">
        <v>2112289.07699</v>
      </c>
      <c r="C6" s="40">
        <f>IF(1650717.59844="","-",2112289.07699/1650717.59844*100)</f>
        <v>127.9618681588059</v>
      </c>
      <c r="D6" s="89">
        <v>100</v>
      </c>
      <c r="E6" s="89">
        <v>100</v>
      </c>
      <c r="F6" s="40">
        <f>IF(1881236.72041="","-",(1650717.59844-1881236.72041)/1881236.72041*100)</f>
        <v>-12.253594641707835</v>
      </c>
      <c r="G6" s="40">
        <f>IF(1650717.59844="","-",(2112289.07699-1650717.59844)/1650717.59844*100)</f>
        <v>27.961868158805903</v>
      </c>
    </row>
    <row r="7" spans="1:7" s="3" customFormat="1" ht="15" x14ac:dyDescent="0.25">
      <c r="A7" s="52" t="s">
        <v>133</v>
      </c>
      <c r="B7" s="86"/>
      <c r="C7" s="31"/>
      <c r="D7" s="92"/>
      <c r="E7" s="92"/>
      <c r="F7" s="31"/>
      <c r="G7" s="31"/>
    </row>
    <row r="8" spans="1:7" ht="16.5" customHeight="1" x14ac:dyDescent="0.25">
      <c r="A8" s="38" t="s">
        <v>153</v>
      </c>
      <c r="B8" s="48">
        <v>1004999.71908</v>
      </c>
      <c r="C8" s="41">
        <f>IF(777506.77513="","-",1004999.71908/777506.77513*100)</f>
        <v>129.25928766498055</v>
      </c>
      <c r="D8" s="90">
        <f>IF(777506.77513="","-",777506.77513/1650717.59844*100)</f>
        <v>47.101138066546191</v>
      </c>
      <c r="E8" s="90">
        <f>IF(1004999.71908="","-",1004999.71908/2112289.07699*100)</f>
        <v>47.578701704603752</v>
      </c>
      <c r="F8" s="41">
        <f>IF(1881236.72041="","-",(777506.77513-897363.0078)/1881236.72041*100)</f>
        <v>-6.3711403976783085</v>
      </c>
      <c r="G8" s="41">
        <f>IF(1650717.59844="","-",(1004999.71908-777506.77513)/1650717.59844*100)</f>
        <v>13.781457480370399</v>
      </c>
    </row>
    <row r="9" spans="1:7" x14ac:dyDescent="0.25">
      <c r="A9" s="39" t="s">
        <v>2</v>
      </c>
      <c r="B9" s="49">
        <v>260078.14261000001</v>
      </c>
      <c r="C9" s="42">
        <f>IF(OR(205243.41173="",260078.14261=""),"-",260078.14261/205243.41173*100)</f>
        <v>126.71692621838488</v>
      </c>
      <c r="D9" s="91">
        <f>IF(205243.41173="","-",205243.41173/1650717.59844*100)</f>
        <v>12.433587181960377</v>
      </c>
      <c r="E9" s="91">
        <f>IF(260078.14261="","-",260078.14261/2112289.07699*100)</f>
        <v>12.312620722378108</v>
      </c>
      <c r="F9" s="42">
        <f>IF(OR(1881236.72041="",255550.20883="",205243.41173=""),"-",(205243.41173-255550.20883)/1881236.72041*100)</f>
        <v>-2.6741343369608499</v>
      </c>
      <c r="G9" s="42">
        <f>IF(OR(1650717.59844="",260078.14261="",205243.41173=""),"-",(260078.14261-205243.41173)/1650717.59844*100)</f>
        <v>3.3218723137029142</v>
      </c>
    </row>
    <row r="10" spans="1:7" s="7" customFormat="1" x14ac:dyDescent="0.25">
      <c r="A10" s="39" t="s">
        <v>4</v>
      </c>
      <c r="B10" s="49">
        <v>180321.87635999999</v>
      </c>
      <c r="C10" s="42">
        <f>IF(OR(139334.43134="",180321.87636=""),"-",180321.87636/139334.43134*100)</f>
        <v>129.41659475394388</v>
      </c>
      <c r="D10" s="91">
        <f>IF(139334.43134="","-",139334.43134/1650717.59844*100)</f>
        <v>8.4408400002324502</v>
      </c>
      <c r="E10" s="91">
        <f>IF(180321.87636="","-",180321.87636/2112289.07699*100)</f>
        <v>8.5367991684621902</v>
      </c>
      <c r="F10" s="42">
        <f>IF(OR(1881236.72041="",156512.43294="",139334.43134=""),"-",(139334.43134-156512.43294)/1881236.72041*100)</f>
        <v>-0.9131228097788876</v>
      </c>
      <c r="G10" s="42">
        <f>IF(OR(1650717.59844="",180321.87636="",139334.43134=""),"-",(180321.87636-139334.43134)/1650717.59844*100)</f>
        <v>2.4830076966971761</v>
      </c>
    </row>
    <row r="11" spans="1:7" s="7" customFormat="1" x14ac:dyDescent="0.25">
      <c r="A11" s="39" t="s">
        <v>3</v>
      </c>
      <c r="B11" s="49">
        <v>139541.49376000001</v>
      </c>
      <c r="C11" s="42">
        <f>IF(OR(99670.36366="",139541.49376=""),"-",139541.49376/99670.36366*100)</f>
        <v>140.00299450698324</v>
      </c>
      <c r="D11" s="91">
        <f>IF(99670.36366="","-",99670.36366/1650717.59844*100)</f>
        <v>6.0380021242999309</v>
      </c>
      <c r="E11" s="91">
        <f>IF(139541.49376="","-",139541.49376/2112289.07699*100)</f>
        <v>6.6061740923664596</v>
      </c>
      <c r="F11" s="42">
        <f>IF(OR(1881236.72041="",127566.18653="",99670.36366=""),"-",(99670.36366-127566.18653)/1881236.72041*100)</f>
        <v>-1.4828449055534245</v>
      </c>
      <c r="G11" s="42">
        <f>IF(OR(1650717.59844="",139541.49376="",99670.36366=""),"-",(139541.49376-99670.36366)/1650717.59844*100)</f>
        <v>2.4153816581152321</v>
      </c>
    </row>
    <row r="12" spans="1:7" s="7" customFormat="1" x14ac:dyDescent="0.25">
      <c r="A12" s="39" t="s">
        <v>5</v>
      </c>
      <c r="B12" s="49">
        <v>83194.552290000007</v>
      </c>
      <c r="C12" s="42">
        <f>IF(OR(63984.43875="",83194.55229=""),"-",83194.55229/63984.43875*100)</f>
        <v>130.02310235939984</v>
      </c>
      <c r="D12" s="91">
        <f>IF(63984.43875="","-",63984.43875/1650717.59844*100)</f>
        <v>3.8761589996052672</v>
      </c>
      <c r="E12" s="91">
        <f>IF(83194.55229="","-",83194.55229/2112289.07699*100)</f>
        <v>3.9385969087409087</v>
      </c>
      <c r="F12" s="42">
        <f>IF(OR(1881236.72041="",61566.3334="",63984.43875=""),"-",(63984.43875-61566.3334)/1881236.72041*100)</f>
        <v>0.12853806880151647</v>
      </c>
      <c r="G12" s="42">
        <f>IF(OR(1650717.59844="",83194.55229="",63984.43875=""),"-",(83194.55229-63984.43875)/1650717.59844*100)</f>
        <v>1.1637431840645789</v>
      </c>
    </row>
    <row r="13" spans="1:7" s="7" customFormat="1" x14ac:dyDescent="0.25">
      <c r="A13" s="39" t="s">
        <v>123</v>
      </c>
      <c r="B13" s="49">
        <v>63866.58941</v>
      </c>
      <c r="C13" s="42">
        <f>IF(OR(52235.77398="",63866.58941=""),"-",63866.58941/52235.77398*100)</f>
        <v>122.26599616280826</v>
      </c>
      <c r="D13" s="91">
        <f>IF(52235.77398="","-",52235.77398/1650717.59844*100)</f>
        <v>3.1644282480155952</v>
      </c>
      <c r="E13" s="91">
        <f>IF(63866.58941="","-",63866.58941/2112289.07699*100)</f>
        <v>3.023572393841544</v>
      </c>
      <c r="F13" s="42">
        <f>IF(OR(1881236.72041="",55362.34916="",52235.77398=""),"-",(52235.77398-55362.34916)/1881236.72041*100)</f>
        <v>-0.16619786048608429</v>
      </c>
      <c r="G13" s="42">
        <f>IF(OR(1650717.59844="",63866.58941="",52235.77398=""),"-",(63866.58941-52235.77398)/1650717.59844*100)</f>
        <v>0.70459147227797347</v>
      </c>
    </row>
    <row r="14" spans="1:7" s="7" customFormat="1" x14ac:dyDescent="0.25">
      <c r="A14" s="39" t="s">
        <v>42</v>
      </c>
      <c r="B14" s="49">
        <v>43964.32127</v>
      </c>
      <c r="C14" s="42">
        <f>IF(OR(38048.09156="",43964.32127=""),"-",43964.32127/38048.09156*100)</f>
        <v>115.54934680671273</v>
      </c>
      <c r="D14" s="91">
        <f>IF(38048.09156="","-",38048.09156/1650717.59844*100)</f>
        <v>2.3049425047601781</v>
      </c>
      <c r="E14" s="91">
        <f>IF(43964.32127="","-",43964.32127/2112289.07699*100)</f>
        <v>2.0813591164637804</v>
      </c>
      <c r="F14" s="42">
        <f>IF(OR(1881236.72041="",37636.46661="",38048.09156=""),"-",(38048.09156-37636.46661)/1881236.72041*100)</f>
        <v>2.1880550466306409E-2</v>
      </c>
      <c r="G14" s="42">
        <f>IF(OR(1650717.59844="",43964.32127="",38048.09156=""),"-",(43964.32127-38048.09156)/1650717.59844*100)</f>
        <v>0.3584035037604914</v>
      </c>
    </row>
    <row r="15" spans="1:7" s="7" customFormat="1" x14ac:dyDescent="0.25">
      <c r="A15" s="39" t="s">
        <v>7</v>
      </c>
      <c r="B15" s="49">
        <v>36102.73558</v>
      </c>
      <c r="C15" s="42">
        <f>IF(OR(26097.18162="",36102.73558=""),"-",36102.73558/26097.18162*100)</f>
        <v>138.33959584483284</v>
      </c>
      <c r="D15" s="91">
        <f>IF(26097.18162="","-",26097.18162/1650717.59844*100)</f>
        <v>1.5809597986150368</v>
      </c>
      <c r="E15" s="91">
        <f>IF(36102.73558="","-",36102.73558/2112289.07699*100)</f>
        <v>1.7091758875847711</v>
      </c>
      <c r="F15" s="42">
        <f>IF(OR(1881236.72041="",34668.93035="",26097.18162=""),"-",(26097.18162-34668.93035)/1881236.72041*100)</f>
        <v>-0.45564434486117522</v>
      </c>
      <c r="G15" s="42">
        <f>IF(OR(1650717.59844="",36102.73558="",26097.18162=""),"-",(36102.73558-26097.18162)/1650717.59844*100)</f>
        <v>0.60613359725828841</v>
      </c>
    </row>
    <row r="16" spans="1:7" s="7" customFormat="1" x14ac:dyDescent="0.25">
      <c r="A16" s="39" t="s">
        <v>40</v>
      </c>
      <c r="B16" s="49">
        <v>31194.20205</v>
      </c>
      <c r="C16" s="42">
        <f>IF(OR(26933.85261="",31194.20205=""),"-",31194.20205/26933.85261*100)</f>
        <v>115.81782414008688</v>
      </c>
      <c r="D16" s="91">
        <f>IF(26933.85261="","-",26933.85261/1650717.59844*100)</f>
        <v>1.6316450878971462</v>
      </c>
      <c r="E16" s="91">
        <f>IF(31194.20205="","-",31194.20205/2112289.07699*100)</f>
        <v>1.4767960687678015</v>
      </c>
      <c r="F16" s="42">
        <f>IF(OR(1881236.72041="",28483.26378="",26933.85261=""),"-",(26933.85261-28483.26378)/1881236.72041*100)</f>
        <v>-8.2361308026260405E-2</v>
      </c>
      <c r="G16" s="42">
        <f>IF(OR(1650717.59844="",31194.20205="",26933.85261=""),"-",(31194.20205-26933.85261)/1650717.59844*100)</f>
        <v>0.25809075059393644</v>
      </c>
    </row>
    <row r="17" spans="1:7" s="7" customFormat="1" x14ac:dyDescent="0.25">
      <c r="A17" s="39" t="s">
        <v>8</v>
      </c>
      <c r="B17" s="49">
        <v>30778.98703</v>
      </c>
      <c r="C17" s="42" t="s">
        <v>104</v>
      </c>
      <c r="D17" s="91">
        <f>IF(19853.67228="","-",19853.67228/1650717.59844*100)</f>
        <v>1.2027297884727577</v>
      </c>
      <c r="E17" s="91">
        <f>IF(30778.98703="","-",30778.98703/2112289.07699*100)</f>
        <v>1.4571389572235958</v>
      </c>
      <c r="F17" s="42">
        <f>IF(OR(1881236.72041="",29700.83622="",19853.67228=""),"-",(19853.67228-29700.83622)/1881236.72041*100)</f>
        <v>-0.52344098077427992</v>
      </c>
      <c r="G17" s="42">
        <f>IF(OR(1650717.59844="",30778.98703="",19853.67228=""),"-",(30778.98703-19853.67228)/1650717.59844*100)</f>
        <v>0.66185244286029898</v>
      </c>
    </row>
    <row r="18" spans="1:7" s="7" customFormat="1" x14ac:dyDescent="0.25">
      <c r="A18" s="39" t="s">
        <v>6</v>
      </c>
      <c r="B18" s="49">
        <v>23917.544249999999</v>
      </c>
      <c r="C18" s="42">
        <f>IF(OR(17894.21449="",23917.54425=""),"-",23917.54425/17894.21449*100)</f>
        <v>133.66076651962609</v>
      </c>
      <c r="D18" s="91">
        <f>IF(17894.21449="","-",17894.21449/1650717.59844*100)</f>
        <v>1.0840263959692931</v>
      </c>
      <c r="E18" s="91">
        <f>IF(23917.54425="","-",23917.54425/2112289.07699*100)</f>
        <v>1.1323044989695428</v>
      </c>
      <c r="F18" s="42">
        <f>IF(OR(1881236.72041="",14961.86687="",17894.21449=""),"-",(17894.21449-14961.86687)/1881236.72041*100)</f>
        <v>0.15587339903512609</v>
      </c>
      <c r="G18" s="42">
        <f>IF(OR(1650717.59844="",23917.54425="",17894.21449=""),"-",(23917.54425-17894.21449)/1650717.59844*100)</f>
        <v>0.36489159415834116</v>
      </c>
    </row>
    <row r="19" spans="1:7" s="7" customFormat="1" x14ac:dyDescent="0.25">
      <c r="A19" s="39" t="s">
        <v>10</v>
      </c>
      <c r="B19" s="49">
        <v>22345.236680000002</v>
      </c>
      <c r="C19" s="42">
        <f>IF(OR(17622.66859="",22345.23668=""),"-",22345.23668/17622.66859*100)</f>
        <v>126.79825740285342</v>
      </c>
      <c r="D19" s="91">
        <f>IF(17622.66859="","-",17622.66859/1650717.59844*100)</f>
        <v>1.0675762230107795</v>
      </c>
      <c r="E19" s="91">
        <f>IF(22345.23668="","-",22345.23668/2112289.07699*100)</f>
        <v>1.0578683061620446</v>
      </c>
      <c r="F19" s="42">
        <f>IF(OR(1881236.72041="",18909.6435="",17622.66859=""),"-",(17622.66859-18909.6435)/1881236.72041*100)</f>
        <v>-6.8411109353612415E-2</v>
      </c>
      <c r="G19" s="42">
        <f>IF(OR(1650717.59844="",22345.23668="",17622.66859=""),"-",(22345.23668-17622.66859)/1650717.59844*100)</f>
        <v>0.28609182421408924</v>
      </c>
    </row>
    <row r="20" spans="1:7" s="7" customFormat="1" ht="15.75" customHeight="1" x14ac:dyDescent="0.25">
      <c r="A20" s="39" t="s">
        <v>41</v>
      </c>
      <c r="B20" s="49">
        <v>15683.381520000001</v>
      </c>
      <c r="C20" s="42">
        <f>IF(OR(12088.19169="",15683.38152=""),"-",15683.38152/12088.19169*100)</f>
        <v>129.74133701878782</v>
      </c>
      <c r="D20" s="91">
        <f>IF(12088.19169="","-",12088.19169/1650717.59844*100)</f>
        <v>0.73229919529687371</v>
      </c>
      <c r="E20" s="91">
        <f>IF(15683.38152="","-",15683.38152/2112289.07699*100)</f>
        <v>0.74248272600778353</v>
      </c>
      <c r="F20" s="42">
        <f>IF(OR(1881236.72041="",13520.5981="",12088.19169=""),"-",(12088.19169-13520.5981)/1881236.72041*100)</f>
        <v>-7.6141741996606269E-2</v>
      </c>
      <c r="G20" s="42">
        <f>IF(OR(1650717.59844="",15683.38152="",12088.19169=""),"-",(15683.38152-12088.19169)/1650717.59844*100)</f>
        <v>0.21779557165911434</v>
      </c>
    </row>
    <row r="21" spans="1:7" s="7" customFormat="1" x14ac:dyDescent="0.25">
      <c r="A21" s="39" t="s">
        <v>44</v>
      </c>
      <c r="B21" s="49">
        <v>10668.03364</v>
      </c>
      <c r="C21" s="42">
        <f>IF(OR(7650.21244="",10668.03364=""),"-",10668.03364/7650.21244*100)</f>
        <v>139.44754768143406</v>
      </c>
      <c r="D21" s="91">
        <f>IF(7650.21244="","-",7650.21244/1650717.59844*100)</f>
        <v>0.46344768161615191</v>
      </c>
      <c r="E21" s="91">
        <f>IF(10668.03364="","-",10668.03364/2112289.07699*100)</f>
        <v>0.50504610170128261</v>
      </c>
      <c r="F21" s="42">
        <f>IF(OR(1881236.72041="",11036.96587="",7650.21244=""),"-",(7650.21244-11036.96587)/1881236.72041*100)</f>
        <v>-0.18002803120183009</v>
      </c>
      <c r="G21" s="42">
        <f>IF(OR(1650717.59844="",10668.03364="",7650.21244=""),"-",(10668.03364-7650.21244)/1650717.59844*100)</f>
        <v>0.18281874518403218</v>
      </c>
    </row>
    <row r="22" spans="1:7" s="7" customFormat="1" x14ac:dyDescent="0.25">
      <c r="A22" s="39" t="s">
        <v>52</v>
      </c>
      <c r="B22" s="49">
        <v>10152.10968</v>
      </c>
      <c r="C22" s="42">
        <f>IF(OR(8635.3229="",10152.10968=""),"-",10152.10968/8635.3229*100)</f>
        <v>117.5649109774459</v>
      </c>
      <c r="D22" s="91">
        <f>IF(8635.3229="","-",8635.3229/1650717.59844*100)</f>
        <v>0.52312539153642967</v>
      </c>
      <c r="E22" s="91">
        <f>IF(10152.10968="","-",10152.10968/2112289.07699*100)</f>
        <v>0.48062122701816451</v>
      </c>
      <c r="F22" s="42">
        <f>IF(OR(1881236.72041="",7479.79902="",8635.3229=""),"-",(8635.3229-7479.79902)/1881236.72041*100)</f>
        <v>6.1423629863452907E-2</v>
      </c>
      <c r="G22" s="42">
        <f>IF(OR(1650717.59844="",10152.10968="",8635.3229=""),"-",(10152.10968-8635.3229)/1650717.59844*100)</f>
        <v>9.1886509323789223E-2</v>
      </c>
    </row>
    <row r="23" spans="1:7" s="7" customFormat="1" x14ac:dyDescent="0.25">
      <c r="A23" s="39" t="s">
        <v>51</v>
      </c>
      <c r="B23" s="49">
        <v>9451.4415599999993</v>
      </c>
      <c r="C23" s="42" t="s">
        <v>104</v>
      </c>
      <c r="D23" s="91">
        <f>IF(5852.8659="","-",5852.8659/1650717.59844*100)</f>
        <v>0.35456494227305824</v>
      </c>
      <c r="E23" s="91">
        <f>IF(9451.44156="","-",9451.44156/2112289.07699*100)</f>
        <v>0.4474501933924806</v>
      </c>
      <c r="F23" s="42">
        <f>IF(OR(1881236.72041="",5640.66931="",5852.8659=""),"-",(5852.8659-5640.66931)/1881236.72041*100)</f>
        <v>1.1279632578815124E-2</v>
      </c>
      <c r="G23" s="42">
        <f>IF(OR(1650717.59844="",9451.44156="",5852.8659=""),"-",(9451.44156-5852.8659)/1650717.59844*100)</f>
        <v>0.21800068427214989</v>
      </c>
    </row>
    <row r="24" spans="1:7" s="7" customFormat="1" x14ac:dyDescent="0.25">
      <c r="A24" s="39" t="s">
        <v>9</v>
      </c>
      <c r="B24" s="49">
        <v>9236.7513799999997</v>
      </c>
      <c r="C24" s="42">
        <f>IF(OR(7742.47682="",9236.75138=""),"-",9236.75138/7742.47682*100)</f>
        <v>119.29969691533412</v>
      </c>
      <c r="D24" s="91">
        <f>IF(7742.47682="","-",7742.47682/1650717.59844*100)</f>
        <v>0.46903703136847735</v>
      </c>
      <c r="E24" s="91">
        <f>IF(9236.75138="","-",9236.75138/2112289.07699*100)</f>
        <v>0.43728632982197296</v>
      </c>
      <c r="F24" s="42">
        <f>IF(OR(1881236.72041="",6764.60829="",7742.47682=""),"-",(7742.47682-6764.60829)/1881236.72041*100)</f>
        <v>5.1980089448120138E-2</v>
      </c>
      <c r="G24" s="42">
        <f>IF(OR(1650717.59844="",9236.75138="",7742.47682=""),"-",(9236.75138-7742.47682)/1650717.59844*100)</f>
        <v>9.0522725474796797E-2</v>
      </c>
    </row>
    <row r="25" spans="1:7" s="7" customFormat="1" x14ac:dyDescent="0.25">
      <c r="A25" s="39" t="s">
        <v>50</v>
      </c>
      <c r="B25" s="49">
        <v>8670.3778299999994</v>
      </c>
      <c r="C25" s="42">
        <f>IF(OR(6217.33323="",8670.37783=""),"-",8670.37783/6217.33323*100)</f>
        <v>139.45493203040041</v>
      </c>
      <c r="D25" s="91">
        <f>IF(6217.33323="","-",6217.33323/1650717.59844*100)</f>
        <v>0.37664426888497765</v>
      </c>
      <c r="E25" s="91">
        <f>IF(8670.37783="","-",8670.37783/2112289.07699*100)</f>
        <v>0.41047307039788511</v>
      </c>
      <c r="F25" s="42">
        <f>IF(OR(1881236.72041="",8586.6835="",6217.33323=""),"-",(6217.33323-8586.6835)/1881236.72041*100)</f>
        <v>-0.12594641834779935</v>
      </c>
      <c r="G25" s="42">
        <f>IF(OR(1650717.59844="",8670.37783="",6217.33323=""),"-",(8670.37783-6217.33323)/1650717.59844*100)</f>
        <v>0.14860474028496656</v>
      </c>
    </row>
    <row r="26" spans="1:7" s="7" customFormat="1" x14ac:dyDescent="0.25">
      <c r="A26" s="39" t="s">
        <v>48</v>
      </c>
      <c r="B26" s="49">
        <v>5055.4772300000004</v>
      </c>
      <c r="C26" s="42">
        <f>IF(OR(4131.41061="",5055.47723=""),"-",5055.47723/4131.41061*100)</f>
        <v>122.36685498563892</v>
      </c>
      <c r="D26" s="91">
        <f>IF(4131.41061="","-",4131.41061/1650717.59844*100)</f>
        <v>0.2502796731496873</v>
      </c>
      <c r="E26" s="91">
        <f>IF(5055.47723="","-",5055.47723/2112289.07699*100)</f>
        <v>0.23933642819400588</v>
      </c>
      <c r="F26" s="42">
        <f>IF(OR(1881236.72041="",4378.79048="",4131.41061=""),"-",(4131.41061-4378.79048)/1881236.72041*100)</f>
        <v>-1.3149853355301578E-2</v>
      </c>
      <c r="G26" s="42">
        <f>IF(OR(1650717.59844="",5055.47723="",4131.41061=""),"-",(5055.47723-4131.41061)/1650717.59844*100)</f>
        <v>5.5979691551921645E-2</v>
      </c>
    </row>
    <row r="27" spans="1:7" s="7" customFormat="1" x14ac:dyDescent="0.25">
      <c r="A27" s="39" t="s">
        <v>45</v>
      </c>
      <c r="B27" s="49">
        <v>4923.5367999999999</v>
      </c>
      <c r="C27" s="42">
        <f>IF(OR(3615.1501="",4923.5368=""),"-",4923.5368/3615.1501*100)</f>
        <v>136.19176697531867</v>
      </c>
      <c r="D27" s="91">
        <f>IF(3615.1501="","-",3615.1501/1650717.59844*100)</f>
        <v>0.21900475910697709</v>
      </c>
      <c r="E27" s="91">
        <f>IF(4923.5368="","-",4923.5368/2112289.07699*100)</f>
        <v>0.23309010370001121</v>
      </c>
      <c r="F27" s="42">
        <f>IF(OR(1881236.72041="",3537.90389="",3615.1501=""),"-",(3615.1501-3537.90389)/1881236.72041*100)</f>
        <v>4.1061398154701454E-3</v>
      </c>
      <c r="G27" s="42">
        <f>IF(OR(1650717.59844="",4923.5368="",3615.1501=""),"-",(4923.5368-3615.1501)/1650717.59844*100)</f>
        <v>7.9261692080855164E-2</v>
      </c>
    </row>
    <row r="28" spans="1:7" s="7" customFormat="1" x14ac:dyDescent="0.25">
      <c r="A28" s="39" t="s">
        <v>49</v>
      </c>
      <c r="B28" s="49">
        <v>4361.3441000000003</v>
      </c>
      <c r="C28" s="42">
        <f>IF(OR(3503.02966="",4361.3441=""),"-",4361.3441/3503.02966*100)</f>
        <v>124.50206031084532</v>
      </c>
      <c r="D28" s="91">
        <f>IF(3503.02966="","-",3503.02966/1650717.59844*100)</f>
        <v>0.21221253491878414</v>
      </c>
      <c r="E28" s="91">
        <f>IF(4361.3441="","-",4361.3441/2112289.07699*100)</f>
        <v>0.20647477409743986</v>
      </c>
      <c r="F28" s="42">
        <f>IF(OR(1881236.72041="",4002.13339="",3503.02966=""),"-",(3503.02966-4002.13339)/1881236.72041*100)</f>
        <v>-2.6530618108029716E-2</v>
      </c>
      <c r="G28" s="42">
        <f>IF(OR(1650717.59844="",4361.3441="",3503.02966=""),"-",(4361.3441-3503.02966)/1650717.59844*100)</f>
        <v>5.199644329297419E-2</v>
      </c>
    </row>
    <row r="29" spans="1:7" s="7" customFormat="1" x14ac:dyDescent="0.25">
      <c r="A29" s="39" t="s">
        <v>43</v>
      </c>
      <c r="B29" s="49">
        <v>3237.7973900000002</v>
      </c>
      <c r="C29" s="42">
        <f>IF(OR(5192.84832="",3237.79739=""),"-",3237.79739/5192.84832*100)</f>
        <v>62.351087312328815</v>
      </c>
      <c r="D29" s="91">
        <f>IF(5192.84832="","-",5192.84832/1650717.59844*100)</f>
        <v>0.31458126604498959</v>
      </c>
      <c r="E29" s="91">
        <f>IF(3237.79739="","-",3237.79739/2112289.07699*100)</f>
        <v>0.1532838201584531</v>
      </c>
      <c r="F29" s="42">
        <f>IF(OR(1881236.72041="",5603.04872="",5192.84832=""),"-",(5192.84832-5603.04872)/1881236.72041*100)</f>
        <v>-2.1804826343736258E-2</v>
      </c>
      <c r="G29" s="42">
        <f>IF(OR(1650717.59844="",3237.79739="",5192.84832=""),"-",(3237.79739-5192.84832)/1650717.59844*100)</f>
        <v>-0.11843642618504872</v>
      </c>
    </row>
    <row r="30" spans="1:7" s="7" customFormat="1" x14ac:dyDescent="0.25">
      <c r="A30" s="39" t="s">
        <v>124</v>
      </c>
      <c r="B30" s="49">
        <v>2568.9026399999998</v>
      </c>
      <c r="C30" s="42" t="s">
        <v>222</v>
      </c>
      <c r="D30" s="91">
        <f>IF(1456.26146="","-",1456.26146/1650717.59844*100)</f>
        <v>8.8219902748733661E-2</v>
      </c>
      <c r="E30" s="91">
        <f>IF(2568.90264="","-",2568.90264/2112289.07699*100)</f>
        <v>0.1216170015735096</v>
      </c>
      <c r="F30" s="42">
        <f>IF(OR(1881236.72041="",1500.15175="",1456.26146=""),"-",(1456.26146-1500.15175)/1881236.72041*100)</f>
        <v>-2.3330551399419058E-3</v>
      </c>
      <c r="G30" s="42">
        <f>IF(OR(1650717.59844="",2568.90264="",1456.26146=""),"-",(2568.90264-1456.26146)/1650717.59844*100)</f>
        <v>6.7403484463453608E-2</v>
      </c>
    </row>
    <row r="31" spans="1:7" s="7" customFormat="1" x14ac:dyDescent="0.25">
      <c r="A31" s="39" t="s">
        <v>53</v>
      </c>
      <c r="B31" s="49">
        <v>2419.3569600000001</v>
      </c>
      <c r="C31" s="42">
        <f>IF(OR(2825.69397="",2419.35696=""),"-",2419.35696/2825.69397*100)</f>
        <v>85.619921537363098</v>
      </c>
      <c r="D31" s="91">
        <f>IF(2825.69397="","-",2825.69397/1650717.59844*100)</f>
        <v>0.17117973253998162</v>
      </c>
      <c r="E31" s="91">
        <f>IF(2419.35696="","-",2419.35696/2112289.07699*100)</f>
        <v>0.11453720924635799</v>
      </c>
      <c r="F31" s="42">
        <f>IF(OR(1881236.72041="",2143.78337="",2825.69397=""),"-",(2825.69397-2143.78337)/1881236.72041*100)</f>
        <v>3.6247995406520815E-2</v>
      </c>
      <c r="G31" s="42">
        <f>IF(OR(1650717.59844="",2419.35696="",2825.69397=""),"-",(2419.35696-2825.69397)/1650717.59844*100)</f>
        <v>-2.4615779851381355E-2</v>
      </c>
    </row>
    <row r="32" spans="1:7" s="7" customFormat="1" x14ac:dyDescent="0.25">
      <c r="A32" s="39" t="s">
        <v>46</v>
      </c>
      <c r="B32" s="49">
        <v>1892.2106900000001</v>
      </c>
      <c r="C32" s="42" t="s">
        <v>103</v>
      </c>
      <c r="D32" s="91">
        <f>IF(1140.389="","-",1140.389/1650717.59844*100)</f>
        <v>6.9084439463038202E-2</v>
      </c>
      <c r="E32" s="91">
        <f>IF(1892.21069="","-",1892.21069/2112289.07699*100)</f>
        <v>8.9581047907343711E-2</v>
      </c>
      <c r="F32" s="42">
        <f>IF(OR(1881236.72041="",1514.55076="",1140.389=""),"-",(1140.389-1514.55076)/1881236.72041*100)</f>
        <v>-1.9889137605099198E-2</v>
      </c>
      <c r="G32" s="42">
        <f>IF(OR(1650717.59844="",1892.21069="",1140.389=""),"-",(1892.21069-1140.389)/1650717.59844*100)</f>
        <v>4.5545142955433708E-2</v>
      </c>
    </row>
    <row r="33" spans="1:7" s="7" customFormat="1" x14ac:dyDescent="0.25">
      <c r="A33" s="39" t="s">
        <v>54</v>
      </c>
      <c r="B33" s="49">
        <v>1110.4493399999999</v>
      </c>
      <c r="C33" s="42" t="s">
        <v>240</v>
      </c>
      <c r="D33" s="91">
        <f>IF(330.61987="","-",330.61987/1650717.59844*100)</f>
        <v>2.0028857165662387E-2</v>
      </c>
      <c r="E33" s="91">
        <f>IF(1110.44934="","-",1110.44934/2112289.07699*100)</f>
        <v>5.2570898183234648E-2</v>
      </c>
      <c r="F33" s="42">
        <f>IF(OR(1881236.72041="",456.58181="",330.61987=""),"-",(330.61987-456.58181)/1881236.72041*100)</f>
        <v>-6.6956985600699773E-3</v>
      </c>
      <c r="G33" s="42">
        <f>IF(OR(1650717.59844="",1110.44934="",330.61987=""),"-",(1110.44934-330.61987)/1650717.59844*100)</f>
        <v>4.7241846257468426E-2</v>
      </c>
    </row>
    <row r="34" spans="1:7" s="7" customFormat="1" x14ac:dyDescent="0.25">
      <c r="A34" s="39" t="s">
        <v>47</v>
      </c>
      <c r="B34" s="49">
        <v>212.19468000000001</v>
      </c>
      <c r="C34" s="42">
        <f>IF(OR(187.96817="",212.19468=""),"-",212.19468/187.96817*100)</f>
        <v>112.88862364303489</v>
      </c>
      <c r="D34" s="91">
        <f>IF(187.96817="","-",187.96817/1650717.59844*100)</f>
        <v>1.1387057978762575E-2</v>
      </c>
      <c r="E34" s="91">
        <f>IF(212.19468="","-",212.19468/2112289.07699*100)</f>
        <v>1.0045721597082547E-2</v>
      </c>
      <c r="F34" s="42">
        <f>IF(OR(1881236.72041="",231.7325="",187.96817=""),"-",(187.96817-231.7325)/1881236.72041*100)</f>
        <v>-2.326359544505485E-3</v>
      </c>
      <c r="G34" s="42">
        <f>IF(OR(1650717.59844="",212.19468="",187.96817=""),"-",(212.19468-187.96817)/1650717.59844*100)</f>
        <v>1.4676350468968843E-3</v>
      </c>
    </row>
    <row r="35" spans="1:7" s="7" customFormat="1" x14ac:dyDescent="0.25">
      <c r="A35" s="39" t="s">
        <v>55</v>
      </c>
      <c r="B35" s="49">
        <v>33.842829999999999</v>
      </c>
      <c r="C35" s="42" t="s">
        <v>222</v>
      </c>
      <c r="D35" s="91">
        <f>IF(18.90038="","-",18.90038/1650717.59844*100)</f>
        <v>1.1449796147967211E-3</v>
      </c>
      <c r="E35" s="91">
        <f>IF(33.84283="","-",33.84283/2112289.07699*100)</f>
        <v>1.6021874263642852E-3</v>
      </c>
      <c r="F35" s="42">
        <f>IF(OR(1881236.72041="",46.48885="",18.90038=""),"-",(18.90038-46.48885)/1881236.72041*100)</f>
        <v>-1.466507096139784E-3</v>
      </c>
      <c r="G35" s="42">
        <f>IF(OR(1650717.59844="",33.84283="",18.90038=""),"-",(33.84283-18.90038)/1650717.59844*100)</f>
        <v>9.0520934738451116E-4</v>
      </c>
    </row>
    <row r="36" spans="1:7" s="7" customFormat="1" ht="25.5" x14ac:dyDescent="0.25">
      <c r="A36" s="39" t="s">
        <v>350</v>
      </c>
      <c r="B36" s="49">
        <v>16.829519999999999</v>
      </c>
      <c r="C36" s="42" t="str">
        <f>IF(OR(""="",16.82952=""),"-",16.82952/""*100)</f>
        <v>-</v>
      </c>
      <c r="D36" s="91" t="str">
        <f>IF(""="","-",""/1650717.59844*100)</f>
        <v>-</v>
      </c>
      <c r="E36" s="91">
        <f>IF(16.82952="","-",16.82952/2112289.07699*100)</f>
        <v>7.9674321963459527E-4</v>
      </c>
      <c r="F36" s="42" t="str">
        <f>IF(OR(1881236.72041="",""="",""=""),"-",(""-"")/1881236.72041*100)</f>
        <v>-</v>
      </c>
      <c r="G36" s="42" t="str">
        <f>IF(OR(1650717.59844="",16.82952="",""=""),"-",(16.82952-"")/1650717.59844*100)</f>
        <v>-</v>
      </c>
    </row>
    <row r="37" spans="1:7" s="7" customFormat="1" x14ac:dyDescent="0.25">
      <c r="A37" s="38" t="s">
        <v>223</v>
      </c>
      <c r="B37" s="48">
        <v>489586.39373000001</v>
      </c>
      <c r="C37" s="41">
        <f>IF(411933.80685="","-",489586.39373/411933.80685*100)</f>
        <v>118.85074387892523</v>
      </c>
      <c r="D37" s="90">
        <f>IF(411933.80685="","-",411933.80685/1650717.59844*100)</f>
        <v>24.954832203842457</v>
      </c>
      <c r="E37" s="90">
        <f>IF(489586.39373="","-",489586.39373/2112289.07699*100)</f>
        <v>23.178001489628393</v>
      </c>
      <c r="F37" s="41">
        <f>IF(1881236.72041="","-",(411933.80685-499013.03224)/1881236.72041*100)</f>
        <v>-4.6288287085434829</v>
      </c>
      <c r="G37" s="41">
        <f>IF(1650717.59844="","-",(489586.39373-411933.80685)/1650717.59844*100)</f>
        <v>4.7041715041618923</v>
      </c>
    </row>
    <row r="38" spans="1:7" s="7" customFormat="1" x14ac:dyDescent="0.25">
      <c r="A38" s="39" t="s">
        <v>125</v>
      </c>
      <c r="B38" s="49">
        <v>257714.5563</v>
      </c>
      <c r="C38" s="42">
        <f>IF(OR(220849.55435="",257714.5563=""),"-",257714.5563/220849.55435*100)</f>
        <v>116.69235967376088</v>
      </c>
      <c r="D38" s="91">
        <f>IF(220849.55435="","-",220849.55435/1650717.59844*100)</f>
        <v>13.379002838445075</v>
      </c>
      <c r="E38" s="91">
        <f>IF(257714.5563="","-",257714.5563/2112289.07699*100)</f>
        <v>12.200723807521733</v>
      </c>
      <c r="F38" s="42">
        <f>IF(OR(1881236.72041="",276238.40681="",220849.55435=""),"-",(220849.55435-276238.40681)/1881236.72041*100)</f>
        <v>-2.9442787214959574</v>
      </c>
      <c r="G38" s="42">
        <f>IF(OR(1650717.59844="",257714.5563="",220849.55435=""),"-",(257714.5563-220849.55435)/1650717.59844*100)</f>
        <v>2.2332712745559284</v>
      </c>
    </row>
    <row r="39" spans="1:7" s="7" customFormat="1" x14ac:dyDescent="0.25">
      <c r="A39" s="39" t="s">
        <v>12</v>
      </c>
      <c r="B39" s="49">
        <v>183385.78659999999</v>
      </c>
      <c r="C39" s="42">
        <f>IF(OR(148843.56904="",183385.7866=""),"-",183385.7866/148843.56904*100)</f>
        <v>123.20706079731075</v>
      </c>
      <c r="D39" s="91">
        <f>IF(148843.56904="","-",148843.56904/1650717.59844*100)</f>
        <v>9.0169008424374741</v>
      </c>
      <c r="E39" s="91">
        <f>IF(183385.7866="","-",183385.7866/2112289.07699*100)</f>
        <v>8.6818508222995554</v>
      </c>
      <c r="F39" s="42">
        <f>IF(OR(1881236.72041="",174829.22995="",148843.56904=""),"-",(148843.56904-174829.22995)/1881236.72041*100)</f>
        <v>-1.3813073404359577</v>
      </c>
      <c r="G39" s="42">
        <f>IF(OR(1650717.59844="",183385.7866="",148843.56904=""),"-",(183385.7866-148843.56904)/1650717.59844*100)</f>
        <v>2.0925576605376888</v>
      </c>
    </row>
    <row r="40" spans="1:7" s="7" customFormat="1" x14ac:dyDescent="0.25">
      <c r="A40" s="39" t="s">
        <v>11</v>
      </c>
      <c r="B40" s="49">
        <v>38965.310519999999</v>
      </c>
      <c r="C40" s="42">
        <f>IF(OR(31036.23113="",38965.31052=""),"-",38965.31052/31036.23113*100)</f>
        <v>125.54781653992664</v>
      </c>
      <c r="D40" s="91">
        <f>IF(31036.23113="","-",31036.23113/1650717.59844*100)</f>
        <v>1.8801660053379565</v>
      </c>
      <c r="E40" s="91">
        <f>IF(38965.31052="","-",38965.31052/2112289.07699*100)</f>
        <v>1.8446959246470822</v>
      </c>
      <c r="F40" s="42">
        <f>IF(OR(1881236.72041="",40098.1554="",31036.23113=""),"-",(31036.23113-40098.1554)/1881236.72041*100)</f>
        <v>-0.4817003714463447</v>
      </c>
      <c r="G40" s="42">
        <f>IF(OR(1650717.59844="",38965.31052="",31036.23113=""),"-",(38965.31052-31036.23113)/1650717.59844*100)</f>
        <v>0.48034136168980834</v>
      </c>
    </row>
    <row r="41" spans="1:7" s="7" customFormat="1" x14ac:dyDescent="0.25">
      <c r="A41" s="39" t="s">
        <v>13</v>
      </c>
      <c r="B41" s="49">
        <v>4374.8403099999996</v>
      </c>
      <c r="C41" s="42">
        <f>IF(OR(3716.24789="",4374.84031=""),"-",4374.84031/3716.24789*100)</f>
        <v>117.72197225519312</v>
      </c>
      <c r="D41" s="91">
        <f>IF(3716.24789="","-",3716.24789/1650717.59844*100)</f>
        <v>0.22512923431070317</v>
      </c>
      <c r="E41" s="91">
        <f>IF(4374.84031="","-",4374.84031/2112289.07699*100)</f>
        <v>0.2071137117384578</v>
      </c>
      <c r="F41" s="42">
        <f>IF(OR(1881236.72041="",2334.44753="",3716.24789=""),"-",(3716.24789-2334.44753)/1881236.72041*100)</f>
        <v>7.3451700416460514E-2</v>
      </c>
      <c r="G41" s="42">
        <f>IF(OR(1650717.59844="",4374.84031="",3716.24789=""),"-",(4374.84031-3716.24789)/1650717.59844*100)</f>
        <v>3.9897340442871514E-2</v>
      </c>
    </row>
    <row r="42" spans="1:7" s="7" customFormat="1" x14ac:dyDescent="0.25">
      <c r="A42" s="39" t="s">
        <v>15</v>
      </c>
      <c r="B42" s="49">
        <v>4076.94868</v>
      </c>
      <c r="C42" s="42" t="s">
        <v>103</v>
      </c>
      <c r="D42" s="91">
        <f>IF(2353.38831="","-",2353.38831/1650717.59844*100)</f>
        <v>0.14256759073896433</v>
      </c>
      <c r="E42" s="91">
        <f>IF(4076.94868="","-",4076.94868/2112289.07699*100)</f>
        <v>0.19301092470778805</v>
      </c>
      <c r="F42" s="42">
        <f>IF(OR(1881236.72041="",3060.68459="",2353.38831=""),"-",(2353.38831-3060.68459)/1881236.72041*100)</f>
        <v>-3.7597409848870618E-2</v>
      </c>
      <c r="G42" s="42">
        <f>IF(OR(1650717.59844="",4076.94868="",2353.38831=""),"-",(4076.94868-2353.38831)/1650717.59844*100)</f>
        <v>0.10441279426770754</v>
      </c>
    </row>
    <row r="43" spans="1:7" s="7" customFormat="1" x14ac:dyDescent="0.25">
      <c r="A43" s="39" t="s">
        <v>14</v>
      </c>
      <c r="B43" s="49">
        <v>439.33125999999999</v>
      </c>
      <c r="C43" s="42">
        <f>IF(OR(3404.77827="",439.33126=""),"-",439.33126/3404.77827*100)</f>
        <v>12.903373587379011</v>
      </c>
      <c r="D43" s="91">
        <f>IF(3404.77827="","-",3404.77827/1650717.59844*100)</f>
        <v>0.2062604938129734</v>
      </c>
      <c r="E43" s="91">
        <f>IF(439.33126="","-",439.33126/2112289.07699*100)</f>
        <v>2.0798822698361179E-2</v>
      </c>
      <c r="F43" s="42">
        <f>IF(OR(1881236.72041="",99.37022="",3404.77827=""),"-",(3404.77827-99.37022)/1881236.72041*100)</f>
        <v>0.17570399376850424</v>
      </c>
      <c r="G43" s="42">
        <f>IF(OR(1650717.59844="",439.33126="",3404.77827=""),"-",(439.33126-3404.77827)/1650717.59844*100)</f>
        <v>-0.17964593173311269</v>
      </c>
    </row>
    <row r="44" spans="1:7" s="7" customFormat="1" x14ac:dyDescent="0.25">
      <c r="A44" s="39" t="s">
        <v>17</v>
      </c>
      <c r="B44" s="49">
        <v>327.96246000000002</v>
      </c>
      <c r="C44" s="42">
        <f>IF(OR(379.02561="",327.96246=""),"-",327.96246/379.02561*100)</f>
        <v>86.527783703059029</v>
      </c>
      <c r="D44" s="91">
        <f>IF(379.02561="","-",379.02561/1650717.59844*100)</f>
        <v>2.2961263050578468E-2</v>
      </c>
      <c r="E44" s="91">
        <f>IF(327.96246="","-",327.96246/2112289.07699*100)</f>
        <v>1.5526400414253178E-2</v>
      </c>
      <c r="F44" s="42">
        <f>IF(OR(1881236.72041="",379.34148="",379.02561=""),"-",(379.02561-379.34148)/1881236.72041*100)</f>
        <v>-1.6790550416811809E-5</v>
      </c>
      <c r="G44" s="42">
        <f>IF(OR(1650717.59844="",327.96246="",379.02561=""),"-",(327.96246-379.02561)/1650717.59844*100)</f>
        <v>-3.0933910226835191E-3</v>
      </c>
    </row>
    <row r="45" spans="1:7" s="7" customFormat="1" x14ac:dyDescent="0.25">
      <c r="A45" s="39" t="s">
        <v>16</v>
      </c>
      <c r="B45" s="49">
        <v>243.74476999999999</v>
      </c>
      <c r="C45" s="42">
        <f>IF(OR(1294.13212="",243.74477=""),"-",243.74477/1294.13212*100)</f>
        <v>18.83461249690642</v>
      </c>
      <c r="D45" s="91">
        <f>IF(1294.13212="","-",1294.13212/1650717.59844*100)</f>
        <v>7.8398153701336376E-2</v>
      </c>
      <c r="E45" s="91">
        <f>IF(243.74477="","-",243.74477/2112289.07699*100)</f>
        <v>1.1539366114951223E-2</v>
      </c>
      <c r="F45" s="42">
        <f>IF(OR(1881236.72041="",1921.73793="",1294.13212=""),"-",(1294.13212-1921.73793)/1881236.72041*100)</f>
        <v>-3.3361341674386327E-2</v>
      </c>
      <c r="G45" s="42">
        <f>IF(OR(1650717.59844="",243.74477="",1294.13212=""),"-",(243.74477-1294.13212)/1650717.59844*100)</f>
        <v>-6.3632165246960568E-2</v>
      </c>
    </row>
    <row r="46" spans="1:7" s="7" customFormat="1" x14ac:dyDescent="0.25">
      <c r="A46" s="39" t="s">
        <v>126</v>
      </c>
      <c r="B46" s="49">
        <v>43.908099999999997</v>
      </c>
      <c r="C46" s="42">
        <f>IF(OR(56.69462="",43.9081=""),"-",43.9081/56.69462*100)</f>
        <v>77.446678362073868</v>
      </c>
      <c r="D46" s="91">
        <f>IF(56.69462="","-",56.69462/1650717.59844*100)</f>
        <v>3.4345438646549162E-3</v>
      </c>
      <c r="E46" s="91">
        <f>IF(43.9081="","-",43.9081/2112289.07699*100)</f>
        <v>2.0786974888195127E-3</v>
      </c>
      <c r="F46" s="42">
        <f>IF(OR(1881236.72041="",51.62396="",56.69462=""),"-",(56.69462-51.62396)/1881236.72041*100)</f>
        <v>2.6953864683732599E-4</v>
      </c>
      <c r="G46" s="42">
        <f>IF(OR(1650717.59844="",43.9081="",56.69462=""),"-",(43.9081-56.69462)/1650717.59844*100)</f>
        <v>-7.7460372459128206E-4</v>
      </c>
    </row>
    <row r="47" spans="1:7" s="7" customFormat="1" x14ac:dyDescent="0.25">
      <c r="A47" s="39" t="s">
        <v>18</v>
      </c>
      <c r="B47" s="49">
        <v>14.00473</v>
      </c>
      <c r="C47" s="42" t="s">
        <v>351</v>
      </c>
      <c r="D47" s="91">
        <f>IF(0.18551="","-",0.18551/1650717.59844*100)</f>
        <v>1.1238142743211499E-5</v>
      </c>
      <c r="E47" s="91">
        <f>IF(14.00473="","-",14.00473/2112289.07699*100)</f>
        <v>6.6301199738989618E-4</v>
      </c>
      <c r="F47" s="42">
        <f>IF(OR(1881236.72041="",0.03437="",0.18551=""),"-",(0.18551-0.03437)/1881236.72041*100)</f>
        <v>8.0340766454452511E-6</v>
      </c>
      <c r="G47" s="42">
        <f>IF(OR(1650717.59844="",14.00473="",0.18551=""),"-",(14.00473-0.18551)/1650717.59844*100)</f>
        <v>8.3716439523391292E-4</v>
      </c>
    </row>
    <row r="48" spans="1:7" s="7" customFormat="1" x14ac:dyDescent="0.25">
      <c r="A48" s="38" t="s">
        <v>154</v>
      </c>
      <c r="B48" s="48">
        <v>617702.96418000001</v>
      </c>
      <c r="C48" s="41">
        <f>IF(461277.01646="","-",617702.96418/461277.01646*100)</f>
        <v>133.91149832707188</v>
      </c>
      <c r="D48" s="90">
        <f>IF(461277.01646="","-",461277.01646/1650717.59844*100)</f>
        <v>27.944029729611341</v>
      </c>
      <c r="E48" s="90">
        <f>IF(617702.96418="","-",617702.96418/2112289.07699*100)</f>
        <v>29.243296805767855</v>
      </c>
      <c r="F48" s="41">
        <f>IF(1881236.72041="","-",(461277.01646-484860.68037)/1881236.72041*100)</f>
        <v>-1.2536255354860466</v>
      </c>
      <c r="G48" s="41">
        <f>IF(1650717.59844="","-",(617702.96418-461277.01646)/1650717.59844*100)</f>
        <v>9.4762391742736209</v>
      </c>
    </row>
    <row r="49" spans="1:7" s="7" customFormat="1" x14ac:dyDescent="0.25">
      <c r="A49" s="50" t="s">
        <v>59</v>
      </c>
      <c r="B49" s="49">
        <v>237239.38881</v>
      </c>
      <c r="C49" s="42">
        <f>IF(OR(168421.35423="",237239.38881=""),"-",237239.38881/168421.35423*100)</f>
        <v>140.86063486107619</v>
      </c>
      <c r="D49" s="91">
        <f>IF(168421.35423="","-",168421.35423/1650717.59844*100)</f>
        <v>10.20291746990312</v>
      </c>
      <c r="E49" s="91">
        <f>IF(237239.38881="","-",237239.38881/2112289.07699*100)</f>
        <v>11.23138832626379</v>
      </c>
      <c r="F49" s="42">
        <f>IF(OR(1881236.72041="",182532.82735="",168421.35423=""),"-",(168421.35423-182532.82735)/1881236.72041*100)</f>
        <v>-0.75011682298677063</v>
      </c>
      <c r="G49" s="42">
        <f>IF(OR(1650717.59844="",237239.38881="",168421.35423=""),"-",(237239.38881-168421.35423)/1650717.59844*100)</f>
        <v>4.1689768525540671</v>
      </c>
    </row>
    <row r="50" spans="1:7" s="7" customFormat="1" x14ac:dyDescent="0.25">
      <c r="A50" s="50" t="s">
        <v>56</v>
      </c>
      <c r="B50" s="49">
        <v>156498.79644000001</v>
      </c>
      <c r="C50" s="42">
        <f>IF(OR(112021.7743="",156498.79644=""),"-",156498.79644/112021.7743*100)</f>
        <v>139.70390793926214</v>
      </c>
      <c r="D50" s="91">
        <f>IF(112021.7743="","-",112021.7743/1650717.59844*100)</f>
        <v>6.7862470483058672</v>
      </c>
      <c r="E50" s="91">
        <f>IF(156498.79644="","-",156498.79644/2112289.07699*100)</f>
        <v>7.4089668002738485</v>
      </c>
      <c r="F50" s="42">
        <f>IF(OR(1881236.72041="",121095.01835="",112021.7743=""),"-",(112021.7743-121095.01835)/1881236.72041*100)</f>
        <v>-0.48230209157423604</v>
      </c>
      <c r="G50" s="42">
        <f>IF(OR(1650717.59844="",156498.79644="",112021.7743=""),"-",(156498.79644-112021.7743)/1650717.59844*100)</f>
        <v>2.6944052805902547</v>
      </c>
    </row>
    <row r="51" spans="1:7" s="7" customFormat="1" x14ac:dyDescent="0.25">
      <c r="A51" s="50" t="s">
        <v>19</v>
      </c>
      <c r="B51" s="49">
        <v>31882.652460000001</v>
      </c>
      <c r="C51" s="42">
        <f>IF(OR(22450.03475="",31882.65246=""),"-",31882.65246/22450.03475*100)</f>
        <v>142.01604948517954</v>
      </c>
      <c r="D51" s="91">
        <f>IF(22450.03475="","-",22450.03475/1650717.59844*100)</f>
        <v>1.3600166843326962</v>
      </c>
      <c r="E51" s="91">
        <f>IF(31882.65246="","-",31882.65246/2112289.07699*100)</f>
        <v>1.5093886915058332</v>
      </c>
      <c r="F51" s="42">
        <f>IF(OR(1881236.72041="",24827.12116="",22450.03475=""),"-",(22450.03475-24827.12116)/1881236.72041*100)</f>
        <v>-0.12635764463931651</v>
      </c>
      <c r="G51" s="42">
        <f>IF(OR(1650717.59844="",31882.65246="",22450.03475=""),"-",(31882.65246-22450.03475)/1650717.59844*100)</f>
        <v>0.57142528309592355</v>
      </c>
    </row>
    <row r="52" spans="1:7" s="7" customFormat="1" x14ac:dyDescent="0.25">
      <c r="A52" s="50" t="s">
        <v>76</v>
      </c>
      <c r="B52" s="49">
        <v>20679.978309999999</v>
      </c>
      <c r="C52" s="42">
        <f>IF(OR(16257.53407="",20679.97831=""),"-",20679.97831/16257.53407*100)</f>
        <v>127.20242947644027</v>
      </c>
      <c r="D52" s="91">
        <f>IF(16257.53407="","-",16257.53407/1650717.59844*100)</f>
        <v>0.98487676422448489</v>
      </c>
      <c r="E52" s="91">
        <f>IF(20679.97831="","-",20679.97831/2112289.07699*100)</f>
        <v>0.97903163611814203</v>
      </c>
      <c r="F52" s="42">
        <f>IF(OR(1881236.72041="",15218.87569="",16257.53407=""),"-",(16257.53407-15218.87569)/1881236.72041*100)</f>
        <v>5.5211466410969905E-2</v>
      </c>
      <c r="G52" s="42">
        <f>IF(OR(1650717.59844="",20679.97831="",16257.53407=""),"-",(20679.97831-16257.53407)/1650717.59844*100)</f>
        <v>0.2679104072180124</v>
      </c>
    </row>
    <row r="53" spans="1:7" s="7" customFormat="1" ht="25.5" x14ac:dyDescent="0.25">
      <c r="A53" s="50" t="s">
        <v>122</v>
      </c>
      <c r="B53" s="49">
        <v>20576.076010000001</v>
      </c>
      <c r="C53" s="42">
        <f>IF(OR(18633.42412="",20576.07601=""),"-",20576.07601/18633.42412*100)</f>
        <v>110.42563018739469</v>
      </c>
      <c r="D53" s="91">
        <f>IF(18633.42412="","-",18633.42412/1650717.59844*100)</f>
        <v>1.1288075039370391</v>
      </c>
      <c r="E53" s="91">
        <f>IF(20576.07601="","-",20576.07601/2112289.07699*100)</f>
        <v>0.9741126929142101</v>
      </c>
      <c r="F53" s="42">
        <f>IF(OR(1881236.72041="",19551.96446="",18633.42412=""),"-",(18633.42412-19551.96446)/1881236.72041*100)</f>
        <v>-4.882640924634999E-2</v>
      </c>
      <c r="G53" s="42">
        <f>IF(OR(1650717.59844="",20576.07601="",18633.42412=""),"-",(20576.07601-18633.42412)/1650717.59844*100)</f>
        <v>0.11768529588803631</v>
      </c>
    </row>
    <row r="54" spans="1:7" s="7" customFormat="1" x14ac:dyDescent="0.25">
      <c r="A54" s="50" t="s">
        <v>72</v>
      </c>
      <c r="B54" s="49">
        <v>15868.35967</v>
      </c>
      <c r="C54" s="42" t="s">
        <v>20</v>
      </c>
      <c r="D54" s="91">
        <f>IF(7789.85202="","-",7789.85202/1650717.59844*100)</f>
        <v>0.47190700743493308</v>
      </c>
      <c r="E54" s="91">
        <f>IF(15868.35967="","-",15868.35967/2112289.07699*100)</f>
        <v>0.75123996250609426</v>
      </c>
      <c r="F54" s="42">
        <f>IF(OR(1881236.72041="",10861.25843="",7789.85202=""),"-",(7789.85202-10861.25843)/1881236.72041*100)</f>
        <v>-0.16326528058258463</v>
      </c>
      <c r="G54" s="42">
        <f>IF(OR(1650717.59844="",15868.35967="",7789.85202=""),"-",(15868.35967-7789.85202)/1650717.59844*100)</f>
        <v>0.48939368294337809</v>
      </c>
    </row>
    <row r="55" spans="1:7" s="7" customFormat="1" x14ac:dyDescent="0.25">
      <c r="A55" s="50" t="s">
        <v>69</v>
      </c>
      <c r="B55" s="49">
        <v>15478.37722</v>
      </c>
      <c r="C55" s="42">
        <f>IF(OR(11933.0918="",15478.37722=""),"-",15478.37722/11933.0918*100)</f>
        <v>129.70969702923094</v>
      </c>
      <c r="D55" s="91">
        <f>IF(11933.0918="","-",11933.0918/1650717.59844*100)</f>
        <v>0.7229032883200186</v>
      </c>
      <c r="E55" s="91">
        <f>IF(15478.37722="","-",15478.37722/2112289.07699*100)</f>
        <v>0.73277741141646202</v>
      </c>
      <c r="F55" s="42">
        <f>IF(OR(1881236.72041="",11629.90005="",11933.0918=""),"-",(11933.0918-11629.90005)/1881236.72041*100)</f>
        <v>1.611661874928328E-2</v>
      </c>
      <c r="G55" s="42">
        <f>IF(OR(1650717.59844="",15478.37722="",11933.0918=""),"-",(15478.37722-11933.0918)/1650717.59844*100)</f>
        <v>0.21477237677422528</v>
      </c>
    </row>
    <row r="56" spans="1:7" s="7" customFormat="1" x14ac:dyDescent="0.25">
      <c r="A56" s="50" t="s">
        <v>36</v>
      </c>
      <c r="B56" s="49">
        <v>13055.055700000001</v>
      </c>
      <c r="C56" s="42">
        <f>IF(OR(11740.00177="",13055.0557=""),"-",13055.0557/11740.00177*100)</f>
        <v>111.20147982737485</v>
      </c>
      <c r="D56" s="91">
        <f>IF(11740.00177="","-",11740.00177/1650717.59844*100)</f>
        <v>0.71120594952733363</v>
      </c>
      <c r="E56" s="91">
        <f>IF(13055.0557="","-",13055.0557/2112289.07699*100)</f>
        <v>0.61805251195084443</v>
      </c>
      <c r="F56" s="42">
        <f>IF(OR(1881236.72041="",9413.95117="",11740.00177=""),"-",(11740.00177-9413.95117)/1881236.72041*100)</f>
        <v>0.1236447585125309</v>
      </c>
      <c r="G56" s="42">
        <f>IF(OR(1650717.59844="",13055.0557="",11740.00177=""),"-",(13055.0557-11740.00177)/1650717.59844*100)</f>
        <v>7.9665590967394007E-2</v>
      </c>
    </row>
    <row r="57" spans="1:7" s="7" customFormat="1" x14ac:dyDescent="0.25">
      <c r="A57" s="50" t="s">
        <v>127</v>
      </c>
      <c r="B57" s="49">
        <v>11347.21219</v>
      </c>
      <c r="C57" s="42">
        <f>IF(OR(8254.26628="",11347.21219=""),"-",11347.21219/8254.26628*100)</f>
        <v>137.47087633329903</v>
      </c>
      <c r="D57" s="91">
        <f>IF(8254.26628="","-",8254.26628/1650717.59844*100)</f>
        <v>0.50004109048093026</v>
      </c>
      <c r="E57" s="91">
        <f>IF(11347.21219="","-",11347.21219/2112289.07699*100)</f>
        <v>0.53719977599702939</v>
      </c>
      <c r="F57" s="42">
        <f>IF(OR(1881236.72041="",10080.5896="",8254.26628=""),"-",(8254.26628-10080.5896)/1881236.72041*100)</f>
        <v>-9.7080994655577804E-2</v>
      </c>
      <c r="G57" s="42">
        <f>IF(OR(1650717.59844="",11347.21219="",8254.26628=""),"-",(11347.21219-8254.26628)/1650717.59844*100)</f>
        <v>0.18736977862978918</v>
      </c>
    </row>
    <row r="58" spans="1:7" s="7" customFormat="1" x14ac:dyDescent="0.25">
      <c r="A58" s="50" t="s">
        <v>66</v>
      </c>
      <c r="B58" s="49">
        <v>9436.0497400000004</v>
      </c>
      <c r="C58" s="42">
        <f>IF(OR(9747.36785="",9436.04974=""),"-",9436.04974/9747.36785*100)</f>
        <v>96.806131513750145</v>
      </c>
      <c r="D58" s="91">
        <f>IF(9747.36785="","-",9747.36785/1650717.59844*100)</f>
        <v>0.59049275655700817</v>
      </c>
      <c r="E58" s="91">
        <f>IF(9436.04974="","-",9436.04974/2112289.07699*100)</f>
        <v>0.44672151377340447</v>
      </c>
      <c r="F58" s="42">
        <f>IF(OR(1881236.72041="",6627.51677="",9747.36785=""),"-",(9747.36785-6627.51677)/1881236.72041*100)</f>
        <v>0.1658404307204919</v>
      </c>
      <c r="G58" s="42">
        <f>IF(OR(1650717.59844="",9436.04974="",9747.36785=""),"-",(9436.04974-9747.36785)/1650717.59844*100)</f>
        <v>-1.8859562065262361E-2</v>
      </c>
    </row>
    <row r="59" spans="1:7" s="7" customFormat="1" x14ac:dyDescent="0.25">
      <c r="A59" s="50" t="s">
        <v>79</v>
      </c>
      <c r="B59" s="49">
        <v>8562.9371599999995</v>
      </c>
      <c r="C59" s="42">
        <f>IF(OR(7472.3006="",8562.93716=""),"-",8562.93716/7472.3006*100)</f>
        <v>114.59572651560619</v>
      </c>
      <c r="D59" s="91">
        <f>IF(7472.3006="","-",7472.3006/1650717.59844*100)</f>
        <v>0.45266983323262855</v>
      </c>
      <c r="E59" s="91">
        <f>IF(8562.93716="","-",8562.93716/2112289.07699*100)</f>
        <v>0.4053866136637953</v>
      </c>
      <c r="F59" s="42">
        <f>IF(OR(1881236.72041="",6623.78601="",7472.3006=""),"-",(7472.3006-6623.78601)/1881236.72041*100)</f>
        <v>4.5104083967437814E-2</v>
      </c>
      <c r="G59" s="42">
        <f>IF(OR(1650717.59844="",8562.93716="",7472.3006=""),"-",(8562.93716-7472.3006)/1650717.59844*100)</f>
        <v>6.6070450877285053E-2</v>
      </c>
    </row>
    <row r="60" spans="1:7" s="7" customFormat="1" x14ac:dyDescent="0.25">
      <c r="A60" s="50" t="s">
        <v>70</v>
      </c>
      <c r="B60" s="49">
        <v>6104.2461599999997</v>
      </c>
      <c r="C60" s="42">
        <f>IF(OR(4935.57539="",6104.24616=""),"-",6104.24616/4935.57539*100)</f>
        <v>123.67851116949507</v>
      </c>
      <c r="D60" s="91">
        <f>IF(4935.57539="","-",4935.57539/1650717.59844*100)</f>
        <v>0.29899574552693525</v>
      </c>
      <c r="E60" s="91">
        <f>IF(6104.24616="","-",6104.24616/2112289.07699*100)</f>
        <v>0.28898725209991216</v>
      </c>
      <c r="F60" s="42">
        <f>IF(OR(1881236.72041="",6895.24431="",4935.57539=""),"-",(4935.57539-6895.24431)/1881236.72041*100)</f>
        <v>-0.1041691828964994</v>
      </c>
      <c r="G60" s="42">
        <f>IF(OR(1650717.59844="",6104.24616="",4935.57539=""),"-",(6104.24616-4935.57539)/1650717.59844*100)</f>
        <v>7.0797741000910422E-2</v>
      </c>
    </row>
    <row r="61" spans="1:7" s="7" customFormat="1" x14ac:dyDescent="0.25">
      <c r="A61" s="50" t="s">
        <v>61</v>
      </c>
      <c r="B61" s="49">
        <v>4746.8441700000003</v>
      </c>
      <c r="C61" s="42">
        <f>IF(OR(3218.12282="",4746.84417=""),"-",4746.84417/3218.12282*100)</f>
        <v>147.50351169008522</v>
      </c>
      <c r="D61" s="91">
        <f>IF(3218.12282="","-",3218.12282/1650717.59844*100)</f>
        <v>0.19495296003636636</v>
      </c>
      <c r="E61" s="91">
        <f>IF(4746.84417="","-",4746.84417/2112289.07699*100)</f>
        <v>0.22472512033079425</v>
      </c>
      <c r="F61" s="42">
        <f>IF(OR(1881236.72041="",3505.75721="",3218.12282=""),"-",(3218.12282-3505.75721)/1881236.72041*100)</f>
        <v>-1.5289643609407783E-2</v>
      </c>
      <c r="G61" s="42">
        <f>IF(OR(1650717.59844="",4746.84417="",3218.12282=""),"-",(4746.84417-3218.12282)/1650717.59844*100)</f>
        <v>9.2609502161042481E-2</v>
      </c>
    </row>
    <row r="62" spans="1:7" s="7" customFormat="1" x14ac:dyDescent="0.25">
      <c r="A62" s="50" t="s">
        <v>78</v>
      </c>
      <c r="B62" s="49">
        <v>4583.3045400000001</v>
      </c>
      <c r="C62" s="42" t="s">
        <v>239</v>
      </c>
      <c r="D62" s="91">
        <f>IF(3049.81878="","-",3049.81878/1650717.59844*100)</f>
        <v>0.18475714942896418</v>
      </c>
      <c r="E62" s="91">
        <f>IF(4583.30454="","-",4583.30454/2112289.07699*100)</f>
        <v>0.21698282635306637</v>
      </c>
      <c r="F62" s="42">
        <f>IF(OR(1881236.72041="",2964.51768="",3049.81878=""),"-",(3049.81878-2964.51768)/1881236.72041*100)</f>
        <v>4.5343097481857289E-3</v>
      </c>
      <c r="G62" s="42">
        <f>IF(OR(1650717.59844="",4583.30454="",3049.81878=""),"-",(4583.30454-3049.81878)/1650717.59844*100)</f>
        <v>9.2898128756197351E-2</v>
      </c>
    </row>
    <row r="63" spans="1:7" s="7" customFormat="1" x14ac:dyDescent="0.25">
      <c r="A63" s="50" t="s">
        <v>62</v>
      </c>
      <c r="B63" s="49">
        <v>4224.6232799999998</v>
      </c>
      <c r="C63" s="42">
        <f>IF(OR(4205.7248="",4224.62328=""),"-",4224.62328/4205.7248*100)</f>
        <v>100.44935132227386</v>
      </c>
      <c r="D63" s="91">
        <f>IF(4205.7248="","-",4205.7248/1650717.59844*100)</f>
        <v>0.25478160552565704</v>
      </c>
      <c r="E63" s="91">
        <f>IF(4224.62328="","-",4224.62328/2112289.07699*100)</f>
        <v>0.20000213635626352</v>
      </c>
      <c r="F63" s="42">
        <f>IF(OR(1881236.72041="",4596.06853="",4205.7248=""),"-",(4205.7248-4596.06853)/1881236.72041*100)</f>
        <v>-2.0749314839810663E-2</v>
      </c>
      <c r="G63" s="42">
        <f>IF(OR(1650717.59844="",4224.62328="",4205.7248=""),"-",(4224.62328-4205.7248)/1650717.59844*100)</f>
        <v>1.1448645133401208E-3</v>
      </c>
    </row>
    <row r="64" spans="1:7" s="7" customFormat="1" x14ac:dyDescent="0.25">
      <c r="A64" s="50" t="s">
        <v>71</v>
      </c>
      <c r="B64" s="49">
        <v>4092.1410500000002</v>
      </c>
      <c r="C64" s="42">
        <f>IF(OR(3155.37788="",4092.14105=""),"-",4092.14105/3155.37788*100)</f>
        <v>129.68782838776826</v>
      </c>
      <c r="D64" s="91">
        <f>IF(3155.37788="","-",3155.37788/1650717.59844*100)</f>
        <v>0.19115188951653325</v>
      </c>
      <c r="E64" s="91">
        <f>IF(4092.14105="","-",4092.14105/2112289.07699*100)</f>
        <v>0.19373016196397125</v>
      </c>
      <c r="F64" s="42">
        <f>IF(OR(1881236.72041="",3313.98639="",3155.37788=""),"-",(3155.37788-3313.98639)/1881236.72041*100)</f>
        <v>-8.4310766571382145E-3</v>
      </c>
      <c r="G64" s="42">
        <f>IF(OR(1650717.59844="",4092.14105="",3155.37788=""),"-",(4092.14105-3155.37788)/1650717.59844*100)</f>
        <v>5.674884491964477E-2</v>
      </c>
    </row>
    <row r="65" spans="1:7" s="7" customFormat="1" x14ac:dyDescent="0.25">
      <c r="A65" s="50" t="s">
        <v>82</v>
      </c>
      <c r="B65" s="49">
        <v>3912.63879</v>
      </c>
      <c r="C65" s="42" t="s">
        <v>104</v>
      </c>
      <c r="D65" s="91">
        <f>IF(2494.82648="","-",2494.82648/1650717.59844*100)</f>
        <v>0.15113587462553982</v>
      </c>
      <c r="E65" s="91">
        <f>IF(3912.63879="","-",3912.63879/2112289.07699*100)</f>
        <v>0.18523216507730506</v>
      </c>
      <c r="F65" s="42">
        <f>IF(OR(1881236.72041="",3283.9844="",2494.82648=""),"-",(2494.82648-3283.9844)/1881236.72041*100)</f>
        <v>-4.1948889867938002E-2</v>
      </c>
      <c r="G65" s="42">
        <f>IF(OR(1650717.59844="",3912.63879="",2494.82648=""),"-",(3912.63879-2494.82648)/1650717.59844*100)</f>
        <v>8.5890664238382999E-2</v>
      </c>
    </row>
    <row r="66" spans="1:7" s="7" customFormat="1" x14ac:dyDescent="0.25">
      <c r="A66" s="50" t="s">
        <v>74</v>
      </c>
      <c r="B66" s="49">
        <v>3854.95471</v>
      </c>
      <c r="C66" s="42">
        <f>IF(OR(3101.68261="",3854.95471=""),"-",3854.95471/3101.68261*100)</f>
        <v>124.28591815201879</v>
      </c>
      <c r="D66" s="91">
        <f>IF(3101.68261="","-",3101.68261/1650717.59844*100)</f>
        <v>0.18789904541704922</v>
      </c>
      <c r="E66" s="91">
        <f>IF(3854.95471="","-",3854.95471/2112289.07699*100)</f>
        <v>0.18250128507473459</v>
      </c>
      <c r="F66" s="42">
        <f>IF(OR(1881236.72041="",2501.37238="",3101.68261=""),"-",(3101.68261-2501.37238)/1881236.72041*100)</f>
        <v>3.1910403591801431E-2</v>
      </c>
      <c r="G66" s="42">
        <f>IF(OR(1650717.59844="",3854.95471="",3101.68261=""),"-",(3854.95471-3101.68261)/1650717.59844*100)</f>
        <v>4.5633008378409189E-2</v>
      </c>
    </row>
    <row r="67" spans="1:7" s="7" customFormat="1" x14ac:dyDescent="0.25">
      <c r="A67" s="50" t="s">
        <v>65</v>
      </c>
      <c r="B67" s="49">
        <v>2678.0887299999999</v>
      </c>
      <c r="C67" s="42">
        <f>IF(OR(1962.42609="",2678.08873=""),"-",2678.08873/1962.42609*100)</f>
        <v>136.46825955111512</v>
      </c>
      <c r="D67" s="91">
        <f>IF(1962.42609="","-",1962.42609/1650717.59844*100)</f>
        <v>0.11888321126851606</v>
      </c>
      <c r="E67" s="91">
        <f>IF(2678.08873="","-",2678.08873/2112289.07699*100)</f>
        <v>0.12678608998992985</v>
      </c>
      <c r="F67" s="42">
        <f>IF(OR(1881236.72041="",1657.78831="",1962.42609=""),"-",(1962.42609-1657.78831)/1881236.72041*100)</f>
        <v>1.6193484673933365E-2</v>
      </c>
      <c r="G67" s="42">
        <f>IF(OR(1650717.59844="",2678.08873="",1962.42609=""),"-",(2678.08873-1962.42609)/1650717.59844*100)</f>
        <v>4.3354638048102981E-2</v>
      </c>
    </row>
    <row r="68" spans="1:7" s="7" customFormat="1" x14ac:dyDescent="0.25">
      <c r="A68" s="50" t="s">
        <v>83</v>
      </c>
      <c r="B68" s="49">
        <v>2647.48072</v>
      </c>
      <c r="C68" s="42">
        <f>IF(OR(3542.6399="",2647.48072=""),"-",2647.48072/3542.6399*100)</f>
        <v>74.731860836321516</v>
      </c>
      <c r="D68" s="91">
        <f>IF(3542.6399="","-",3542.6399/1650717.59844*100)</f>
        <v>0.21461211192925722</v>
      </c>
      <c r="E68" s="91">
        <f>IF(2647.48072="","-",2647.48072/2112289.07699*100)</f>
        <v>0.1253370454281118</v>
      </c>
      <c r="F68" s="42">
        <f>IF(OR(1881236.72041="",2776.01565="",3542.6399=""),"-",(3542.6399-2776.01565)/1881236.72041*100)</f>
        <v>4.0751078356206068E-2</v>
      </c>
      <c r="G68" s="42">
        <f>IF(OR(1650717.59844="",2647.48072="",3542.6399=""),"-",(2647.48072-3542.6399)/1650717.59844*100)</f>
        <v>-5.4228487104394138E-2</v>
      </c>
    </row>
    <row r="69" spans="1:7" s="7" customFormat="1" x14ac:dyDescent="0.25">
      <c r="A69" s="50" t="s">
        <v>85</v>
      </c>
      <c r="B69" s="49">
        <v>2601.8789900000002</v>
      </c>
      <c r="C69" s="42" t="s">
        <v>103</v>
      </c>
      <c r="D69" s="91">
        <f>IF(1508.88017="","-",1508.88017/1650717.59844*100)</f>
        <v>9.1407529151319236E-2</v>
      </c>
      <c r="E69" s="91">
        <f>IF(2601.87899="","-",2601.87899/2112289.07699*100)</f>
        <v>0.12317816809939969</v>
      </c>
      <c r="F69" s="42">
        <f>IF(OR(1881236.72041="",2647.9182="",1508.88017=""),"-",(1508.88017-2647.9182)/1881236.72041*100)</f>
        <v>-6.0547299425016333E-2</v>
      </c>
      <c r="G69" s="42">
        <f>IF(OR(1650717.59844="",2601.87899="",1508.88017=""),"-",(2601.87899-1508.88017)/1650717.59844*100)</f>
        <v>6.6213555912466901E-2</v>
      </c>
    </row>
    <row r="70" spans="1:7" s="7" customFormat="1" x14ac:dyDescent="0.25">
      <c r="A70" s="50" t="s">
        <v>63</v>
      </c>
      <c r="B70" s="49">
        <v>2479.0004300000001</v>
      </c>
      <c r="C70" s="42">
        <f>IF(OR(4038.6658="",2479.00043=""),"-",2479.00043/4038.6658*100)</f>
        <v>61.381667926075977</v>
      </c>
      <c r="D70" s="91">
        <f>IF(4038.6658="","-",4038.6658/1650717.59844*100)</f>
        <v>0.24466121908536717</v>
      </c>
      <c r="E70" s="91">
        <f>IF(2479.00043="","-",2479.00043/2112289.07699*100)</f>
        <v>0.11736085070006429</v>
      </c>
      <c r="F70" s="42">
        <f>IF(OR(1881236.72041="",3993.49199="",4038.6658=""),"-",(4038.6658-3993.49199)/1881236.72041*100)</f>
        <v>2.4012825982981543E-3</v>
      </c>
      <c r="G70" s="42">
        <f>IF(OR(1650717.59844="",2479.00043="",4038.6658=""),"-",(2479.00043-4038.6658)/1650717.59844*100)</f>
        <v>-9.4484082042497863E-2</v>
      </c>
    </row>
    <row r="71" spans="1:7" s="7" customFormat="1" x14ac:dyDescent="0.25">
      <c r="A71" s="50" t="s">
        <v>88</v>
      </c>
      <c r="B71" s="49">
        <v>2438.9295200000001</v>
      </c>
      <c r="C71" s="42" t="s">
        <v>352</v>
      </c>
      <c r="D71" s="91">
        <f>IF(905.05496="","-",905.05496/1650717.59844*100)</f>
        <v>5.482797062655153E-2</v>
      </c>
      <c r="E71" s="91">
        <f>IF(2438.92952="","-",2438.92952/2112289.07699*100)</f>
        <v>0.11546381347933025</v>
      </c>
      <c r="F71" s="42">
        <f>IF(OR(1881236.72041="",981.19554="",905.05496=""),"-",(905.05496-981.19554)/1881236.72041*100)</f>
        <v>-4.0473683707069989E-3</v>
      </c>
      <c r="G71" s="42">
        <f>IF(OR(1650717.59844="",2438.92952="",905.05496=""),"-",(2438.92952-905.05496)/1650717.59844*100)</f>
        <v>9.2921682148998611E-2</v>
      </c>
    </row>
    <row r="72" spans="1:7" s="7" customFormat="1" x14ac:dyDescent="0.25">
      <c r="A72" s="50" t="s">
        <v>84</v>
      </c>
      <c r="B72" s="49">
        <v>2275.3757900000001</v>
      </c>
      <c r="C72" s="42">
        <f>IF(OR(1818.80047="",2275.37579=""),"-",2275.37579/1818.80047*100)</f>
        <v>125.10310105648918</v>
      </c>
      <c r="D72" s="91">
        <f>IF(1818.80047="","-",1818.80047/1650717.59844*100)</f>
        <v>0.11018241228656225</v>
      </c>
      <c r="E72" s="91">
        <f>IF(2275.37579="","-",2275.37579/2112289.07699*100)</f>
        <v>0.10772085197933219</v>
      </c>
      <c r="F72" s="42">
        <f>IF(OR(1881236.72041="",1225.8003="",1818.80047=""),"-",(1818.80047-1225.8003)/1881236.72041*100)</f>
        <v>3.1521826230925386E-2</v>
      </c>
      <c r="G72" s="42">
        <f>IF(OR(1650717.59844="",2275.37579="",1818.80047=""),"-",(2275.37579-1818.80047)/1650717.59844*100)</f>
        <v>2.7659202302773269E-2</v>
      </c>
    </row>
    <row r="73" spans="1:7" s="7" customFormat="1" x14ac:dyDescent="0.25">
      <c r="A73" s="50" t="s">
        <v>136</v>
      </c>
      <c r="B73" s="49">
        <v>2274.4294799999998</v>
      </c>
      <c r="C73" s="42" t="s">
        <v>105</v>
      </c>
      <c r="D73" s="91">
        <f>IF(1220.79066="","-",1220.79066/1650717.59844*100)</f>
        <v>7.3955149030561024E-2</v>
      </c>
      <c r="E73" s="91">
        <f>IF(2274.42948="","-",2274.42948/2112289.07699*100)</f>
        <v>0.10767605176660049</v>
      </c>
      <c r="F73" s="42">
        <f>IF(OR(1881236.72041="",2511.01939="",1220.79066=""),"-",(1220.79066-2511.01939)/1881236.72041*100)</f>
        <v>-6.8584071106096919E-2</v>
      </c>
      <c r="G73" s="42">
        <f>IF(OR(1650717.59844="",2274.42948="",1220.79066=""),"-",(2274.42948-1220.79066)/1650717.59844*100)</f>
        <v>6.3829138369623881E-2</v>
      </c>
    </row>
    <row r="74" spans="1:7" s="7" customFormat="1" x14ac:dyDescent="0.25">
      <c r="A74" s="50" t="s">
        <v>68</v>
      </c>
      <c r="B74" s="49">
        <v>2097.3675199999998</v>
      </c>
      <c r="C74" s="42">
        <f>IF(OR(1702.42806="",2097.36752=""),"-",2097.36752/1702.42806*100)</f>
        <v>123.19859906444447</v>
      </c>
      <c r="D74" s="91">
        <f>IF(1702.42806="","-",1702.42806/1650717.59844*100)</f>
        <v>0.10313260497185398</v>
      </c>
      <c r="E74" s="91">
        <f>IF(2097.36752="","-",2097.36752/2112289.07699*100)</f>
        <v>9.9293583574684624E-2</v>
      </c>
      <c r="F74" s="42">
        <f>IF(OR(1881236.72041="",1571.78241="",1702.42806=""),"-",(1702.42806-1571.78241)/1881236.72041*100)</f>
        <v>6.9446682909488815E-3</v>
      </c>
      <c r="G74" s="42">
        <f>IF(OR(1650717.59844="",2097.36752="",1702.42806=""),"-",(2097.36752-1702.42806)/1650717.59844*100)</f>
        <v>2.3925319532137709E-2</v>
      </c>
    </row>
    <row r="75" spans="1:7" s="7" customFormat="1" x14ac:dyDescent="0.25">
      <c r="A75" s="50" t="s">
        <v>75</v>
      </c>
      <c r="B75" s="49">
        <v>1524.35601</v>
      </c>
      <c r="C75" s="42">
        <f>IF(OR(1856.50361="",1524.35601=""),"-",1524.35601/1856.50361*100)</f>
        <v>82.108970959663253</v>
      </c>
      <c r="D75" s="91">
        <f>IF(1856.50361="","-",1856.50361/1650717.59844*100)</f>
        <v>0.11246645772447551</v>
      </c>
      <c r="E75" s="91">
        <f>IF(1524.35601="","-",1524.35601/2112289.07699*100)</f>
        <v>7.2166069815226178E-2</v>
      </c>
      <c r="F75" s="42">
        <f>IF(OR(1881236.72041="",1266.32891999999="",1856.50361=""),"-",(1856.50361-1266.32891999999)/1881236.72041*100)</f>
        <v>3.1371633542821041E-2</v>
      </c>
      <c r="G75" s="42">
        <f>IF(OR(1650717.59844="",1524.35601="",1856.50361=""),"-",(1524.35601-1856.50361)/1650717.59844*100)</f>
        <v>-2.0121406612123961E-2</v>
      </c>
    </row>
    <row r="76" spans="1:7" s="7" customFormat="1" x14ac:dyDescent="0.25">
      <c r="A76" s="50" t="s">
        <v>80</v>
      </c>
      <c r="B76" s="49">
        <v>1450.4705899999999</v>
      </c>
      <c r="C76" s="42">
        <f>IF(OR(2046.16877="",1450.47059=""),"-",1450.47059/2046.16877*100)</f>
        <v>70.887143390425209</v>
      </c>
      <c r="D76" s="91">
        <f>IF(2046.16877="","-",2046.16877/1650717.59844*100)</f>
        <v>0.12395631887209045</v>
      </c>
      <c r="E76" s="91">
        <f>IF(1450.47059="","-",1450.47059/2112289.07699*100)</f>
        <v>6.8668185893708836E-2</v>
      </c>
      <c r="F76" s="42">
        <f>IF(OR(1881236.72041="",2321.87266="",2046.16877=""),"-",(2046.16877-2321.87266)/1881236.72041*100)</f>
        <v>-1.4655459730762252E-2</v>
      </c>
      <c r="G76" s="42">
        <f>IF(OR(1650717.59844="",1450.47059="",2046.16877=""),"-",(1450.47059-2046.16877)/1650717.59844*100)</f>
        <v>-3.608722537173898E-2</v>
      </c>
    </row>
    <row r="77" spans="1:7" s="7" customFormat="1" x14ac:dyDescent="0.25">
      <c r="A77" s="50" t="s">
        <v>73</v>
      </c>
      <c r="B77" s="49">
        <v>1439.12869</v>
      </c>
      <c r="C77" s="42" t="s">
        <v>20</v>
      </c>
      <c r="D77" s="91">
        <f>IF(709.15626="","-",709.15626/1650717.59844*100)</f>
        <v>4.2960483408560221E-2</v>
      </c>
      <c r="E77" s="91">
        <f>IF(1439.12869="","-",1439.12869/2112289.07699*100)</f>
        <v>6.8131237607437251E-2</v>
      </c>
      <c r="F77" s="42">
        <f>IF(OR(1881236.72041="",653.14099="",709.15626=""),"-",(709.15626-653.14099)/1881236.72041*100)</f>
        <v>2.9775768988706494E-3</v>
      </c>
      <c r="G77" s="42">
        <f>IF(OR(1650717.59844="",1439.12869="",709.15626=""),"-",(1439.12869-709.15626)/1650717.59844*100)</f>
        <v>4.4221521033631417E-2</v>
      </c>
    </row>
    <row r="78" spans="1:7" s="7" customFormat="1" x14ac:dyDescent="0.25">
      <c r="A78" s="50" t="s">
        <v>89</v>
      </c>
      <c r="B78" s="49">
        <v>1384.6704500000001</v>
      </c>
      <c r="C78" s="42" t="s">
        <v>241</v>
      </c>
      <c r="D78" s="91">
        <f>IF(435.82164="","-",435.82164/1650717.59844*100)</f>
        <v>2.6401950304029614E-2</v>
      </c>
      <c r="E78" s="91">
        <f>IF(1384.67045="","-",1384.67045/2112289.07699*100)</f>
        <v>6.5553075338208339E-2</v>
      </c>
      <c r="F78" s="42">
        <f>IF(OR(1881236.72041="",507.00854="",435.82164=""),"-",(435.82164-507.00854)/1881236.72041*100)</f>
        <v>-3.784047973743856E-3</v>
      </c>
      <c r="G78" s="42">
        <f>IF(OR(1650717.59844="",1384.67045="",435.82164=""),"-",(1384.67045-435.82164)/1650717.59844*100)</f>
        <v>5.7480989534291232E-2</v>
      </c>
    </row>
    <row r="79" spans="1:7" s="7" customFormat="1" x14ac:dyDescent="0.25">
      <c r="A79" s="50" t="s">
        <v>58</v>
      </c>
      <c r="B79" s="49">
        <v>1323.82611</v>
      </c>
      <c r="C79" s="42">
        <f>IF(OR(2406.07414="",1323.82611=""),"-",1323.82611/2406.07414*100)</f>
        <v>55.020171157319368</v>
      </c>
      <c r="D79" s="91">
        <f>IF(2406.07414="","-",2406.07414/1650717.59844*100)</f>
        <v>0.14575928325195325</v>
      </c>
      <c r="E79" s="91">
        <f>IF(1323.82611="","-",1323.82611/2112289.07699*100)</f>
        <v>6.2672582290982853E-2</v>
      </c>
      <c r="F79" s="42">
        <f>IF(OR(1881236.72041="",1020.2021="",2406.07414=""),"-",(2406.07414-1020.2021)/1881236.72041*100)</f>
        <v>7.3668136761542741E-2</v>
      </c>
      <c r="G79" s="42">
        <f>IF(OR(1650717.59844="",1323.82611="",2406.07414=""),"-",(1323.82611-2406.07414)/1650717.59844*100)</f>
        <v>-6.5562276129046651E-2</v>
      </c>
    </row>
    <row r="80" spans="1:7" s="7" customFormat="1" x14ac:dyDescent="0.25">
      <c r="A80" s="50" t="s">
        <v>138</v>
      </c>
      <c r="B80" s="49">
        <v>1305.56557</v>
      </c>
      <c r="C80" s="42" t="s">
        <v>236</v>
      </c>
      <c r="D80" s="91">
        <f>IF(578.18535="","-",578.18535/1650717.59844*100)</f>
        <v>3.5026303139096007E-2</v>
      </c>
      <c r="E80" s="91">
        <f>IF(1305.56557="","-",1305.56557/2112289.07699*100)</f>
        <v>6.1808091715383172E-2</v>
      </c>
      <c r="F80" s="42">
        <f>IF(OR(1881236.72041="",1580.77483="",578.18535=""),"-",(578.18535-1580.77483)/1881236.72041*100)</f>
        <v>-5.3294169155995101E-2</v>
      </c>
      <c r="G80" s="42">
        <f>IF(OR(1650717.59844="",1305.56557="",578.18535=""),"-",(1305.56557-578.18535)/1650717.59844*100)</f>
        <v>4.406448569321645E-2</v>
      </c>
    </row>
    <row r="81" spans="1:7" s="7" customFormat="1" x14ac:dyDescent="0.25">
      <c r="A81" s="50" t="s">
        <v>91</v>
      </c>
      <c r="B81" s="49">
        <v>1260.18038</v>
      </c>
      <c r="C81" s="42" t="s">
        <v>221</v>
      </c>
      <c r="D81" s="91">
        <f>IF(570.67829="","-",570.67829/1650717.59844*100)</f>
        <v>3.4571527591352742E-2</v>
      </c>
      <c r="E81" s="91">
        <f>IF(1260.18038="","-",1260.18038/2112289.07699*100)</f>
        <v>5.9659465824429193E-2</v>
      </c>
      <c r="F81" s="42">
        <f>IF(OR(1881236.72041="",888.83299="",570.67829=""),"-",(570.67829-888.83299)/1881236.72041*100)</f>
        <v>-1.6911997121269291E-2</v>
      </c>
      <c r="G81" s="42">
        <f>IF(OR(1650717.59844="",1260.18038="",570.67829=""),"-",(1260.18038-570.67829)/1650717.59844*100)</f>
        <v>4.176983941115122E-2</v>
      </c>
    </row>
    <row r="82" spans="1:7" s="7" customFormat="1" x14ac:dyDescent="0.25">
      <c r="A82" s="50" t="s">
        <v>93</v>
      </c>
      <c r="B82" s="49">
        <v>1165.2839100000001</v>
      </c>
      <c r="C82" s="42" t="s">
        <v>326</v>
      </c>
      <c r="D82" s="91">
        <f>IF(217.10697="","-",217.10697/1650717.59844*100)</f>
        <v>1.3152278148919932E-2</v>
      </c>
      <c r="E82" s="91">
        <f>IF(1165.28391="","-",1165.28391/2112289.07699*100)</f>
        <v>5.516687666919734E-2</v>
      </c>
      <c r="F82" s="42">
        <f>IF(OR(1881236.72041="",361.50289="",217.10697=""),"-",(217.10697-361.50289)/1881236.72041*100)</f>
        <v>-7.6755848125551196E-3</v>
      </c>
      <c r="G82" s="42">
        <f>IF(OR(1650717.59844="",1165.28391="",217.10697=""),"-",(1165.28391-217.10697)/1650717.59844*100)</f>
        <v>5.7440287841849423E-2</v>
      </c>
    </row>
    <row r="83" spans="1:7" s="7" customFormat="1" x14ac:dyDescent="0.25">
      <c r="A83" s="50" t="s">
        <v>87</v>
      </c>
      <c r="B83" s="49">
        <v>1164.74676</v>
      </c>
      <c r="C83" s="42" t="s">
        <v>20</v>
      </c>
      <c r="D83" s="91">
        <f>IF(593.51056="","-",593.51056/1650717.59844*100)</f>
        <v>3.595469997780925E-2</v>
      </c>
      <c r="E83" s="91">
        <f>IF(1164.74676="","-",1164.74676/2112289.07699*100)</f>
        <v>5.5141446911222851E-2</v>
      </c>
      <c r="F83" s="42">
        <f>IF(OR(1881236.72041="",810.44314="",593.51056=""),"-",(593.51056-810.44314)/1881236.72041*100)</f>
        <v>-1.1531381332633208E-2</v>
      </c>
      <c r="G83" s="42">
        <f>IF(OR(1650717.59844="",1164.74676="",593.51056=""),"-",(1164.74676-593.51056)/1650717.59844*100)</f>
        <v>3.4605325619587686E-2</v>
      </c>
    </row>
    <row r="84" spans="1:7" s="7" customFormat="1" x14ac:dyDescent="0.25">
      <c r="A84" s="50" t="s">
        <v>39</v>
      </c>
      <c r="B84" s="49">
        <v>1139.8662300000001</v>
      </c>
      <c r="C84" s="42">
        <f>IF(OR(1030.10053="",1139.86623=""),"-",1139.86623/1030.10053*100)</f>
        <v>110.65582404855185</v>
      </c>
      <c r="D84" s="91">
        <f>IF(1030.10053="","-",1030.10053/1650717.59844*100)</f>
        <v>6.240319549349263E-2</v>
      </c>
      <c r="E84" s="91">
        <f>IF(1139.86623="","-",1139.86623/2112289.07699*100)</f>
        <v>5.3963552736082082E-2</v>
      </c>
      <c r="F84" s="42">
        <f>IF(OR(1881236.72041="",1075.87144="",1030.10053=""),"-",(1030.10053-1075.87144)/1881236.72041*100)</f>
        <v>-2.433022357230225E-3</v>
      </c>
      <c r="G84" s="42">
        <f>IF(OR(1650717.59844="",1139.86623="",1030.10053=""),"-",(1139.86623-1030.10053)/1650717.59844*100)</f>
        <v>6.6495747124604172E-3</v>
      </c>
    </row>
    <row r="85" spans="1:7" s="7" customFormat="1" x14ac:dyDescent="0.25">
      <c r="A85" s="50" t="s">
        <v>37</v>
      </c>
      <c r="B85" s="49">
        <v>1043.68382</v>
      </c>
      <c r="C85" s="42">
        <f>IF(OR(1284.61807="",1043.68382=""),"-",1043.68382/1284.61807*100)</f>
        <v>81.244678428040487</v>
      </c>
      <c r="D85" s="91">
        <f>IF(1284.61807="","-",1284.61807/1650717.59844*100)</f>
        <v>7.78217952734023E-2</v>
      </c>
      <c r="E85" s="91">
        <f>IF(1043.68382="","-",1043.68382/2112289.07699*100)</f>
        <v>4.9410084602967481E-2</v>
      </c>
      <c r="F85" s="42">
        <f>IF(OR(1881236.72041="",746.6484="",1284.61807=""),"-",(1284.61807-746.6484)/1881236.72041*100)</f>
        <v>2.8596596279640656E-2</v>
      </c>
      <c r="G85" s="42">
        <f>IF(OR(1650717.59844="",1043.68382="",1284.61807=""),"-",(1043.68382-1284.61807)/1650717.59844*100)</f>
        <v>-1.4595727956598595E-2</v>
      </c>
    </row>
    <row r="86" spans="1:7" s="7" customFormat="1" x14ac:dyDescent="0.25">
      <c r="A86" s="50" t="s">
        <v>86</v>
      </c>
      <c r="B86" s="49">
        <v>918.14871000000005</v>
      </c>
      <c r="C86" s="42">
        <f>IF(OR(1885.60504="",918.14871=""),"-",918.14871/1885.60504*100)</f>
        <v>48.692525238477309</v>
      </c>
      <c r="D86" s="91">
        <f>IF(1885.60504="","-",1885.60504/1650717.59844*100)</f>
        <v>0.11422941403072086</v>
      </c>
      <c r="E86" s="91">
        <f>IF(918.14871="","-",918.14871/2112289.07699*100)</f>
        <v>4.3467000800305085E-2</v>
      </c>
      <c r="F86" s="42">
        <f>IF(OR(1881236.72041="",586.27631="",1885.60504=""),"-",(1885.60504-586.27631)/1881236.72041*100)</f>
        <v>6.9067795450900082E-2</v>
      </c>
      <c r="G86" s="42">
        <f>IF(OR(1650717.59844="",918.14871="",1885.60504=""),"-",(918.14871-1885.60504)/1650717.59844*100)</f>
        <v>-5.8608227774047367E-2</v>
      </c>
    </row>
    <row r="87" spans="1:7" s="7" customFormat="1" x14ac:dyDescent="0.25">
      <c r="A87" s="50" t="s">
        <v>38</v>
      </c>
      <c r="B87" s="49">
        <v>773.47217000000001</v>
      </c>
      <c r="C87" s="42">
        <f>IF(OR(865.87481="",773.47217=""),"-",773.47217/865.87481*100)</f>
        <v>89.328406493312812</v>
      </c>
      <c r="D87" s="91">
        <f>IF(865.87481="","-",865.87481/1650717.59844*100)</f>
        <v>5.2454448345270535E-2</v>
      </c>
      <c r="E87" s="91">
        <f>IF(773.47217="","-",773.47217/2112289.07699*100)</f>
        <v>3.6617723323277014E-2</v>
      </c>
      <c r="F87" s="42">
        <f>IF(OR(1881236.72041="",818.17065="",865.87481=""),"-",(865.87481-818.17065)/1881236.72041*100)</f>
        <v>2.535787202240198E-3</v>
      </c>
      <c r="G87" s="42">
        <f>IF(OR(1650717.59844="",773.47217="",865.87481=""),"-",(773.47217-865.87481)/1650717.59844*100)</f>
        <v>-5.5977255035824748E-3</v>
      </c>
    </row>
    <row r="88" spans="1:7" s="7" customFormat="1" x14ac:dyDescent="0.25">
      <c r="A88" s="50" t="s">
        <v>97</v>
      </c>
      <c r="B88" s="49">
        <v>523.01116999999999</v>
      </c>
      <c r="C88" s="42">
        <f>IF(OR(442.03372="",523.01117=""),"-",523.01117/442.03372*100)</f>
        <v>118.31929247388638</v>
      </c>
      <c r="D88" s="91">
        <f>IF(442.03372="","-",442.03372/1650717.59844*100)</f>
        <v>2.6778276333743644E-2</v>
      </c>
      <c r="E88" s="91">
        <f>IF(523.01117="","-",523.01117/2112289.07699*100)</f>
        <v>2.4760397414225518E-2</v>
      </c>
      <c r="F88" s="42">
        <f>IF(OR(1881236.72041="",340.19159="",442.03372=""),"-",(442.03372-340.19159)/1881236.72041*100)</f>
        <v>5.4135733634735955E-3</v>
      </c>
      <c r="G88" s="42">
        <f>IF(OR(1650717.59844="",523.01117="",442.03372=""),"-",(523.01117-442.03372)/1650717.59844*100)</f>
        <v>4.9055907610439957E-3</v>
      </c>
    </row>
    <row r="89" spans="1:7" x14ac:dyDescent="0.25">
      <c r="A89" s="50" t="s">
        <v>159</v>
      </c>
      <c r="B89" s="49">
        <v>507.26832000000002</v>
      </c>
      <c r="C89" s="42" t="s">
        <v>222</v>
      </c>
      <c r="D89" s="91">
        <f>IF(289.08902="","-",289.08902/1650717.59844*100)</f>
        <v>1.7512930150693353E-2</v>
      </c>
      <c r="E89" s="91">
        <f>IF(507.26832="","-",507.26832/2112289.07699*100)</f>
        <v>2.401509933114148E-2</v>
      </c>
      <c r="F89" s="42">
        <f>IF(OR(1881236.72041="",433.2355="",289.08902=""),"-",(289.08902-433.2355)/1881236.72041*100)</f>
        <v>-7.6623254498553728E-3</v>
      </c>
      <c r="G89" s="42">
        <f>IF(OR(1650717.59844="",507.26832="",289.08902=""),"-",(507.26832-289.08902)/1650717.59844*100)</f>
        <v>1.3217239593628183E-2</v>
      </c>
    </row>
    <row r="90" spans="1:7" x14ac:dyDescent="0.25">
      <c r="A90" s="50" t="s">
        <v>232</v>
      </c>
      <c r="B90" s="49">
        <v>500.95161000000002</v>
      </c>
      <c r="C90" s="42">
        <f>IF(OR(619.79803="",500.95161=""),"-",500.95161/619.79803*100)</f>
        <v>80.824976161992637</v>
      </c>
      <c r="D90" s="91">
        <f>IF(619.79803="","-",619.79803/1650717.59844*100)</f>
        <v>3.7547187392061254E-2</v>
      </c>
      <c r="E90" s="91">
        <f>IF(500.95161="","-",500.95161/2112289.07699*100)</f>
        <v>2.3716053614870426E-2</v>
      </c>
      <c r="F90" s="42">
        <f>IF(OR(1881236.72041="",680.5939="",619.79803=""),"-",(619.79803-680.5939)/1881236.72041*100)</f>
        <v>-3.231696965108674E-3</v>
      </c>
      <c r="G90" s="42">
        <f>IF(OR(1650717.59844="",500.95161="",619.79803=""),"-",(500.95161-619.79803)/1650717.59844*100)</f>
        <v>-7.1996821329290391E-3</v>
      </c>
    </row>
    <row r="91" spans="1:7" x14ac:dyDescent="0.25">
      <c r="A91" s="50" t="s">
        <v>67</v>
      </c>
      <c r="B91" s="49">
        <v>457.37785000000002</v>
      </c>
      <c r="C91" s="42">
        <f>IF(OR(579.17069="",457.37785=""),"-",457.37785/579.17069*100)</f>
        <v>78.971166513968456</v>
      </c>
      <c r="D91" s="91">
        <f>IF(579.17069="","-",579.17069/1650717.59844*100)</f>
        <v>3.5085994754483839E-2</v>
      </c>
      <c r="E91" s="91">
        <f>IF(457.37785="","-",457.37785/2112289.07699*100)</f>
        <v>2.16531844519956E-2</v>
      </c>
      <c r="F91" s="42">
        <f>IF(OR(1881236.72041="",621.98873="",579.17069=""),"-",(579.17069-621.98873)/1881236.72041*100)</f>
        <v>-2.2760580598633093E-3</v>
      </c>
      <c r="G91" s="42">
        <f>IF(OR(1650717.59844="",457.37785="",579.17069=""),"-",(457.37785-579.17069)/1650717.59844*100)</f>
        <v>-7.3781754138381728E-3</v>
      </c>
    </row>
    <row r="92" spans="1:7" x14ac:dyDescent="0.25">
      <c r="A92" s="50" t="s">
        <v>158</v>
      </c>
      <c r="B92" s="49">
        <v>449.92615000000001</v>
      </c>
      <c r="C92" s="42">
        <f>IF(OR(305.29409="",449.92615=""),"-",449.92615/305.29409*100)</f>
        <v>147.37466748865003</v>
      </c>
      <c r="D92" s="91">
        <f>IF(305.29409="","-",305.29409/1650717.59844*100)</f>
        <v>1.8494628656562224E-2</v>
      </c>
      <c r="E92" s="91">
        <f>IF(449.92615="","-",449.92615/2112289.07699*100)</f>
        <v>2.13004060334934E-2</v>
      </c>
      <c r="F92" s="42">
        <f>IF(OR(1881236.72041="",197.79015="",305.29409=""),"-",(305.29409-197.79015)/1881236.72041*100)</f>
        <v>5.7145354879406338E-3</v>
      </c>
      <c r="G92" s="42">
        <f>IF(OR(1650717.59844="",449.92615="",305.29409=""),"-",(449.92615-305.29409)/1650717.59844*100)</f>
        <v>8.7617688293069405E-3</v>
      </c>
    </row>
    <row r="93" spans="1:7" x14ac:dyDescent="0.25">
      <c r="A93" s="50" t="s">
        <v>98</v>
      </c>
      <c r="B93" s="49">
        <v>433.51798000000002</v>
      </c>
      <c r="C93" s="42" t="s">
        <v>353</v>
      </c>
      <c r="D93" s="91">
        <f>IF(182.36078="","-",182.36078/1650717.59844*100)</f>
        <v>1.1047363896304181E-2</v>
      </c>
      <c r="E93" s="91">
        <f>IF(433.51798="","-",433.51798/2112289.07699*100)</f>
        <v>2.0523610367656715E-2</v>
      </c>
      <c r="F93" s="42">
        <f>IF(OR(1881236.72041="",434.68856="",182.36078=""),"-",(182.36078-434.68856)/1881236.72041*100)</f>
        <v>-1.3412867039136215E-2</v>
      </c>
      <c r="G93" s="42">
        <f>IF(OR(1650717.59844="",433.51798="",182.36078=""),"-",(433.51798-182.36078)/1650717.59844*100)</f>
        <v>1.5215031343783728E-2</v>
      </c>
    </row>
    <row r="94" spans="1:7" x14ac:dyDescent="0.25">
      <c r="A94" s="50" t="s">
        <v>64</v>
      </c>
      <c r="B94" s="49">
        <v>407.61673000000002</v>
      </c>
      <c r="C94" s="42">
        <f>IF(OR(275.37345="",407.61673=""),"-",407.61673/275.37345*100)</f>
        <v>148.02324988120679</v>
      </c>
      <c r="D94" s="91">
        <f>IF(275.37345="","-",275.37345/1650717.59844*100)</f>
        <v>1.6682044842815019E-2</v>
      </c>
      <c r="E94" s="91">
        <f>IF(407.61673="","-",407.61673/2112289.07699*100)</f>
        <v>1.9297393261193757E-2</v>
      </c>
      <c r="F94" s="42">
        <f>IF(OR(1881236.72041="",168.19251="",275.37345=""),"-",(275.37345-168.19251)/1881236.72041*100)</f>
        <v>5.6973659315261924E-3</v>
      </c>
      <c r="G94" s="42">
        <f>IF(OR(1650717.59844="",407.61673="",275.37345=""),"-",(407.61673-275.37345)/1650717.59844*100)</f>
        <v>8.0112600801600271E-3</v>
      </c>
    </row>
    <row r="95" spans="1:7" x14ac:dyDescent="0.25">
      <c r="A95" s="50" t="s">
        <v>244</v>
      </c>
      <c r="B95" s="49">
        <v>400.25344000000001</v>
      </c>
      <c r="C95" s="42" t="s">
        <v>354</v>
      </c>
      <c r="D95" s="91">
        <f>IF(37.95008="","-",37.95008/1650717.59844*100)</f>
        <v>2.2990049924871752E-3</v>
      </c>
      <c r="E95" s="91">
        <f>IF(400.25344="","-",400.25344/2112289.07699*100)</f>
        <v>1.8948800349351751E-2</v>
      </c>
      <c r="F95" s="42">
        <f>IF(OR(1881236.72041="",119.24538="",37.95008=""),"-",(37.95008-119.24538)/1881236.72041*100)</f>
        <v>-4.3213753547337915E-3</v>
      </c>
      <c r="G95" s="42">
        <f>IF(OR(1650717.59844="",400.25344="",37.95008=""),"-",(400.25344-37.95008)/1650717.59844*100)</f>
        <v>2.1948233928225664E-2</v>
      </c>
    </row>
    <row r="96" spans="1:7" x14ac:dyDescent="0.25">
      <c r="A96" s="50" t="s">
        <v>81</v>
      </c>
      <c r="B96" s="49">
        <v>384.26587999999998</v>
      </c>
      <c r="C96" s="42">
        <f>IF(OR(1486.50718="",384.26588=""),"-",384.26588/1486.50718*100)</f>
        <v>25.850253881720231</v>
      </c>
      <c r="D96" s="91">
        <f>IF(1486.50718="","-",1486.50718/1650717.59844*100)</f>
        <v>9.0052179815906366E-2</v>
      </c>
      <c r="E96" s="91">
        <f>IF(384.26588="","-",384.26588/2112289.07699*100)</f>
        <v>1.8191917204229295E-2</v>
      </c>
      <c r="F96" s="42">
        <f>IF(OR(1881236.72041="",901.95123="",1486.50718=""),"-",(1486.50718-901.95123)/1881236.72041*100)</f>
        <v>3.1072960869730468E-2</v>
      </c>
      <c r="G96" s="42">
        <f>IF(OR(1650717.59844="",384.26588="",1486.50718=""),"-",(384.26588-1486.50718)/1650717.59844*100)</f>
        <v>-6.6773462707471351E-2</v>
      </c>
    </row>
    <row r="97" spans="1:7" x14ac:dyDescent="0.25">
      <c r="A97" s="50" t="s">
        <v>102</v>
      </c>
      <c r="B97" s="49">
        <v>358.07891000000001</v>
      </c>
      <c r="C97" s="42" t="s">
        <v>104</v>
      </c>
      <c r="D97" s="91">
        <f>IF(219.29938="","-",219.29938/1650717.59844*100)</f>
        <v>1.3285093719679701E-2</v>
      </c>
      <c r="E97" s="91">
        <f>IF(358.07891="","-",358.07891/2112289.07699*100)</f>
        <v>1.6952173540103727E-2</v>
      </c>
      <c r="F97" s="42">
        <f>IF(OR(1881236.72041="",167.00992="",219.29938=""),"-",(219.29938-167.00992)/1881236.72041*100)</f>
        <v>2.7795257998474514E-3</v>
      </c>
      <c r="G97" s="42">
        <f>IF(OR(1650717.59844="",358.07891="",219.29938=""),"-",(358.07891-219.29938)/1650717.59844*100)</f>
        <v>8.4072242357598106E-3</v>
      </c>
    </row>
    <row r="98" spans="1:7" x14ac:dyDescent="0.25">
      <c r="A98" s="50" t="s">
        <v>92</v>
      </c>
      <c r="B98" s="49">
        <v>245.63211999999999</v>
      </c>
      <c r="C98" s="42">
        <f>IF(OR(338.46349="",245.63212=""),"-",245.63212/338.46349*100)</f>
        <v>72.572707916000041</v>
      </c>
      <c r="D98" s="91">
        <f>IF(338.46349="","-",338.46349/1650717.59844*100)</f>
        <v>2.0504021421947807E-2</v>
      </c>
      <c r="E98" s="91">
        <f>IF(245.63212="","-",245.63212/2112289.07699*100)</f>
        <v>1.1628717048048383E-2</v>
      </c>
      <c r="F98" s="42">
        <f>IF(OR(1881236.72041="",261.40139="",338.46349=""),"-",(338.46349-261.40139)/1881236.72041*100)</f>
        <v>4.0963531683139232E-3</v>
      </c>
      <c r="G98" s="42">
        <f>IF(OR(1650717.59844="",245.63212="",338.46349=""),"-",(245.63212-338.46349)/1650717.59844*100)</f>
        <v>-5.6236978443635465E-3</v>
      </c>
    </row>
    <row r="99" spans="1:7" x14ac:dyDescent="0.25">
      <c r="A99" s="50" t="s">
        <v>130</v>
      </c>
      <c r="B99" s="49">
        <v>243.75881000000001</v>
      </c>
      <c r="C99" s="42" t="s">
        <v>355</v>
      </c>
      <c r="D99" s="91">
        <f>IF(60.80411="","-",60.80411/1650717.59844*100)</f>
        <v>3.6834955935202075E-3</v>
      </c>
      <c r="E99" s="91">
        <f>IF(243.75881="","-",243.75881/2112289.07699*100)</f>
        <v>1.1540030796701128E-2</v>
      </c>
      <c r="F99" s="42">
        <f>IF(OR(1881236.72041="",98.09369="",60.80411=""),"-",(60.80411-98.09369)/1881236.72041*100)</f>
        <v>-1.9821843575258853E-3</v>
      </c>
      <c r="G99" s="42">
        <f>IF(OR(1650717.59844="",243.75881="",60.80411=""),"-",(243.75881-60.80411)/1650717.59844*100)</f>
        <v>1.1083343400040089E-2</v>
      </c>
    </row>
    <row r="100" spans="1:7" x14ac:dyDescent="0.25">
      <c r="A100" s="50" t="s">
        <v>94</v>
      </c>
      <c r="B100" s="49">
        <v>241.84372999999999</v>
      </c>
      <c r="C100" s="42">
        <f>IF(OR(421.8706="",241.84373=""),"-",241.84373/421.8706*100)</f>
        <v>57.326519079547133</v>
      </c>
      <c r="D100" s="91">
        <f>IF(421.8706="","-",421.8706/1650717.59844*100)</f>
        <v>2.5556800290896887E-2</v>
      </c>
      <c r="E100" s="91">
        <f>IF(241.84373="","-",241.84373/2112289.07699*100)</f>
        <v>1.1449367069805897E-2</v>
      </c>
      <c r="F100" s="42">
        <f>IF(OR(1881236.72041="",210.70651="",421.8706=""),"-",(421.8706-210.70651)/1881236.72041*100)</f>
        <v>1.1224748470462481E-2</v>
      </c>
      <c r="G100" s="42">
        <f>IF(OR(1650717.59844="",241.84373="",421.8706=""),"-",(241.84373-421.8706)/1650717.59844*100)</f>
        <v>-1.0905976296014124E-2</v>
      </c>
    </row>
    <row r="101" spans="1:7" x14ac:dyDescent="0.25">
      <c r="A101" s="50" t="s">
        <v>128</v>
      </c>
      <c r="B101" s="49">
        <v>236.06458000000001</v>
      </c>
      <c r="C101" s="42" t="s">
        <v>356</v>
      </c>
      <c r="D101" s="91">
        <f>IF(0.45021="","-",0.45021/1650717.59844*100)</f>
        <v>2.7273593037686641E-5</v>
      </c>
      <c r="E101" s="91">
        <f>IF(236.06458="","-",236.06458/2112289.07699*100)</f>
        <v>1.1175770521731368E-2</v>
      </c>
      <c r="F101" s="42">
        <f>IF(OR(1881236.72041="",0.93214="",0.45021=""),"-",(0.45021-0.93214)/1881236.72041*100)</f>
        <v>-2.5617722361647677E-5</v>
      </c>
      <c r="G101" s="42">
        <f>IF(OR(1650717.59844="",236.06458="",0.45021=""),"-",(236.06458-0.45021)/1650717.59844*100)</f>
        <v>1.42734511477109E-2</v>
      </c>
    </row>
    <row r="102" spans="1:7" x14ac:dyDescent="0.25">
      <c r="A102" s="50" t="s">
        <v>90</v>
      </c>
      <c r="B102" s="49">
        <v>186.20384999999999</v>
      </c>
      <c r="C102" s="42">
        <f>IF(OR(193.74092="",186.20385=""),"-",186.20385/193.74092*100)</f>
        <v>96.109717038610114</v>
      </c>
      <c r="D102" s="91">
        <f>IF(193.74092="","-",193.74092/1650717.59844*100)</f>
        <v>1.1736769522727182E-2</v>
      </c>
      <c r="E102" s="91">
        <f>IF(186.20385="","-",186.20385/2112289.07699*100)</f>
        <v>8.8152635938135628E-3</v>
      </c>
      <c r="F102" s="42">
        <f>IF(OR(1881236.72041="",242.3451="",193.74092=""),"-",(193.74092-242.3451)/1881236.72041*100)</f>
        <v>-2.583629134636875E-3</v>
      </c>
      <c r="G102" s="42">
        <f>IF(OR(1650717.59844="",186.20385="",193.74092=""),"-",(186.20385-193.74092)/1650717.59844*100)</f>
        <v>-4.56593544960256E-4</v>
      </c>
    </row>
    <row r="103" spans="1:7" x14ac:dyDescent="0.25">
      <c r="A103" s="50" t="s">
        <v>143</v>
      </c>
      <c r="B103" s="49">
        <v>149.15638999999999</v>
      </c>
      <c r="C103" s="42" t="s">
        <v>236</v>
      </c>
      <c r="D103" s="91">
        <f>IF(65.73616="","-",65.73616/1650717.59844*100)</f>
        <v>3.9822777719292221E-3</v>
      </c>
      <c r="E103" s="91">
        <f>IF(149.15639="","-",149.15639/2112289.07699*100)</f>
        <v>7.0613625580333451E-3</v>
      </c>
      <c r="F103" s="42">
        <f>IF(OR(1881236.72041="",72.00565="",65.73616=""),"-",(65.73616-72.00565)/1881236.72041*100)</f>
        <v>-3.332642793956106E-4</v>
      </c>
      <c r="G103" s="42">
        <f>IF(OR(1650717.59844="",149.15639="",65.73616=""),"-",(149.15639-65.73616)/1650717.59844*100)</f>
        <v>5.0535736747966903E-3</v>
      </c>
    </row>
    <row r="104" spans="1:7" x14ac:dyDescent="0.25">
      <c r="A104" s="50" t="s">
        <v>107</v>
      </c>
      <c r="B104" s="49">
        <v>110.65974</v>
      </c>
      <c r="C104" s="42">
        <f>IF(OR(75.38107="",110.65974=""),"-",110.65974/75.38107*100)</f>
        <v>146.80043676748022</v>
      </c>
      <c r="D104" s="91">
        <f>IF(75.38107="","-",75.38107/1650717.59844*100)</f>
        <v>4.5665636612366878E-3</v>
      </c>
      <c r="E104" s="91">
        <f>IF(110.65974="","-",110.65974/2112289.07699*100)</f>
        <v>5.238853962057575E-3</v>
      </c>
      <c r="F104" s="42">
        <f>IF(OR(1881236.72041="",45.07347="",75.38107=""),"-",(75.38107-45.07347)/1881236.72041*100)</f>
        <v>1.6110465881930425E-3</v>
      </c>
      <c r="G104" s="42">
        <f>IF(OR(1650717.59844="",110.65974="",75.38107=""),"-",(110.65974-75.38107)/1650717.59844*100)</f>
        <v>2.1371717387238059E-3</v>
      </c>
    </row>
    <row r="105" spans="1:7" x14ac:dyDescent="0.25">
      <c r="A105" s="50" t="s">
        <v>111</v>
      </c>
      <c r="B105" s="49">
        <v>98.930499999999995</v>
      </c>
      <c r="C105" s="42">
        <f>IF(OR(326.97397="",98.9305=""),"-",98.9305/326.97397*100)</f>
        <v>30.256384017357707</v>
      </c>
      <c r="D105" s="91">
        <f>IF(326.97397="","-",326.97397/1650717.59844*100)</f>
        <v>1.9807989586408035E-2</v>
      </c>
      <c r="E105" s="91">
        <f>IF(98.9305="","-",98.9305/2112289.07699*100)</f>
        <v>4.6835682235773996E-3</v>
      </c>
      <c r="F105" s="42">
        <f>IF(OR(1881236.72041="",223.98321="",326.97397=""),"-",(326.97397-223.98321)/1881236.72041*100)</f>
        <v>5.474630538657251E-3</v>
      </c>
      <c r="G105" s="42">
        <f>IF(OR(1650717.59844="",98.9305="",326.97397=""),"-",(98.9305-326.97397)/1650717.59844*100)</f>
        <v>-1.3814808191026193E-2</v>
      </c>
    </row>
    <row r="106" spans="1:7" x14ac:dyDescent="0.25">
      <c r="A106" s="50" t="s">
        <v>137</v>
      </c>
      <c r="B106" s="49">
        <v>94.274349999999998</v>
      </c>
      <c r="C106" s="42">
        <f>IF(OR(650.915="",94.27435=""),"-",94.27435/650.915*100)</f>
        <v>14.483358042140679</v>
      </c>
      <c r="D106" s="91">
        <f>IF(650.915="","-",650.915/1650717.59844*100)</f>
        <v>3.9432244535052084E-2</v>
      </c>
      <c r="E106" s="91">
        <f>IF(94.27435="","-",94.27435/2112289.07699*100)</f>
        <v>4.4631367470943139E-3</v>
      </c>
      <c r="F106" s="42">
        <f>IF(OR(1881236.72041="",35.28233="",650.915=""),"-",(650.915-35.28233)/1881236.72041*100)</f>
        <v>3.2724891201668008E-2</v>
      </c>
      <c r="G106" s="42">
        <f>IF(OR(1650717.59844="",94.27435="",650.915=""),"-",(94.27435-650.915)/1650717.59844*100)</f>
        <v>-3.3721131374988035E-2</v>
      </c>
    </row>
    <row r="107" spans="1:7" x14ac:dyDescent="0.25">
      <c r="A107" s="50" t="s">
        <v>142</v>
      </c>
      <c r="B107" s="49">
        <v>78.892009999999999</v>
      </c>
      <c r="C107" s="42">
        <f>IF(OR(110.60563="",78.89201=""),"-",78.89201/110.60563*100)</f>
        <v>71.327300427654535</v>
      </c>
      <c r="D107" s="91">
        <f>IF(110.60563="","-",110.60563/1650717.59844*100)</f>
        <v>6.700457431636225E-3</v>
      </c>
      <c r="E107" s="91">
        <f>IF(78.89201="","-",78.89201/2112289.07699*100)</f>
        <v>3.7349059302252642E-3</v>
      </c>
      <c r="F107" s="42">
        <f>IF(OR(1881236.72041="",2.07269="",110.60563=""),"-",(110.60563-2.07269)/1881236.72041*100)</f>
        <v>5.7692335484683787E-3</v>
      </c>
      <c r="G107" s="42">
        <f>IF(OR(1650717.59844="",78.89201="",110.60563=""),"-",(78.89201-110.60563)/1650717.59844*100)</f>
        <v>-1.9212020293459498E-3</v>
      </c>
    </row>
    <row r="108" spans="1:7" x14ac:dyDescent="0.25">
      <c r="A108" s="50" t="s">
        <v>219</v>
      </c>
      <c r="B108" s="49">
        <v>78.728620000000006</v>
      </c>
      <c r="C108" s="42" t="s">
        <v>357</v>
      </c>
      <c r="D108" s="91">
        <f>IF(4.97566="","-",4.97566/1650717.59844*100)</f>
        <v>3.0142405973633622E-4</v>
      </c>
      <c r="E108" s="91">
        <f>IF(78.72862="","-",78.72862/2112289.07699*100)</f>
        <v>3.7271707200317414E-3</v>
      </c>
      <c r="F108" s="42">
        <f>IF(OR(1881236.72041="",21.25702="",4.97566=""),"-",(4.97566-21.25702)/1881236.72041*100)</f>
        <v>-8.654604613741331E-4</v>
      </c>
      <c r="G108" s="42">
        <f>IF(OR(1650717.59844="",78.72862="",4.97566=""),"-",(78.72862-4.97566)/1650717.59844*100)</f>
        <v>4.467933223084297E-3</v>
      </c>
    </row>
    <row r="109" spans="1:7" x14ac:dyDescent="0.25">
      <c r="A109" s="50" t="s">
        <v>151</v>
      </c>
      <c r="B109" s="49">
        <v>55.015920000000001</v>
      </c>
      <c r="C109" s="42">
        <f>IF(OR(44.31296="",55.01592=""),"-",55.01592/44.31296*100)</f>
        <v>124.15311457415619</v>
      </c>
      <c r="D109" s="91">
        <f>IF(44.31296="","-",44.31296/1650717.59844*100)</f>
        <v>2.6844664430716479E-3</v>
      </c>
      <c r="E109" s="91">
        <f>IF(55.01592="","-",55.01592/2112289.07699*100)</f>
        <v>2.604563958565623E-3</v>
      </c>
      <c r="F109" s="42">
        <f>IF(OR(1881236.72041="",26.84191="",44.31296=""),"-",(44.31296-26.84191)/1881236.72041*100)</f>
        <v>9.2870024332675823E-4</v>
      </c>
      <c r="G109" s="42">
        <f>IF(OR(1650717.59844="",55.01592="",44.31296=""),"-",(55.01592-44.31296)/1650717.59844*100)</f>
        <v>6.4838225569987054E-4</v>
      </c>
    </row>
    <row r="110" spans="1:7" x14ac:dyDescent="0.25">
      <c r="A110" s="53" t="s">
        <v>228</v>
      </c>
      <c r="B110" s="87">
        <v>53.054830000000003</v>
      </c>
      <c r="C110" s="43" t="s">
        <v>236</v>
      </c>
      <c r="D110" s="93">
        <f>IF(22.78218="","-",22.78218/1650717.59844*100)</f>
        <v>1.3801379485824923E-3</v>
      </c>
      <c r="E110" s="93">
        <f>IF(53.05483="","-",53.05483/2112289.07699*100)</f>
        <v>2.5117220260213076E-3</v>
      </c>
      <c r="F110" s="43">
        <f>IF(OR(1881236.72041="",48.26714="",22.78218=""),"-",(22.78218-48.26714)/1881236.72041*100)</f>
        <v>-1.3546918217950668E-3</v>
      </c>
      <c r="G110" s="43">
        <f>IF(OR(1650717.59844="",53.05483="",22.78218=""),"-",(53.05483-22.78218)/1650717.59844*100)</f>
        <v>1.8339084788705816E-3</v>
      </c>
    </row>
    <row r="111" spans="1:7" x14ac:dyDescent="0.25">
      <c r="A111" s="78" t="s">
        <v>328</v>
      </c>
      <c r="B111" s="79"/>
      <c r="C111" s="79"/>
      <c r="D111" s="79"/>
      <c r="E111" s="79"/>
    </row>
    <row r="112" spans="1:7" x14ac:dyDescent="0.25">
      <c r="A112" s="108" t="s">
        <v>367</v>
      </c>
      <c r="B112" s="108"/>
      <c r="C112" s="108"/>
      <c r="D112" s="108"/>
      <c r="E112" s="108"/>
    </row>
  </sheetData>
  <mergeCells count="10">
    <mergeCell ref="A112:E112"/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30"/>
  <sheetViews>
    <sheetView workbookViewId="0">
      <selection activeCell="G60" sqref="G60"/>
    </sheetView>
  </sheetViews>
  <sheetFormatPr defaultRowHeight="15.75" x14ac:dyDescent="0.25"/>
  <cols>
    <col min="1" max="1" width="42.125" customWidth="1"/>
    <col min="2" max="2" width="15" customWidth="1"/>
    <col min="3" max="3" width="14.5" customWidth="1"/>
    <col min="4" max="4" width="17.375" customWidth="1"/>
  </cols>
  <sheetData>
    <row r="1" spans="1:5" x14ac:dyDescent="0.25">
      <c r="A1" s="122" t="s">
        <v>147</v>
      </c>
      <c r="B1" s="122"/>
      <c r="C1" s="122"/>
      <c r="D1" s="122"/>
    </row>
    <row r="2" spans="1:5" x14ac:dyDescent="0.25">
      <c r="A2" s="4"/>
    </row>
    <row r="3" spans="1:5" ht="28.5" customHeight="1" x14ac:dyDescent="0.25">
      <c r="A3" s="123"/>
      <c r="B3" s="127" t="s">
        <v>331</v>
      </c>
      <c r="C3" s="128"/>
      <c r="D3" s="125" t="s">
        <v>333</v>
      </c>
      <c r="E3" s="1"/>
    </row>
    <row r="4" spans="1:5" ht="27" customHeight="1" x14ac:dyDescent="0.25">
      <c r="A4" s="124"/>
      <c r="B4" s="18">
        <v>2020</v>
      </c>
      <c r="C4" s="17">
        <v>2021</v>
      </c>
      <c r="D4" s="126"/>
      <c r="E4" s="1"/>
    </row>
    <row r="5" spans="1:5" ht="16.5" customHeight="1" x14ac:dyDescent="0.25">
      <c r="A5" s="103" t="s">
        <v>229</v>
      </c>
      <c r="B5" s="40">
        <v>-825830.57213999995</v>
      </c>
      <c r="C5" s="40">
        <v>-1209294.66915</v>
      </c>
      <c r="D5" s="40">
        <f>IF(-825830.57214="","-",-1209294.66915/-825830.57214*100)</f>
        <v>146.43374923942545</v>
      </c>
    </row>
    <row r="6" spans="1:5" x14ac:dyDescent="0.25">
      <c r="A6" s="104" t="s">
        <v>140</v>
      </c>
      <c r="B6" s="29"/>
      <c r="C6" s="29"/>
      <c r="D6" s="35"/>
    </row>
    <row r="7" spans="1:5" x14ac:dyDescent="0.25">
      <c r="A7" s="38" t="s">
        <v>231</v>
      </c>
      <c r="B7" s="41">
        <v>-247943.27614999999</v>
      </c>
      <c r="C7" s="41">
        <v>-423544.35933000001</v>
      </c>
      <c r="D7" s="41" t="s">
        <v>103</v>
      </c>
    </row>
    <row r="8" spans="1:5" x14ac:dyDescent="0.25">
      <c r="A8" s="39" t="s">
        <v>4</v>
      </c>
      <c r="B8" s="42">
        <v>-66743.21931</v>
      </c>
      <c r="C8" s="42">
        <v>-85621.965620000003</v>
      </c>
      <c r="D8" s="42">
        <f>IF(OR(-66743.21931="",-85621.96562="",-66743.21931=0),"-",-85621.96562/-66743.21931*100)</f>
        <v>128.28563935808148</v>
      </c>
    </row>
    <row r="9" spans="1:5" x14ac:dyDescent="0.25">
      <c r="A9" s="39" t="s">
        <v>3</v>
      </c>
      <c r="B9" s="42">
        <v>-28234.201779999999</v>
      </c>
      <c r="C9" s="42">
        <v>-81562.19094</v>
      </c>
      <c r="D9" s="42" t="s">
        <v>339</v>
      </c>
    </row>
    <row r="10" spans="1:5" x14ac:dyDescent="0.25">
      <c r="A10" s="39" t="s">
        <v>123</v>
      </c>
      <c r="B10" s="42">
        <v>-37862.425519999997</v>
      </c>
      <c r="C10" s="42">
        <v>-51379.422070000001</v>
      </c>
      <c r="D10" s="42">
        <f>IF(OR(-37862.42552="",-51379.42207="",-37862.42552=0),"-",-51379.42207/-37862.42552*100)</f>
        <v>135.70029221413705</v>
      </c>
    </row>
    <row r="11" spans="1:5" x14ac:dyDescent="0.25">
      <c r="A11" s="39" t="s">
        <v>5</v>
      </c>
      <c r="B11" s="42">
        <v>-28887.321090000001</v>
      </c>
      <c r="C11" s="42">
        <v>-46940.152269999999</v>
      </c>
      <c r="D11" s="42" t="s">
        <v>104</v>
      </c>
    </row>
    <row r="12" spans="1:5" x14ac:dyDescent="0.25">
      <c r="A12" s="39" t="s">
        <v>42</v>
      </c>
      <c r="B12" s="42">
        <v>-33195.857759999999</v>
      </c>
      <c r="C12" s="42">
        <v>-29757.858380000001</v>
      </c>
      <c r="D12" s="42">
        <f>IF(OR(-33195.85776="",-29757.85838="",-33195.85776=0),"-",-29757.85838/-33195.85776*100)</f>
        <v>89.643288012449901</v>
      </c>
    </row>
    <row r="13" spans="1:5" x14ac:dyDescent="0.25">
      <c r="A13" s="39" t="s">
        <v>8</v>
      </c>
      <c r="B13" s="42">
        <v>-12181.144389999999</v>
      </c>
      <c r="C13" s="42">
        <v>-23173.996070000001</v>
      </c>
      <c r="D13" s="42" t="s">
        <v>105</v>
      </c>
    </row>
    <row r="14" spans="1:5" x14ac:dyDescent="0.25">
      <c r="A14" s="39" t="s">
        <v>40</v>
      </c>
      <c r="B14" s="42">
        <v>-8381.0983899999992</v>
      </c>
      <c r="C14" s="42">
        <v>-14731.751850000001</v>
      </c>
      <c r="D14" s="42" t="s">
        <v>222</v>
      </c>
    </row>
    <row r="15" spans="1:5" x14ac:dyDescent="0.25">
      <c r="A15" s="39" t="s">
        <v>2</v>
      </c>
      <c r="B15" s="42">
        <v>-2298.7048799999998</v>
      </c>
      <c r="C15" s="42">
        <v>-12287.47294</v>
      </c>
      <c r="D15" s="42" t="s">
        <v>234</v>
      </c>
    </row>
    <row r="16" spans="1:5" x14ac:dyDescent="0.25">
      <c r="A16" s="39" t="s">
        <v>6</v>
      </c>
      <c r="B16" s="42">
        <v>-2688.88796</v>
      </c>
      <c r="C16" s="42">
        <v>-10796.206899999999</v>
      </c>
      <c r="D16" s="42" t="s">
        <v>355</v>
      </c>
    </row>
    <row r="17" spans="1:4" x14ac:dyDescent="0.25">
      <c r="A17" s="39" t="s">
        <v>52</v>
      </c>
      <c r="B17" s="42">
        <v>-8600.5936099999999</v>
      </c>
      <c r="C17" s="42">
        <v>-10076.889300000001</v>
      </c>
      <c r="D17" s="42">
        <f>IF(OR(-8600.59361="",-10076.8893="",-8600.59361=0),"-",-10076.8893/-8600.59361*100)</f>
        <v>117.16504414629587</v>
      </c>
    </row>
    <row r="18" spans="1:4" x14ac:dyDescent="0.25">
      <c r="A18" s="39" t="s">
        <v>10</v>
      </c>
      <c r="B18" s="42">
        <v>-5094.3665300000002</v>
      </c>
      <c r="C18" s="42">
        <v>-9209.6570599999995</v>
      </c>
      <c r="D18" s="42" t="s">
        <v>222</v>
      </c>
    </row>
    <row r="19" spans="1:4" x14ac:dyDescent="0.25">
      <c r="A19" s="39" t="s">
        <v>50</v>
      </c>
      <c r="B19" s="42">
        <v>-6096.1151900000004</v>
      </c>
      <c r="C19" s="42">
        <v>-8455.9348200000004</v>
      </c>
      <c r="D19" s="42">
        <f>IF(OR(-6096.11519="",-8455.93482="",-6096.11519=0),"-",-8455.93482/-6096.11519*100)</f>
        <v>138.7102204674712</v>
      </c>
    </row>
    <row r="20" spans="1:4" x14ac:dyDescent="0.25">
      <c r="A20" s="39" t="s">
        <v>7</v>
      </c>
      <c r="B20" s="42">
        <v>1121.3328799999999</v>
      </c>
      <c r="C20" s="42">
        <v>-8398.9570999999905</v>
      </c>
      <c r="D20" s="42" t="s">
        <v>22</v>
      </c>
    </row>
    <row r="21" spans="1:4" x14ac:dyDescent="0.25">
      <c r="A21" s="39" t="s">
        <v>41</v>
      </c>
      <c r="B21" s="42">
        <v>-8625.0991699999995</v>
      </c>
      <c r="C21" s="42">
        <v>-8069.0333099999998</v>
      </c>
      <c r="D21" s="42">
        <f>IF(OR(-8625.09917="",-8069.03331="",-8625.09917=0),"-",-8069.03331/-8625.09917*100)</f>
        <v>93.552933722384097</v>
      </c>
    </row>
    <row r="22" spans="1:4" x14ac:dyDescent="0.25">
      <c r="A22" s="39" t="s">
        <v>44</v>
      </c>
      <c r="B22" s="42">
        <v>-3785.9847500000001</v>
      </c>
      <c r="C22" s="42">
        <v>-5941.4841100000003</v>
      </c>
      <c r="D22" s="42" t="s">
        <v>104</v>
      </c>
    </row>
    <row r="23" spans="1:4" x14ac:dyDescent="0.25">
      <c r="A23" s="39" t="s">
        <v>48</v>
      </c>
      <c r="B23" s="42">
        <v>-3718.4539</v>
      </c>
      <c r="C23" s="42">
        <v>-4371.07629</v>
      </c>
      <c r="D23" s="42">
        <f>IF(OR(-3718.4539="",-4371.07629="",-3718.4539=0),"-",-4371.07629/-3718.4539*100)</f>
        <v>117.55090711222749</v>
      </c>
    </row>
    <row r="24" spans="1:4" x14ac:dyDescent="0.25">
      <c r="A24" s="39" t="s">
        <v>49</v>
      </c>
      <c r="B24" s="42">
        <v>-3042.1051299999999</v>
      </c>
      <c r="C24" s="42">
        <v>-3815.9604100000001</v>
      </c>
      <c r="D24" s="42">
        <f>IF(OR(-3042.10513="",-3815.96041="",-3042.10513=0),"-",-3815.96041/-3042.10513*100)</f>
        <v>125.43815045602977</v>
      </c>
    </row>
    <row r="25" spans="1:4" x14ac:dyDescent="0.25">
      <c r="A25" s="39" t="s">
        <v>45</v>
      </c>
      <c r="B25" s="42">
        <v>-2211.0968800000001</v>
      </c>
      <c r="C25" s="42">
        <v>-3012.2837599999998</v>
      </c>
      <c r="D25" s="42">
        <f>IF(OR(-2211.09688="",-3012.28376="",-2211.09688=0),"-",-3012.28376/-2211.09688*100)</f>
        <v>136.23481572639187</v>
      </c>
    </row>
    <row r="26" spans="1:4" x14ac:dyDescent="0.25">
      <c r="A26" s="39" t="s">
        <v>124</v>
      </c>
      <c r="B26" s="42">
        <v>-1111.2429299999999</v>
      </c>
      <c r="C26" s="42">
        <v>-2451.89284</v>
      </c>
      <c r="D26" s="42" t="s">
        <v>221</v>
      </c>
    </row>
    <row r="27" spans="1:4" x14ac:dyDescent="0.25">
      <c r="A27" s="39" t="s">
        <v>53</v>
      </c>
      <c r="B27" s="42">
        <v>-2722.5419999999999</v>
      </c>
      <c r="C27" s="42">
        <v>-2156.45129</v>
      </c>
      <c r="D27" s="42">
        <f>IF(OR(-2722.542="",-2156.45129="",-2722.542=0),"-",-2156.45129/-2722.542*100)</f>
        <v>79.207273570067969</v>
      </c>
    </row>
    <row r="28" spans="1:4" x14ac:dyDescent="0.25">
      <c r="A28" s="39" t="s">
        <v>54</v>
      </c>
      <c r="B28" s="42">
        <v>-304.96193</v>
      </c>
      <c r="C28" s="42">
        <v>-1106.8032000000001</v>
      </c>
      <c r="D28" s="42" t="s">
        <v>246</v>
      </c>
    </row>
    <row r="29" spans="1:4" x14ac:dyDescent="0.25">
      <c r="A29" s="39" t="s">
        <v>46</v>
      </c>
      <c r="B29" s="42">
        <v>1187.75557</v>
      </c>
      <c r="C29" s="42">
        <v>-973.85785999999996</v>
      </c>
      <c r="D29" s="42" t="s">
        <v>22</v>
      </c>
    </row>
    <row r="30" spans="1:4" x14ac:dyDescent="0.25">
      <c r="A30" s="39" t="s">
        <v>51</v>
      </c>
      <c r="B30" s="42">
        <v>3030.3366799999999</v>
      </c>
      <c r="C30" s="42">
        <v>-691.42933000000005</v>
      </c>
      <c r="D30" s="42" t="s">
        <v>22</v>
      </c>
    </row>
    <row r="31" spans="1:4" x14ac:dyDescent="0.25">
      <c r="A31" s="39" t="s">
        <v>43</v>
      </c>
      <c r="B31" s="42">
        <v>-2872.9644899999998</v>
      </c>
      <c r="C31" s="42">
        <v>-490.74153999999999</v>
      </c>
      <c r="D31" s="42">
        <f>IF(OR(-2872.96449="",-490.74154="",-2872.96449=0),"-",-490.74154/-2872.96449*100)</f>
        <v>17.081364622087619</v>
      </c>
    </row>
    <row r="32" spans="1:4" x14ac:dyDescent="0.25">
      <c r="A32" s="39" t="s">
        <v>9</v>
      </c>
      <c r="B32" s="42">
        <v>8499.0801100000008</v>
      </c>
      <c r="C32" s="42">
        <v>-76.231250000000003</v>
      </c>
      <c r="D32" s="42" t="s">
        <v>22</v>
      </c>
    </row>
    <row r="33" spans="1:4" x14ac:dyDescent="0.25">
      <c r="A33" s="39" t="s">
        <v>55</v>
      </c>
      <c r="B33" s="42">
        <v>-16.530740000000002</v>
      </c>
      <c r="C33" s="42">
        <v>-33.842829999999999</v>
      </c>
      <c r="D33" s="42" t="s">
        <v>20</v>
      </c>
    </row>
    <row r="34" spans="1:4" x14ac:dyDescent="0.25">
      <c r="A34" s="39" t="s">
        <v>350</v>
      </c>
      <c r="B34" s="42" t="str">
        <f>IF(OR(0="",-16.82952="",0=0),"-",-16.82952/0*100)</f>
        <v>-</v>
      </c>
      <c r="C34" s="42">
        <v>-16.829519999999999</v>
      </c>
      <c r="D34" s="42" t="str">
        <f>IF(OR(0="",-16.82952="",0=0),"-",-16.82952/0*100)</f>
        <v>-</v>
      </c>
    </row>
    <row r="35" spans="1:4" x14ac:dyDescent="0.25">
      <c r="A35" s="39" t="s">
        <v>47</v>
      </c>
      <c r="B35" s="42">
        <v>6893.1369400000003</v>
      </c>
      <c r="C35" s="42">
        <v>2056.0135300000002</v>
      </c>
      <c r="D35" s="42">
        <f>IF(OR(6893.13694="",2056.01353="",6893.13694=0),"-",2056.01353/6893.13694*100)</f>
        <v>29.826964818720114</v>
      </c>
    </row>
    <row r="36" spans="1:4" x14ac:dyDescent="0.25">
      <c r="A36" s="38" t="s">
        <v>155</v>
      </c>
      <c r="B36" s="41">
        <v>-282961.54450999998</v>
      </c>
      <c r="C36" s="41">
        <f>IF(-345322.02124="","-",-345322.02124)</f>
        <v>-345322.02123999997</v>
      </c>
      <c r="D36" s="41">
        <f>IF(-282961.54451="","-",-345322.02124/-282961.54451*100)</f>
        <v>122.03849884901803</v>
      </c>
    </row>
    <row r="37" spans="1:4" x14ac:dyDescent="0.25">
      <c r="A37" s="39" t="s">
        <v>125</v>
      </c>
      <c r="B37" s="42">
        <v>-142688.34314000001</v>
      </c>
      <c r="C37" s="42">
        <v>-171967.78865</v>
      </c>
      <c r="D37" s="42">
        <f>IF(OR(-142688.34314="",-171967.78865="",-142688.34314=0),"-",-171967.78865/-142688.34314*100)</f>
        <v>120.5198580806788</v>
      </c>
    </row>
    <row r="38" spans="1:4" x14ac:dyDescent="0.25">
      <c r="A38" s="39" t="s">
        <v>12</v>
      </c>
      <c r="B38" s="42">
        <v>-128677.91374</v>
      </c>
      <c r="C38" s="42">
        <v>-156015.25967</v>
      </c>
      <c r="D38" s="42">
        <f>IF(OR(-128677.91374="",-156015.25967="",-128677.91374=0),"-",-156015.25967/-128677.91374*100)</f>
        <v>121.24478485502681</v>
      </c>
    </row>
    <row r="39" spans="1:4" x14ac:dyDescent="0.25">
      <c r="A39" s="39" t="s">
        <v>11</v>
      </c>
      <c r="B39" s="42">
        <v>-6650.8611499999997</v>
      </c>
      <c r="C39" s="42">
        <v>-16280.72863</v>
      </c>
      <c r="D39" s="42" t="s">
        <v>353</v>
      </c>
    </row>
    <row r="40" spans="1:4" x14ac:dyDescent="0.25">
      <c r="A40" s="39" t="s">
        <v>15</v>
      </c>
      <c r="B40" s="42">
        <v>-1220.6909700000001</v>
      </c>
      <c r="C40" s="42">
        <v>-1724.5381299999999</v>
      </c>
      <c r="D40" s="42">
        <f>IF(OR(-1220.69097="",-1724.53813="",-1220.69097=0),"-",-1724.53813/-1220.69097*100)</f>
        <v>141.27557034357349</v>
      </c>
    </row>
    <row r="41" spans="1:4" x14ac:dyDescent="0.25">
      <c r="A41" s="39" t="s">
        <v>13</v>
      </c>
      <c r="B41" s="42">
        <v>-134.41917000000001</v>
      </c>
      <c r="C41" s="42">
        <v>-590.24940000000004</v>
      </c>
      <c r="D41" s="42" t="s">
        <v>376</v>
      </c>
    </row>
    <row r="42" spans="1:4" x14ac:dyDescent="0.25">
      <c r="A42" s="39" t="s">
        <v>17</v>
      </c>
      <c r="B42" s="42">
        <v>-110.97913</v>
      </c>
      <c r="C42" s="42">
        <v>-13.51859</v>
      </c>
      <c r="D42" s="42">
        <f>IF(OR(-110.97913="",-13.51859="",-110.97913=0),"-",-13.51859/-110.97913*100)</f>
        <v>12.18120019502766</v>
      </c>
    </row>
    <row r="43" spans="1:4" x14ac:dyDescent="0.25">
      <c r="A43" s="39" t="s">
        <v>18</v>
      </c>
      <c r="B43" s="42">
        <v>110.83798</v>
      </c>
      <c r="C43" s="42">
        <v>122.34101</v>
      </c>
      <c r="D43" s="42">
        <f>IF(OR(110.83798="",122.34101="",110.83798=0),"-",122.34101/110.83798*100)</f>
        <v>110.37823857850893</v>
      </c>
    </row>
    <row r="44" spans="1:4" x14ac:dyDescent="0.25">
      <c r="A44" s="39" t="s">
        <v>16</v>
      </c>
      <c r="B44" s="42">
        <v>-1294.13212</v>
      </c>
      <c r="C44" s="42">
        <v>146.62979999999999</v>
      </c>
      <c r="D44" s="42" t="s">
        <v>22</v>
      </c>
    </row>
    <row r="45" spans="1:4" x14ac:dyDescent="0.25">
      <c r="A45" s="39" t="s">
        <v>126</v>
      </c>
      <c r="B45" s="42">
        <v>196.79041000000001</v>
      </c>
      <c r="C45" s="42">
        <v>368.09217999999998</v>
      </c>
      <c r="D45" s="42" t="s">
        <v>105</v>
      </c>
    </row>
    <row r="46" spans="1:4" x14ac:dyDescent="0.25">
      <c r="A46" s="39" t="s">
        <v>14</v>
      </c>
      <c r="B46" s="42">
        <v>-2491.8334799999998</v>
      </c>
      <c r="C46" s="42">
        <v>632.99883999999997</v>
      </c>
      <c r="D46" s="42" t="s">
        <v>22</v>
      </c>
    </row>
    <row r="47" spans="1:4" x14ac:dyDescent="0.25">
      <c r="A47" s="105" t="s">
        <v>156</v>
      </c>
      <c r="B47" s="41">
        <v>-294925.75147999998</v>
      </c>
      <c r="C47" s="41">
        <f>IF(-440428.28858="","-",-440428.28858)</f>
        <v>-440428.28857999999</v>
      </c>
      <c r="D47" s="41">
        <f>IF(-294925.75148="","-",-440428.28858/-294925.75148*100)</f>
        <v>149.33531113164497</v>
      </c>
    </row>
    <row r="48" spans="1:4" x14ac:dyDescent="0.25">
      <c r="A48" s="39" t="s">
        <v>59</v>
      </c>
      <c r="B48" s="42">
        <v>-164770.78338000001</v>
      </c>
      <c r="C48" s="42">
        <v>-232581.11158</v>
      </c>
      <c r="D48" s="42">
        <f>IF(OR(-164770.78338="",-232581.11158="",-164770.78338=0),"-",-232581.11158/-164770.78338*100)</f>
        <v>141.1543398708092</v>
      </c>
    </row>
    <row r="49" spans="1:5" x14ac:dyDescent="0.25">
      <c r="A49" s="39" t="s">
        <v>56</v>
      </c>
      <c r="B49" s="42">
        <v>-59960.771670000002</v>
      </c>
      <c r="C49" s="42">
        <v>-68485.285470000003</v>
      </c>
      <c r="D49" s="42">
        <f>IF(OR(-59960.77167="",-68485.28547="",-59960.77167=0),"-",-68485.28547/-59960.77167*100)</f>
        <v>114.21681803382302</v>
      </c>
    </row>
    <row r="50" spans="1:5" x14ac:dyDescent="0.25">
      <c r="A50" s="39" t="s">
        <v>19</v>
      </c>
      <c r="B50" s="42">
        <v>-14672.40266</v>
      </c>
      <c r="C50" s="42">
        <v>-24474.374530000001</v>
      </c>
      <c r="D50" s="42" t="s">
        <v>103</v>
      </c>
    </row>
    <row r="51" spans="1:5" x14ac:dyDescent="0.25">
      <c r="A51" s="39" t="s">
        <v>76</v>
      </c>
      <c r="B51" s="42">
        <v>-15643.652410000001</v>
      </c>
      <c r="C51" s="42">
        <v>-19926.909670000001</v>
      </c>
      <c r="D51" s="42">
        <f>IF(OR(-15643.65241="",-19926.90967="",-15643.65241=0),"-",-19926.90967/-15643.65241*100)</f>
        <v>127.38016128037965</v>
      </c>
    </row>
    <row r="52" spans="1:5" x14ac:dyDescent="0.25">
      <c r="A52" s="39" t="s">
        <v>72</v>
      </c>
      <c r="B52" s="42">
        <v>-7480.5712100000001</v>
      </c>
      <c r="C52" s="42">
        <v>-15651.314259999999</v>
      </c>
      <c r="D52" s="42" t="s">
        <v>95</v>
      </c>
    </row>
    <row r="53" spans="1:5" x14ac:dyDescent="0.25">
      <c r="A53" s="39" t="s">
        <v>69</v>
      </c>
      <c r="B53" s="42">
        <v>-11931.238600000001</v>
      </c>
      <c r="C53" s="42">
        <v>-15367.51324</v>
      </c>
      <c r="D53" s="42">
        <f>IF(OR(-11931.2386="",-15367.51324="",-11931.2386=0),"-",-15367.51324/-11931.2386*100)</f>
        <v>128.80065310235267</v>
      </c>
    </row>
    <row r="54" spans="1:5" x14ac:dyDescent="0.25">
      <c r="A54" s="39" t="s">
        <v>36</v>
      </c>
      <c r="B54" s="42">
        <v>-11541.82618</v>
      </c>
      <c r="C54" s="42">
        <v>-12650.48969</v>
      </c>
      <c r="D54" s="42">
        <f>IF(OR(-11541.82618="",-12650.48969="",-11541.82618=0),"-",-12650.48969/-11541.82618*100)</f>
        <v>109.60561606724872</v>
      </c>
    </row>
    <row r="55" spans="1:5" x14ac:dyDescent="0.25">
      <c r="A55" s="39" t="s">
        <v>79</v>
      </c>
      <c r="B55" s="42">
        <v>-7472.3005999999996</v>
      </c>
      <c r="C55" s="42">
        <v>-8562.2371600000006</v>
      </c>
      <c r="D55" s="42">
        <f>IF(OR(-7472.3006="",-8562.23716="",-7472.3006=0),"-",-8562.23716/-7472.3006*100)</f>
        <v>114.58635858412872</v>
      </c>
    </row>
    <row r="56" spans="1:5" x14ac:dyDescent="0.25">
      <c r="A56" s="39" t="s">
        <v>66</v>
      </c>
      <c r="B56" s="42">
        <v>-6623.10124</v>
      </c>
      <c r="C56" s="42">
        <v>-6355.0514999999996</v>
      </c>
      <c r="D56" s="42">
        <f>IF(OR(-6623.10124="",-6355.0515="",-6623.10124=0),"-",-6355.0515/-6623.10124*100)</f>
        <v>95.952806241566662</v>
      </c>
    </row>
    <row r="57" spans="1:5" x14ac:dyDescent="0.25">
      <c r="A57" s="39" t="s">
        <v>122</v>
      </c>
      <c r="B57" s="42">
        <v>-6072.1774400000004</v>
      </c>
      <c r="C57" s="42">
        <v>-6112.1322300000002</v>
      </c>
      <c r="D57" s="42">
        <f>IF(OR(-6072.17744="",-6112.13223="",-6072.17744=0),"-",-6112.13223/-6072.17744*100)</f>
        <v>100.65799773466435</v>
      </c>
    </row>
    <row r="58" spans="1:5" x14ac:dyDescent="0.25">
      <c r="A58" s="39" t="s">
        <v>70</v>
      </c>
      <c r="B58" s="42">
        <v>-4281.6268700000001</v>
      </c>
      <c r="C58" s="42">
        <v>-5982.3756299999995</v>
      </c>
      <c r="D58" s="42">
        <f>IF(OR(-4281.62687="",-5982.37563="",-4281.62687=0),"-",-5982.37563/-4281.62687*100)</f>
        <v>139.72202183045434</v>
      </c>
    </row>
    <row r="59" spans="1:5" x14ac:dyDescent="0.25">
      <c r="A59" s="39" t="s">
        <v>61</v>
      </c>
      <c r="B59" s="42">
        <v>-876.33108000000004</v>
      </c>
      <c r="C59" s="42">
        <v>-4716.6080400000001</v>
      </c>
      <c r="D59" s="42" t="s">
        <v>326</v>
      </c>
    </row>
    <row r="60" spans="1:5" x14ac:dyDescent="0.25">
      <c r="A60" s="39" t="s">
        <v>78</v>
      </c>
      <c r="B60" s="42">
        <v>-2982.5489200000002</v>
      </c>
      <c r="C60" s="42">
        <v>-4536.4016099999999</v>
      </c>
      <c r="D60" s="42" t="s">
        <v>239</v>
      </c>
    </row>
    <row r="61" spans="1:5" x14ac:dyDescent="0.25">
      <c r="A61" s="39" t="s">
        <v>71</v>
      </c>
      <c r="B61" s="42">
        <v>-2991.0947799999999</v>
      </c>
      <c r="C61" s="42">
        <v>-4092.1410500000002</v>
      </c>
      <c r="D61" s="42">
        <f>IF(OR(-2991.09478="",-4092.14105="",-2991.09478=0),"-",-4092.14105/-2991.09478*100)</f>
        <v>136.81081179246351</v>
      </c>
      <c r="E61" s="1"/>
    </row>
    <row r="62" spans="1:5" x14ac:dyDescent="0.25">
      <c r="A62" s="39" t="s">
        <v>82</v>
      </c>
      <c r="B62" s="42">
        <v>-2192.4325899999999</v>
      </c>
      <c r="C62" s="42">
        <v>-3911.7856400000001</v>
      </c>
      <c r="D62" s="42" t="s">
        <v>222</v>
      </c>
    </row>
    <row r="63" spans="1:5" x14ac:dyDescent="0.25">
      <c r="A63" s="39" t="s">
        <v>74</v>
      </c>
      <c r="B63" s="42">
        <v>-3059.6532499999998</v>
      </c>
      <c r="C63" s="42">
        <v>-3809.20471</v>
      </c>
      <c r="D63" s="42">
        <f>IF(OR(-3059.65325="",-3809.20471="",-3059.65325=0),"-",-3809.20471/-3059.65325*100)</f>
        <v>124.4979217824765</v>
      </c>
    </row>
    <row r="64" spans="1:5" x14ac:dyDescent="0.25">
      <c r="A64" s="39" t="s">
        <v>62</v>
      </c>
      <c r="B64" s="42">
        <v>-2245.2939200000001</v>
      </c>
      <c r="C64" s="42">
        <v>-2519.3879400000001</v>
      </c>
      <c r="D64" s="42">
        <f>IF(OR(-2245.29392="",-2519.38794="",-2245.29392=0),"-",-2519.38794/-2245.29392*100)</f>
        <v>112.20748952101557</v>
      </c>
    </row>
    <row r="65" spans="1:5" x14ac:dyDescent="0.25">
      <c r="A65" s="39" t="s">
        <v>85</v>
      </c>
      <c r="B65" s="42">
        <v>-999.49381000000005</v>
      </c>
      <c r="C65" s="42">
        <v>-2516.0628999999999</v>
      </c>
      <c r="D65" s="42" t="s">
        <v>230</v>
      </c>
    </row>
    <row r="66" spans="1:5" x14ac:dyDescent="0.25">
      <c r="A66" s="39" t="s">
        <v>65</v>
      </c>
      <c r="B66" s="42">
        <v>2435.6821399999999</v>
      </c>
      <c r="C66" s="42">
        <v>-2357.6250199999999</v>
      </c>
      <c r="D66" s="42" t="s">
        <v>22</v>
      </c>
    </row>
    <row r="67" spans="1:5" x14ac:dyDescent="0.25">
      <c r="A67" s="39" t="s">
        <v>83</v>
      </c>
      <c r="B67" s="42">
        <v>-3411.6806299999998</v>
      </c>
      <c r="C67" s="42">
        <v>-2344.1314400000001</v>
      </c>
      <c r="D67" s="42">
        <f>IF(OR(-3411.68063="",-2344.13144="",-3411.68063=0),"-",-2344.13144/-3411.68063*100)</f>
        <v>68.708994018587262</v>
      </c>
    </row>
    <row r="68" spans="1:5" x14ac:dyDescent="0.25">
      <c r="A68" s="39" t="s">
        <v>84</v>
      </c>
      <c r="B68" s="42">
        <v>-1799.40426</v>
      </c>
      <c r="C68" s="42">
        <v>-2249.23785</v>
      </c>
      <c r="D68" s="42">
        <f>IF(OR(-1799.40426="",-2249.23785="",-1799.40426=0),"-",-2249.23785/-1799.40426*100)</f>
        <v>124.99902884524681</v>
      </c>
      <c r="E68" s="1"/>
    </row>
    <row r="69" spans="1:5" x14ac:dyDescent="0.25">
      <c r="A69" s="39" t="s">
        <v>88</v>
      </c>
      <c r="B69" s="42">
        <v>-894.80399999999997</v>
      </c>
      <c r="C69" s="42">
        <v>-2142.4877299999998</v>
      </c>
      <c r="D69" s="42" t="s">
        <v>353</v>
      </c>
    </row>
    <row r="70" spans="1:5" x14ac:dyDescent="0.25">
      <c r="A70" s="39" t="s">
        <v>136</v>
      </c>
      <c r="B70" s="42">
        <v>-783.62084000000004</v>
      </c>
      <c r="C70" s="42">
        <v>-1510.5675100000001</v>
      </c>
      <c r="D70" s="42" t="s">
        <v>105</v>
      </c>
    </row>
    <row r="71" spans="1:5" x14ac:dyDescent="0.25">
      <c r="A71" s="39" t="s">
        <v>73</v>
      </c>
      <c r="B71" s="42">
        <v>-639.10388999999998</v>
      </c>
      <c r="C71" s="42">
        <v>-1429.12355</v>
      </c>
      <c r="D71" s="42" t="s">
        <v>221</v>
      </c>
    </row>
    <row r="72" spans="1:5" x14ac:dyDescent="0.25">
      <c r="A72" s="39" t="s">
        <v>80</v>
      </c>
      <c r="B72" s="42">
        <v>-2046.16877</v>
      </c>
      <c r="C72" s="42">
        <v>-1421.0961600000001</v>
      </c>
      <c r="D72" s="42">
        <f>IF(OR(-2046.16877="",-1421.09616="",-2046.16877=0),"-",-1421.09616/-2046.16877*100)</f>
        <v>69.451561417389826</v>
      </c>
    </row>
    <row r="73" spans="1:5" x14ac:dyDescent="0.25">
      <c r="A73" s="39" t="s">
        <v>89</v>
      </c>
      <c r="B73" s="42">
        <v>-426.70668999999998</v>
      </c>
      <c r="C73" s="42">
        <v>-1384.6704500000001</v>
      </c>
      <c r="D73" s="42" t="s">
        <v>241</v>
      </c>
    </row>
    <row r="74" spans="1:5" x14ac:dyDescent="0.25">
      <c r="A74" s="39" t="s">
        <v>138</v>
      </c>
      <c r="B74" s="42">
        <v>-578.18534999999997</v>
      </c>
      <c r="C74" s="42">
        <v>-1305.56557</v>
      </c>
      <c r="D74" s="42" t="s">
        <v>236</v>
      </c>
    </row>
    <row r="75" spans="1:5" x14ac:dyDescent="0.25">
      <c r="A75" s="39" t="s">
        <v>75</v>
      </c>
      <c r="B75" s="42">
        <v>-1704.72281</v>
      </c>
      <c r="C75" s="42">
        <v>-1238.08952</v>
      </c>
      <c r="D75" s="42">
        <f>IF(OR(-1704.72281="",-1238.08952="",-1704.72281=0),"-",-1238.08952/-1704.72281*100)</f>
        <v>72.627028437544055</v>
      </c>
    </row>
    <row r="76" spans="1:5" x14ac:dyDescent="0.25">
      <c r="A76" s="39" t="s">
        <v>87</v>
      </c>
      <c r="B76" s="42">
        <v>136.52795</v>
      </c>
      <c r="C76" s="42">
        <v>-1138.94389</v>
      </c>
      <c r="D76" s="42" t="s">
        <v>22</v>
      </c>
      <c r="E76" s="10"/>
    </row>
    <row r="77" spans="1:5" x14ac:dyDescent="0.25">
      <c r="A77" s="39" t="s">
        <v>91</v>
      </c>
      <c r="B77" s="42">
        <v>-538.17017999999996</v>
      </c>
      <c r="C77" s="42">
        <v>-1063.96102</v>
      </c>
      <c r="D77" s="42" t="s">
        <v>20</v>
      </c>
    </row>
    <row r="78" spans="1:5" x14ac:dyDescent="0.25">
      <c r="A78" s="39" t="s">
        <v>93</v>
      </c>
      <c r="B78" s="42">
        <v>142.44694999999999</v>
      </c>
      <c r="C78" s="42">
        <v>-1039.3798200000001</v>
      </c>
      <c r="D78" s="42" t="s">
        <v>22</v>
      </c>
    </row>
    <row r="79" spans="1:5" x14ac:dyDescent="0.25">
      <c r="A79" s="39" t="s">
        <v>63</v>
      </c>
      <c r="B79" s="42">
        <v>-3953.5508799999998</v>
      </c>
      <c r="C79" s="42">
        <v>-971.26460999999995</v>
      </c>
      <c r="D79" s="42">
        <f>IF(OR(-3953.55088="",-971.26461="",-3953.55088=0),"-",-971.26461/-3953.55088*100)</f>
        <v>24.566892888956573</v>
      </c>
    </row>
    <row r="80" spans="1:5" x14ac:dyDescent="0.25">
      <c r="A80" s="39" t="s">
        <v>86</v>
      </c>
      <c r="B80" s="42">
        <v>-1640.8120100000001</v>
      </c>
      <c r="C80" s="42">
        <v>-861.19565</v>
      </c>
      <c r="D80" s="42">
        <f>IF(OR(-1640.81201="",-861.19565="",-1640.81201=0),"-",-861.19565/-1640.81201*100)</f>
        <v>52.485942615693062</v>
      </c>
    </row>
    <row r="81" spans="1:5" x14ac:dyDescent="0.25">
      <c r="A81" s="39" t="s">
        <v>39</v>
      </c>
      <c r="B81" s="42">
        <v>279.82481999999999</v>
      </c>
      <c r="C81" s="42">
        <v>-674.57518000000005</v>
      </c>
      <c r="D81" s="42" t="s">
        <v>22</v>
      </c>
    </row>
    <row r="82" spans="1:5" x14ac:dyDescent="0.25">
      <c r="A82" s="39" t="s">
        <v>38</v>
      </c>
      <c r="B82" s="42">
        <v>-674.69716000000005</v>
      </c>
      <c r="C82" s="42">
        <v>-561.90018999999995</v>
      </c>
      <c r="D82" s="42">
        <f>IF(OR(-674.69716="",-561.90019="",-674.69716=0),"-",-561.90019/-674.69716*100)</f>
        <v>83.281837143052428</v>
      </c>
    </row>
    <row r="83" spans="1:5" x14ac:dyDescent="0.25">
      <c r="A83" s="39" t="s">
        <v>97</v>
      </c>
      <c r="B83" s="42">
        <v>-442.03372000000002</v>
      </c>
      <c r="C83" s="42">
        <v>-520.84978999999998</v>
      </c>
      <c r="D83" s="42">
        <f>IF(OR(-442.03372="",-520.84979="",-442.03372=0),"-",-520.84979/-442.03372*100)</f>
        <v>117.83032977665142</v>
      </c>
    </row>
    <row r="84" spans="1:5" x14ac:dyDescent="0.25">
      <c r="A84" s="39" t="s">
        <v>159</v>
      </c>
      <c r="B84" s="42">
        <v>-281.41302000000002</v>
      </c>
      <c r="C84" s="42">
        <v>-507.26832000000002</v>
      </c>
      <c r="D84" s="42" t="s">
        <v>222</v>
      </c>
    </row>
    <row r="85" spans="1:5" x14ac:dyDescent="0.25">
      <c r="A85" s="39" t="s">
        <v>158</v>
      </c>
      <c r="B85" s="42">
        <v>-136.56209000000001</v>
      </c>
      <c r="C85" s="42">
        <v>-449.92615000000001</v>
      </c>
      <c r="D85" s="42" t="s">
        <v>377</v>
      </c>
    </row>
    <row r="86" spans="1:5" x14ac:dyDescent="0.25">
      <c r="A86" s="39" t="s">
        <v>64</v>
      </c>
      <c r="B86" s="42">
        <v>156.84551999999999</v>
      </c>
      <c r="C86" s="42">
        <v>-407.61673000000002</v>
      </c>
      <c r="D86" s="42" t="s">
        <v>22</v>
      </c>
    </row>
    <row r="87" spans="1:5" x14ac:dyDescent="0.25">
      <c r="A87" s="39" t="s">
        <v>98</v>
      </c>
      <c r="B87" s="42">
        <v>-152.22909999999999</v>
      </c>
      <c r="C87" s="42">
        <v>-404.26781</v>
      </c>
      <c r="D87" s="42" t="s">
        <v>352</v>
      </c>
    </row>
    <row r="88" spans="1:5" x14ac:dyDescent="0.25">
      <c r="A88" s="39" t="s">
        <v>244</v>
      </c>
      <c r="B88" s="42">
        <v>-37.763019999999997</v>
      </c>
      <c r="C88" s="42">
        <v>-400.25344000000001</v>
      </c>
      <c r="D88" s="42" t="s">
        <v>378</v>
      </c>
    </row>
    <row r="89" spans="1:5" x14ac:dyDescent="0.25">
      <c r="A89" s="39" t="s">
        <v>81</v>
      </c>
      <c r="B89" s="42">
        <v>-1481.59718</v>
      </c>
      <c r="C89" s="42">
        <v>-374.50844000000001</v>
      </c>
      <c r="D89" s="42">
        <f>IF(OR(-1481.59718="",-374.50844="",-1481.59718=0),"-",-374.50844/-1481.59718*100)</f>
        <v>25.27734562777718</v>
      </c>
    </row>
    <row r="90" spans="1:5" x14ac:dyDescent="0.25">
      <c r="A90" s="39" t="s">
        <v>67</v>
      </c>
      <c r="B90" s="42">
        <v>936.48864000000003</v>
      </c>
      <c r="C90" s="42">
        <v>-324.17827</v>
      </c>
      <c r="D90" s="42" t="s">
        <v>22</v>
      </c>
    </row>
    <row r="91" spans="1:5" x14ac:dyDescent="0.25">
      <c r="A91" s="39" t="s">
        <v>92</v>
      </c>
      <c r="B91" s="42">
        <v>-332.39895000000001</v>
      </c>
      <c r="C91" s="42">
        <v>-244.89957999999999</v>
      </c>
      <c r="D91" s="42">
        <f>IF(OR(-332.39895="",-244.89958="",-332.39895=0),"-",-244.89958/-332.39895*100)</f>
        <v>73.676400000661843</v>
      </c>
    </row>
    <row r="92" spans="1:5" x14ac:dyDescent="0.25">
      <c r="A92" s="39" t="s">
        <v>130</v>
      </c>
      <c r="B92" s="42">
        <v>-60.804110000000001</v>
      </c>
      <c r="C92" s="42">
        <v>-243.75881000000001</v>
      </c>
      <c r="D92" s="42" t="s">
        <v>355</v>
      </c>
    </row>
    <row r="93" spans="1:5" x14ac:dyDescent="0.25">
      <c r="A93" s="39" t="s">
        <v>128</v>
      </c>
      <c r="B93" s="42">
        <v>2917.79619</v>
      </c>
      <c r="C93" s="42">
        <v>-236.06458000000001</v>
      </c>
      <c r="D93" s="42" t="s">
        <v>22</v>
      </c>
    </row>
    <row r="94" spans="1:5" x14ac:dyDescent="0.25">
      <c r="A94" s="39" t="s">
        <v>94</v>
      </c>
      <c r="B94" s="42">
        <v>-421.27291000000002</v>
      </c>
      <c r="C94" s="42">
        <v>-202.56497999999999</v>
      </c>
      <c r="D94" s="42">
        <f>IF(OR(-421.27291="",-202.56498="",-421.27291=0),"-",-202.56498/-421.27291*100)</f>
        <v>48.084027050303327</v>
      </c>
    </row>
    <row r="95" spans="1:5" x14ac:dyDescent="0.25">
      <c r="A95" s="39" t="s">
        <v>102</v>
      </c>
      <c r="B95" s="42">
        <v>-73.162139999999994</v>
      </c>
      <c r="C95" s="42">
        <v>-188.38466</v>
      </c>
      <c r="D95" s="42" t="s">
        <v>317</v>
      </c>
    </row>
    <row r="96" spans="1:5" x14ac:dyDescent="0.25">
      <c r="A96" s="39" t="s">
        <v>90</v>
      </c>
      <c r="B96" s="42">
        <v>-148.96861000000001</v>
      </c>
      <c r="C96" s="42">
        <v>-141.09432000000001</v>
      </c>
      <c r="D96" s="42">
        <f>IF(OR(-148.96861="",-141.09432="",-148.96861=0),"-",-141.09432/-148.96861*100)</f>
        <v>94.714128030059484</v>
      </c>
      <c r="E96" s="10"/>
    </row>
    <row r="97" spans="1:5" x14ac:dyDescent="0.25">
      <c r="A97" s="39" t="s">
        <v>143</v>
      </c>
      <c r="B97" s="42">
        <v>-65.341070000000002</v>
      </c>
      <c r="C97" s="42">
        <v>-113.85536999999999</v>
      </c>
      <c r="D97" s="42" t="s">
        <v>103</v>
      </c>
    </row>
    <row r="98" spans="1:5" x14ac:dyDescent="0.25">
      <c r="A98" s="39" t="s">
        <v>111</v>
      </c>
      <c r="B98" s="42">
        <v>-326.97397000000001</v>
      </c>
      <c r="C98" s="42">
        <v>-98.930499999999995</v>
      </c>
      <c r="D98" s="42">
        <f>IF(OR(-326.97397="",-98.9305="",-326.97397=0),"-",-98.9305/-326.97397*100)</f>
        <v>30.256384017357707</v>
      </c>
      <c r="E98" s="9"/>
    </row>
    <row r="99" spans="1:5" x14ac:dyDescent="0.25">
      <c r="A99" s="39" t="s">
        <v>219</v>
      </c>
      <c r="B99" s="42">
        <v>-4.9756600000000004</v>
      </c>
      <c r="C99" s="42">
        <v>-78.728620000000006</v>
      </c>
      <c r="D99" s="42" t="s">
        <v>357</v>
      </c>
    </row>
    <row r="100" spans="1:5" x14ac:dyDescent="0.25">
      <c r="A100" s="39" t="s">
        <v>142</v>
      </c>
      <c r="B100" s="42">
        <v>-110.60563</v>
      </c>
      <c r="C100" s="42">
        <v>-77.61788</v>
      </c>
      <c r="D100" s="42">
        <f>IF(OR(-110.60563="",-77.61788="",-110.60563=0),"-",-77.61788/-110.60563*100)</f>
        <v>70.175342792224953</v>
      </c>
      <c r="E100" s="9"/>
    </row>
    <row r="101" spans="1:5" x14ac:dyDescent="0.25">
      <c r="A101" s="39" t="s">
        <v>151</v>
      </c>
      <c r="B101" s="42">
        <v>-44.312959999999997</v>
      </c>
      <c r="C101" s="42">
        <v>-55.015920000000001</v>
      </c>
      <c r="D101" s="42">
        <f>IF(OR(-44.31296="",-55.01592="",-44.31296=0),"-",-55.01592/-44.31296*100)</f>
        <v>124.15311457415619</v>
      </c>
      <c r="E101" s="1"/>
    </row>
    <row r="102" spans="1:5" x14ac:dyDescent="0.25">
      <c r="A102" s="39" t="s">
        <v>228</v>
      </c>
      <c r="B102" s="42">
        <v>-22.78218</v>
      </c>
      <c r="C102" s="42">
        <v>-53.054830000000003</v>
      </c>
      <c r="D102" s="42" t="s">
        <v>236</v>
      </c>
    </row>
    <row r="103" spans="1:5" x14ac:dyDescent="0.25">
      <c r="A103" s="39" t="s">
        <v>107</v>
      </c>
      <c r="B103" s="42">
        <v>9.6888299999999994</v>
      </c>
      <c r="C103" s="42">
        <v>-50.285640000000001</v>
      </c>
      <c r="D103" s="42" t="s">
        <v>22</v>
      </c>
    </row>
    <row r="104" spans="1:5" x14ac:dyDescent="0.25">
      <c r="A104" s="39" t="s">
        <v>245</v>
      </c>
      <c r="B104" s="42">
        <v>-1.2676000000000001</v>
      </c>
      <c r="C104" s="42">
        <v>-45.873199999999997</v>
      </c>
      <c r="D104" s="42" t="s">
        <v>379</v>
      </c>
    </row>
    <row r="105" spans="1:5" x14ac:dyDescent="0.25">
      <c r="A105" s="39" t="s">
        <v>139</v>
      </c>
      <c r="B105" s="42">
        <v>-30.409659999999999</v>
      </c>
      <c r="C105" s="42">
        <v>-42.073399999999999</v>
      </c>
      <c r="D105" s="42">
        <f>IF(OR(-30.40966="",-42.0734="",-30.40966=0),"-",-42.0734/-30.40966*100)</f>
        <v>138.35537786348152</v>
      </c>
      <c r="E105" s="10"/>
    </row>
    <row r="106" spans="1:5" x14ac:dyDescent="0.25">
      <c r="A106" s="39" t="s">
        <v>243</v>
      </c>
      <c r="B106" s="42">
        <v>69.921180000000007</v>
      </c>
      <c r="C106" s="42">
        <v>48.283630000000002</v>
      </c>
      <c r="D106" s="42">
        <f>IF(OR(69.92118="",48.28363="",69.92118=0),"-",48.28363/69.92118*100)</f>
        <v>69.054369505777785</v>
      </c>
      <c r="E106" s="8"/>
    </row>
    <row r="107" spans="1:5" x14ac:dyDescent="0.25">
      <c r="A107" s="39" t="s">
        <v>242</v>
      </c>
      <c r="B107" s="42">
        <v>11.17423</v>
      </c>
      <c r="C107" s="42">
        <v>56.932549999999999</v>
      </c>
      <c r="D107" s="42" t="s">
        <v>380</v>
      </c>
    </row>
    <row r="108" spans="1:5" x14ac:dyDescent="0.25">
      <c r="A108" s="39" t="s">
        <v>338</v>
      </c>
      <c r="B108" s="42">
        <v>59.402149999999999</v>
      </c>
      <c r="C108" s="42">
        <v>58.896790000000003</v>
      </c>
      <c r="D108" s="42">
        <f>IF(OR(59.40215="",58.89679="",59.40215=0),"-",58.89679/59.40215*100)</f>
        <v>99.149256382134325</v>
      </c>
    </row>
    <row r="109" spans="1:5" x14ac:dyDescent="0.25">
      <c r="A109" s="39" t="s">
        <v>37</v>
      </c>
      <c r="B109" s="42">
        <v>556.93902000000003</v>
      </c>
      <c r="C109" s="42">
        <v>89.457939999999994</v>
      </c>
      <c r="D109" s="42">
        <f>IF(OR(556.93902="",89.45794="",556.93902=0),"-",89.45794/556.93902*100)</f>
        <v>16.062429958669441</v>
      </c>
    </row>
    <row r="110" spans="1:5" x14ac:dyDescent="0.25">
      <c r="A110" s="39" t="s">
        <v>132</v>
      </c>
      <c r="B110" s="42">
        <v>128.30535</v>
      </c>
      <c r="C110" s="42">
        <v>90.25273</v>
      </c>
      <c r="D110" s="42">
        <f>IF(OR(128.30535="",90.25273="",128.30535=0),"-",90.25273/128.30535*100)</f>
        <v>70.342140838242514</v>
      </c>
    </row>
    <row r="111" spans="1:5" x14ac:dyDescent="0.25">
      <c r="A111" s="39" t="s">
        <v>232</v>
      </c>
      <c r="B111" s="42">
        <v>22.8079</v>
      </c>
      <c r="C111" s="42">
        <v>137.36508000000001</v>
      </c>
      <c r="D111" s="42" t="s">
        <v>345</v>
      </c>
    </row>
    <row r="112" spans="1:5" x14ac:dyDescent="0.25">
      <c r="A112" s="39" t="s">
        <v>131</v>
      </c>
      <c r="B112" s="42">
        <v>218.83699999999999</v>
      </c>
      <c r="C112" s="42">
        <v>140.37428</v>
      </c>
      <c r="D112" s="42">
        <f>IF(OR(218.837="",140.37428="",218.837=0),"-",140.37428/218.837*100)</f>
        <v>64.145587811933083</v>
      </c>
    </row>
    <row r="113" spans="1:4" x14ac:dyDescent="0.25">
      <c r="A113" s="39" t="s">
        <v>235</v>
      </c>
      <c r="B113" s="42">
        <v>-2.4330500000000002</v>
      </c>
      <c r="C113" s="42">
        <v>161.74339000000001</v>
      </c>
      <c r="D113" s="42" t="s">
        <v>22</v>
      </c>
    </row>
    <row r="114" spans="1:4" x14ac:dyDescent="0.25">
      <c r="A114" s="39" t="s">
        <v>135</v>
      </c>
      <c r="B114" s="42">
        <v>243.93226000000001</v>
      </c>
      <c r="C114" s="42">
        <v>161.82137</v>
      </c>
      <c r="D114" s="42">
        <f>IF(OR(243.93226="",161.82137="",243.93226=0),"-",161.82137/243.93226*100)</f>
        <v>66.338650738528798</v>
      </c>
    </row>
    <row r="115" spans="1:4" x14ac:dyDescent="0.25">
      <c r="A115" s="39" t="s">
        <v>152</v>
      </c>
      <c r="B115" s="42">
        <v>86.209050000000005</v>
      </c>
      <c r="C115" s="42">
        <v>168.81423000000001</v>
      </c>
      <c r="D115" s="42" t="s">
        <v>20</v>
      </c>
    </row>
    <row r="116" spans="1:4" x14ac:dyDescent="0.25">
      <c r="A116" s="39" t="s">
        <v>96</v>
      </c>
      <c r="B116" s="42">
        <v>159.60595000000001</v>
      </c>
      <c r="C116" s="42">
        <v>168.99047999999999</v>
      </c>
      <c r="D116" s="42">
        <f>IF(OR(159.60595="",168.99048="",159.60595=0),"-",168.99048/159.60595*100)</f>
        <v>105.8798121247986</v>
      </c>
    </row>
    <row r="117" spans="1:4" x14ac:dyDescent="0.25">
      <c r="A117" s="39" t="s">
        <v>141</v>
      </c>
      <c r="B117" s="42">
        <v>50.180970000000002</v>
      </c>
      <c r="C117" s="42">
        <v>182.67859999999999</v>
      </c>
      <c r="D117" s="42" t="s">
        <v>246</v>
      </c>
    </row>
    <row r="118" spans="1:4" x14ac:dyDescent="0.25">
      <c r="A118" s="39" t="s">
        <v>137</v>
      </c>
      <c r="B118" s="42">
        <v>-625.62828999999999</v>
      </c>
      <c r="C118" s="42">
        <v>211.56692000000001</v>
      </c>
      <c r="D118" s="42" t="s">
        <v>22</v>
      </c>
    </row>
    <row r="119" spans="1:4" x14ac:dyDescent="0.25">
      <c r="A119" s="39" t="s">
        <v>101</v>
      </c>
      <c r="B119" s="42">
        <v>-149.13464999999999</v>
      </c>
      <c r="C119" s="42">
        <v>221.30461</v>
      </c>
      <c r="D119" s="42" t="s">
        <v>22</v>
      </c>
    </row>
    <row r="120" spans="1:4" x14ac:dyDescent="0.25">
      <c r="A120" s="39" t="s">
        <v>157</v>
      </c>
      <c r="B120" s="42">
        <v>66.844800000000006</v>
      </c>
      <c r="C120" s="42">
        <v>299.39999999999998</v>
      </c>
      <c r="D120" s="42" t="s">
        <v>343</v>
      </c>
    </row>
    <row r="121" spans="1:4" x14ac:dyDescent="0.25">
      <c r="A121" s="39" t="s">
        <v>160</v>
      </c>
      <c r="B121" s="42">
        <v>23.11609</v>
      </c>
      <c r="C121" s="42">
        <v>312.06231000000002</v>
      </c>
      <c r="D121" s="42" t="s">
        <v>381</v>
      </c>
    </row>
    <row r="122" spans="1:4" x14ac:dyDescent="0.25">
      <c r="A122" s="39" t="s">
        <v>109</v>
      </c>
      <c r="B122" s="42">
        <v>296.38040000000001</v>
      </c>
      <c r="C122" s="42">
        <v>481.07252999999997</v>
      </c>
      <c r="D122" s="42" t="s">
        <v>104</v>
      </c>
    </row>
    <row r="123" spans="1:4" x14ac:dyDescent="0.25">
      <c r="A123" s="39" t="s">
        <v>77</v>
      </c>
      <c r="B123" s="42">
        <v>425.69265999999999</v>
      </c>
      <c r="C123" s="42">
        <v>827.09393999999998</v>
      </c>
      <c r="D123" s="42" t="s">
        <v>105</v>
      </c>
    </row>
    <row r="124" spans="1:4" x14ac:dyDescent="0.25">
      <c r="A124" s="39" t="s">
        <v>127</v>
      </c>
      <c r="B124" s="42">
        <v>23549.889749999998</v>
      </c>
      <c r="C124" s="42">
        <v>1438.9240299999999</v>
      </c>
      <c r="D124" s="42">
        <f>IF(OR(23549.88975="",1438.92403="",23549.88975=0),"-",1438.92403/23549.88975*100)</f>
        <v>6.1101094114463956</v>
      </c>
    </row>
    <row r="125" spans="1:4" x14ac:dyDescent="0.25">
      <c r="A125" s="39" t="s">
        <v>68</v>
      </c>
      <c r="B125" s="42">
        <v>349.02974999999998</v>
      </c>
      <c r="C125" s="42">
        <v>1513.5231900000001</v>
      </c>
      <c r="D125" s="42" t="s">
        <v>364</v>
      </c>
    </row>
    <row r="126" spans="1:4" x14ac:dyDescent="0.25">
      <c r="A126" s="39" t="s">
        <v>233</v>
      </c>
      <c r="B126" s="42" t="str">
        <f>IF(OR(0="",2085.50385="",0=0),"-",2085.50385/0*100)</f>
        <v>-</v>
      </c>
      <c r="C126" s="42">
        <v>2085.5038500000001</v>
      </c>
      <c r="D126" s="42" t="str">
        <f>IF(OR(0="",2085.50385="",0=0),"-",2085.50385/0*100)</f>
        <v>-</v>
      </c>
    </row>
    <row r="127" spans="1:4" x14ac:dyDescent="0.25">
      <c r="A127" s="39" t="s">
        <v>57</v>
      </c>
      <c r="B127" s="42">
        <v>2806.6312400000002</v>
      </c>
      <c r="C127" s="42">
        <v>2362.0970699999998</v>
      </c>
      <c r="D127" s="42">
        <f>IF(OR(2806.63124="",2362.09707="",2806.63124=0),"-",2362.09707/2806.63124*100)</f>
        <v>84.161290458663871</v>
      </c>
    </row>
    <row r="128" spans="1:4" x14ac:dyDescent="0.25">
      <c r="A128" s="39" t="s">
        <v>58</v>
      </c>
      <c r="B128" s="42">
        <v>3962.4648299999999</v>
      </c>
      <c r="C128" s="42">
        <v>5636.8681999999999</v>
      </c>
      <c r="D128" s="42">
        <f>IF(OR(3962.46483="",5636.8682="",3962.46483=0),"-",5636.8682/3962.46483*100)</f>
        <v>142.25661152429711</v>
      </c>
    </row>
    <row r="129" spans="1:4" x14ac:dyDescent="0.25">
      <c r="A129" s="46" t="s">
        <v>60</v>
      </c>
      <c r="B129" s="43">
        <v>6495.2758899999999</v>
      </c>
      <c r="C129" s="43">
        <v>9229.2224900000001</v>
      </c>
      <c r="D129" s="43">
        <f>IF(OR(6495.27589="",9229.22249="",6495.27589=0),"-",9229.22249/6495.27589*100)</f>
        <v>142.09130830314894</v>
      </c>
    </row>
    <row r="130" spans="1:4" x14ac:dyDescent="0.25">
      <c r="A130" s="78" t="s">
        <v>21</v>
      </c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9"/>
  <sheetViews>
    <sheetView workbookViewId="0">
      <selection activeCell="F12" sqref="F12"/>
    </sheetView>
  </sheetViews>
  <sheetFormatPr defaultRowHeight="15.75" x14ac:dyDescent="0.25"/>
  <cols>
    <col min="1" max="1" width="30.25" customWidth="1"/>
    <col min="2" max="2" width="14.875" customWidth="1"/>
    <col min="3" max="3" width="13.875" customWidth="1"/>
    <col min="4" max="5" width="11.625" customWidth="1"/>
  </cols>
  <sheetData>
    <row r="1" spans="1:6" x14ac:dyDescent="0.25">
      <c r="A1" s="109" t="s">
        <v>383</v>
      </c>
      <c r="B1" s="109"/>
      <c r="C1" s="109"/>
      <c r="D1" s="109"/>
      <c r="E1" s="109"/>
    </row>
    <row r="2" spans="1:6" x14ac:dyDescent="0.25">
      <c r="A2" s="7"/>
      <c r="B2" s="7"/>
      <c r="C2" s="7"/>
      <c r="D2" s="7"/>
      <c r="E2" s="7"/>
    </row>
    <row r="3" spans="1:6" ht="18.75" customHeight="1" x14ac:dyDescent="0.25">
      <c r="A3" s="110"/>
      <c r="B3" s="113" t="s">
        <v>329</v>
      </c>
      <c r="C3" s="114"/>
      <c r="D3" s="113" t="s">
        <v>108</v>
      </c>
      <c r="E3" s="129"/>
      <c r="F3" s="1"/>
    </row>
    <row r="4" spans="1:6" ht="18.75" customHeight="1" x14ac:dyDescent="0.25">
      <c r="A4" s="111"/>
      <c r="B4" s="117" t="s">
        <v>121</v>
      </c>
      <c r="C4" s="119" t="s">
        <v>334</v>
      </c>
      <c r="D4" s="121" t="s">
        <v>330</v>
      </c>
      <c r="E4" s="113"/>
      <c r="F4" s="1"/>
    </row>
    <row r="5" spans="1:6" ht="23.25" customHeight="1" x14ac:dyDescent="0.25">
      <c r="A5" s="112"/>
      <c r="B5" s="118"/>
      <c r="C5" s="120"/>
      <c r="D5" s="20">
        <v>2020</v>
      </c>
      <c r="E5" s="19">
        <v>2021</v>
      </c>
      <c r="F5" s="1"/>
    </row>
    <row r="6" spans="1:6" ht="15.75" customHeight="1" x14ac:dyDescent="0.25">
      <c r="A6" s="103" t="s">
        <v>144</v>
      </c>
      <c r="B6" s="94">
        <v>902994.40784</v>
      </c>
      <c r="C6" s="40">
        <v>109.46885804354902</v>
      </c>
      <c r="D6" s="95">
        <v>100</v>
      </c>
      <c r="E6" s="95">
        <v>100</v>
      </c>
    </row>
    <row r="7" spans="1:6" ht="15.75" customHeight="1" x14ac:dyDescent="0.25">
      <c r="A7" s="104" t="s">
        <v>133</v>
      </c>
      <c r="B7" s="32"/>
      <c r="C7" s="96"/>
      <c r="D7" s="28"/>
      <c r="E7" s="28"/>
    </row>
    <row r="8" spans="1:6" x14ac:dyDescent="0.25">
      <c r="A8" s="106" t="s">
        <v>112</v>
      </c>
      <c r="B8" s="42">
        <v>44407.182439999997</v>
      </c>
      <c r="C8" s="97">
        <v>54.135908907945563</v>
      </c>
      <c r="D8" s="42">
        <f>IF(82029.06968="","-",82029.06968/824887.0263*100)</f>
        <v>9.944279284878359</v>
      </c>
      <c r="E8" s="42">
        <f>IF(44407.18244="","-",44407.18244/902994.40784*100)</f>
        <v>4.9177693742560171</v>
      </c>
    </row>
    <row r="9" spans="1:6" x14ac:dyDescent="0.25">
      <c r="A9" s="106" t="s">
        <v>113</v>
      </c>
      <c r="B9" s="42">
        <v>7227.0556500000002</v>
      </c>
      <c r="C9" s="97">
        <v>17.083303822490066</v>
      </c>
      <c r="D9" s="42">
        <f>IF(42304.78908="","-",42304.78908/824887.0263*100)</f>
        <v>5.1285555150208335</v>
      </c>
      <c r="E9" s="42">
        <f>IF(7227.05565="","-",7227.05565/902994.40784*100)</f>
        <v>0.80034334512518368</v>
      </c>
    </row>
    <row r="10" spans="1:6" x14ac:dyDescent="0.25">
      <c r="A10" s="106" t="s">
        <v>114</v>
      </c>
      <c r="B10" s="42">
        <v>840514.70799999998</v>
      </c>
      <c r="C10" s="97">
        <v>121.90852038374851</v>
      </c>
      <c r="D10" s="42">
        <f>IF(689463.46437="","-",689463.46437/824887.0263*100)</f>
        <v>83.582774657344601</v>
      </c>
      <c r="E10" s="42">
        <f>IF(840514.708="","-",840514.708/902994.40784*100)</f>
        <v>93.080832029795829</v>
      </c>
    </row>
    <row r="11" spans="1:6" x14ac:dyDescent="0.25">
      <c r="A11" s="106" t="s">
        <v>115</v>
      </c>
      <c r="B11" s="42">
        <v>10063.96228</v>
      </c>
      <c r="C11" s="97">
        <v>93.24248188165042</v>
      </c>
      <c r="D11" s="42">
        <f>IF(10793.32304="","-",10793.32304/824887.0263*100)</f>
        <v>1.3084607583674879</v>
      </c>
      <c r="E11" s="42">
        <f>IF(10063.96228="","-",10063.96228/902994.40784*100)</f>
        <v>1.1145099230540545</v>
      </c>
    </row>
    <row r="12" spans="1:6" x14ac:dyDescent="0.25">
      <c r="A12" s="106" t="s">
        <v>116</v>
      </c>
      <c r="B12" s="42">
        <v>708.40570000000002</v>
      </c>
      <c r="C12" s="97" t="s">
        <v>373</v>
      </c>
      <c r="D12" s="42">
        <f>IF(278.47012="","-",278.47012/824887.0263*100)</f>
        <v>3.3758576765241091E-2</v>
      </c>
      <c r="E12" s="42">
        <f>IF(708.4057="","-",708.4057/902994.40784*100)</f>
        <v>7.8450729467365782E-2</v>
      </c>
    </row>
    <row r="13" spans="1:6" x14ac:dyDescent="0.25">
      <c r="A13" s="106" t="s">
        <v>117</v>
      </c>
      <c r="B13" s="42">
        <v>1.8505100000000001</v>
      </c>
      <c r="C13" s="97">
        <v>74.747544109093255</v>
      </c>
      <c r="D13" s="42">
        <f>IF(2.47568="","-",2.47568/824887.0263*100)</f>
        <v>3.001235225027808E-4</v>
      </c>
      <c r="E13" s="42">
        <f>IF(1.85051="","-",1.85051/902994.40784*100)</f>
        <v>2.049303942453527E-4</v>
      </c>
    </row>
    <row r="14" spans="1:6" x14ac:dyDescent="0.25">
      <c r="A14" s="106" t="s">
        <v>118</v>
      </c>
      <c r="B14" s="42">
        <v>71.243260000000006</v>
      </c>
      <c r="C14" s="97" t="s">
        <v>374</v>
      </c>
      <c r="D14" s="42">
        <f>IF(15.43433="","-",15.43433/824887.0263*100)</f>
        <v>1.8710841009622991E-3</v>
      </c>
      <c r="E14" s="42">
        <f>IF(71.24326="","-",71.24326/902994.40784*100)</f>
        <v>7.8896679072926745E-3</v>
      </c>
    </row>
    <row r="15" spans="1:6" x14ac:dyDescent="0.25">
      <c r="A15" s="38" t="s">
        <v>323</v>
      </c>
      <c r="B15" s="41">
        <v>581455.35974999995</v>
      </c>
      <c r="C15" s="98">
        <v>109.79898744342267</v>
      </c>
      <c r="D15" s="41">
        <f>IF(529563.49898="","-",529563.49898/824887.0263*100)</f>
        <v>64.198306203861307</v>
      </c>
      <c r="E15" s="41">
        <f>IF(581455.35975="","-",581455.35975/902994.40784*100)</f>
        <v>64.391911478263225</v>
      </c>
    </row>
    <row r="16" spans="1:6" x14ac:dyDescent="0.25">
      <c r="A16" s="104" t="s">
        <v>133</v>
      </c>
      <c r="B16" s="30"/>
      <c r="C16" s="98"/>
      <c r="D16" s="30"/>
      <c r="E16" s="30"/>
    </row>
    <row r="17" spans="1:11" x14ac:dyDescent="0.25">
      <c r="A17" s="106" t="s">
        <v>112</v>
      </c>
      <c r="B17" s="42">
        <v>23591.679270000001</v>
      </c>
      <c r="C17" s="99">
        <v>47.966725759486032</v>
      </c>
      <c r="D17" s="42">
        <f>IF(49183.42642="","-",49183.42642/824887.0263*100)</f>
        <v>5.9624439289111413</v>
      </c>
      <c r="E17" s="42">
        <f>IF(23591.67927="","-",23591.67927/902994.40784*100)</f>
        <v>2.6126052459651739</v>
      </c>
      <c r="K17" s="22"/>
    </row>
    <row r="18" spans="1:11" x14ac:dyDescent="0.25">
      <c r="A18" s="106" t="s">
        <v>113</v>
      </c>
      <c r="B18" s="42">
        <v>2176.7481499999999</v>
      </c>
      <c r="C18" s="99">
        <v>21.849180501962451</v>
      </c>
      <c r="D18" s="42">
        <f>IF(9962.60775="","-",9962.60775/824887.0263*100)</f>
        <v>1.2077542054076065</v>
      </c>
      <c r="E18" s="42">
        <f>IF(2176.74815="","-",2176.74815/902994.40784*100)</f>
        <v>0.24105887379821891</v>
      </c>
    </row>
    <row r="19" spans="1:11" x14ac:dyDescent="0.25">
      <c r="A19" s="106" t="s">
        <v>114</v>
      </c>
      <c r="B19" s="42">
        <v>553453.01668999996</v>
      </c>
      <c r="C19" s="99">
        <v>118.21641162725909</v>
      </c>
      <c r="D19" s="42">
        <f>IF(468169.35912="","-",468169.35912/824887.0263*100)</f>
        <v>56.755573089803114</v>
      </c>
      <c r="E19" s="42">
        <f>IF(553453.01669="","-",553453.01669/902994.40784*100)</f>
        <v>61.290857604963747</v>
      </c>
    </row>
    <row r="20" spans="1:11" x14ac:dyDescent="0.25">
      <c r="A20" s="106" t="s">
        <v>115</v>
      </c>
      <c r="B20" s="42">
        <v>1536.8904700000001</v>
      </c>
      <c r="C20" s="99">
        <v>72.653492611286865</v>
      </c>
      <c r="D20" s="42">
        <f>IF(2115.37039="","-",2115.37039/824887.0263*100)</f>
        <v>0.25644364895498661</v>
      </c>
      <c r="E20" s="42">
        <f>IF(1536.89047="","-",1536.89047/902994.40784*100)</f>
        <v>0.17019933419923447</v>
      </c>
    </row>
    <row r="21" spans="1:11" x14ac:dyDescent="0.25">
      <c r="A21" s="106" t="s">
        <v>116</v>
      </c>
      <c r="B21" s="42">
        <v>660.96100999999999</v>
      </c>
      <c r="C21" s="99" t="s">
        <v>375</v>
      </c>
      <c r="D21" s="42">
        <f>IF(132.7353="","-",132.7353/824887.0263*100)</f>
        <v>1.6091330784456539E-2</v>
      </c>
      <c r="E21" s="42">
        <f>IF(660.96101="","-",660.96101/902994.40784*100)</f>
        <v>7.3196578435191659E-2</v>
      </c>
    </row>
    <row r="22" spans="1:11" x14ac:dyDescent="0.25">
      <c r="A22" s="52" t="s">
        <v>118</v>
      </c>
      <c r="B22" s="42">
        <v>36.064160000000001</v>
      </c>
      <c r="C22" s="99" t="s">
        <v>224</v>
      </c>
      <c r="D22" s="42" t="s">
        <v>224</v>
      </c>
      <c r="E22" s="42">
        <f>IF(36.06416="","-",36.06416/902994.40784*100)</f>
        <v>3.9938409016581806E-3</v>
      </c>
    </row>
    <row r="23" spans="1:11" x14ac:dyDescent="0.25">
      <c r="A23" s="38" t="s">
        <v>223</v>
      </c>
      <c r="B23" s="41">
        <v>144264.37249000001</v>
      </c>
      <c r="C23" s="98">
        <v>111.85689843114216</v>
      </c>
      <c r="D23" s="41">
        <f>IF(128972.26234="","-",128972.26234/824887.0263*100)</f>
        <v>15.635142538063699</v>
      </c>
      <c r="E23" s="41">
        <f>IF(144264.37249="","-",144264.37249/902994.40784*100)</f>
        <v>15.976219923120716</v>
      </c>
    </row>
    <row r="24" spans="1:11" x14ac:dyDescent="0.25">
      <c r="A24" s="104" t="s">
        <v>133</v>
      </c>
      <c r="B24" s="30"/>
      <c r="C24" s="98"/>
      <c r="D24" s="30"/>
      <c r="E24" s="30"/>
    </row>
    <row r="25" spans="1:11" x14ac:dyDescent="0.25">
      <c r="A25" s="106" t="s">
        <v>112</v>
      </c>
      <c r="B25" s="42">
        <v>10270.452499999999</v>
      </c>
      <c r="C25" s="99" t="s">
        <v>324</v>
      </c>
      <c r="D25" s="42">
        <f>IF(1252.01706="","-",1252.01706/824887.0263*100)</f>
        <v>0.15178042811703266</v>
      </c>
      <c r="E25" s="42">
        <f>IF(10270.4525="","-",10270.4525/902994.40784*100)</f>
        <v>1.1373771986658641</v>
      </c>
    </row>
    <row r="26" spans="1:11" x14ac:dyDescent="0.25">
      <c r="A26" s="106" t="s">
        <v>113</v>
      </c>
      <c r="B26" s="42">
        <v>1364.53665</v>
      </c>
      <c r="C26" s="99">
        <v>53.830845673402713</v>
      </c>
      <c r="D26" s="42">
        <f>IF(2534.86014="","-",2534.86014/824887.0263*100)</f>
        <v>0.30729785524328346</v>
      </c>
      <c r="E26" s="42">
        <f>IF(1364.53665="","-",1364.53665/902994.40784*100)</f>
        <v>0.15111241422458285</v>
      </c>
      <c r="F26" s="1"/>
      <c r="G26" s="1"/>
    </row>
    <row r="27" spans="1:11" x14ac:dyDescent="0.25">
      <c r="A27" s="106" t="s">
        <v>114</v>
      </c>
      <c r="B27" s="42">
        <v>128899.11896000001</v>
      </c>
      <c r="C27" s="99">
        <v>105.4137297347589</v>
      </c>
      <c r="D27" s="42">
        <f>IF(122279.2508="","-",122279.2508/824887.0263*100)</f>
        <v>14.823757302679255</v>
      </c>
      <c r="E27" s="42">
        <f>IF(128899.11896="","-",128899.11896/902994.40784*100)</f>
        <v>14.27463092139541</v>
      </c>
      <c r="F27" s="10"/>
      <c r="G27" s="10"/>
    </row>
    <row r="28" spans="1:11" x14ac:dyDescent="0.25">
      <c r="A28" s="106" t="s">
        <v>115</v>
      </c>
      <c r="B28" s="42">
        <v>3680.9285599999998</v>
      </c>
      <c r="C28" s="99">
        <v>129.310518042041</v>
      </c>
      <c r="D28" s="42">
        <f>IF(2846.58094="","-",2846.58094/824887.0263*100)</f>
        <v>0.34508736945084861</v>
      </c>
      <c r="E28" s="42">
        <f>IF(3680.92856="","-",3680.92856/902994.40784*100)</f>
        <v>0.40763580904171193</v>
      </c>
    </row>
    <row r="29" spans="1:11" x14ac:dyDescent="0.25">
      <c r="A29" s="106" t="s">
        <v>116</v>
      </c>
      <c r="B29" s="42">
        <v>12.30621</v>
      </c>
      <c r="C29" s="99">
        <v>29.551412601135503</v>
      </c>
      <c r="D29" s="42">
        <f>IF(41.64339="","-",41.64339/824887.0263*100)</f>
        <v>5.0483749498146267E-3</v>
      </c>
      <c r="E29" s="42">
        <f>IF(12.30621="","-",12.30621/902994.40784*100)</f>
        <v>1.3628223932678569E-3</v>
      </c>
    </row>
    <row r="30" spans="1:11" x14ac:dyDescent="0.25">
      <c r="A30" s="106" t="s">
        <v>117</v>
      </c>
      <c r="B30" s="42">
        <v>1.8505100000000001</v>
      </c>
      <c r="C30" s="99">
        <v>74.747544109093255</v>
      </c>
      <c r="D30" s="42">
        <f>IF(2.47568="","-",2.47568/824887.0263*100)</f>
        <v>3.001235225027808E-4</v>
      </c>
      <c r="E30" s="42">
        <f>IF(1.85051="","-",1.85051/902994.40784*100)</f>
        <v>2.049303942453527E-4</v>
      </c>
    </row>
    <row r="31" spans="1:11" x14ac:dyDescent="0.25">
      <c r="A31" s="106" t="s">
        <v>118</v>
      </c>
      <c r="B31" s="42">
        <v>35.179099999999998</v>
      </c>
      <c r="C31" s="99" t="s">
        <v>236</v>
      </c>
      <c r="D31" s="42">
        <f>IF(15.43433="","-",15.43433/824887.0263*100)</f>
        <v>1.8710841009622991E-3</v>
      </c>
      <c r="E31" s="42">
        <f>IF(35.1791="","-",35.1791/902994.40784*100)</f>
        <v>3.8958270056344939E-3</v>
      </c>
    </row>
    <row r="32" spans="1:11" x14ac:dyDescent="0.25">
      <c r="A32" s="38" t="s">
        <v>154</v>
      </c>
      <c r="B32" s="41">
        <v>177274.67559999999</v>
      </c>
      <c r="C32" s="98">
        <v>106.56647283163929</v>
      </c>
      <c r="D32" s="41">
        <f>IF(166351.26498="","-",166351.26498/824887.0263*100)</f>
        <v>20.166551258074989</v>
      </c>
      <c r="E32" s="41">
        <f>IF(177274.6756="","-",177274.6756/902994.40784*100)</f>
        <v>19.631868598616059</v>
      </c>
    </row>
    <row r="33" spans="1:5" x14ac:dyDescent="0.25">
      <c r="A33" s="104" t="s">
        <v>133</v>
      </c>
      <c r="B33" s="30"/>
      <c r="C33" s="98"/>
      <c r="D33" s="30"/>
      <c r="E33" s="30"/>
    </row>
    <row r="34" spans="1:5" x14ac:dyDescent="0.25">
      <c r="A34" s="106" t="s">
        <v>112</v>
      </c>
      <c r="B34" s="42">
        <v>10545.050670000001</v>
      </c>
      <c r="C34" s="99">
        <v>33.377145767458636</v>
      </c>
      <c r="D34" s="42">
        <f>IF(31593.6262="","-",31593.6262/824887.0263*100)</f>
        <v>3.8300549278501843</v>
      </c>
      <c r="E34" s="42">
        <f>IF(10545.05067="","-",10545.05067/902994.40784*100)</f>
        <v>1.1677869296249794</v>
      </c>
    </row>
    <row r="35" spans="1:5" x14ac:dyDescent="0.25">
      <c r="A35" s="106" t="s">
        <v>113</v>
      </c>
      <c r="B35" s="42">
        <v>3685.7708499999999</v>
      </c>
      <c r="C35" s="99">
        <v>12.365320675769187</v>
      </c>
      <c r="D35" s="42">
        <f>IF(29807.32119="","-",29807.32119/824887.0263*100)</f>
        <v>3.6135034543699431</v>
      </c>
      <c r="E35" s="42">
        <f>IF(3685.77085="","-",3685.77085/902994.40784*100)</f>
        <v>0.40817205710238191</v>
      </c>
    </row>
    <row r="36" spans="1:5" x14ac:dyDescent="0.25">
      <c r="A36" s="106" t="s">
        <v>114</v>
      </c>
      <c r="B36" s="42">
        <v>158162.57235</v>
      </c>
      <c r="C36" s="99" t="s">
        <v>104</v>
      </c>
      <c r="D36" s="42">
        <f>IF(99014.85445="","-",99014.85445/824887.0263*100)</f>
        <v>12.003444264862235</v>
      </c>
      <c r="E36" s="42">
        <f>IF(158162.57235="","-",158162.57235/902994.40784*100)</f>
        <v>17.515343503436682</v>
      </c>
    </row>
    <row r="37" spans="1:5" x14ac:dyDescent="0.25">
      <c r="A37" s="106" t="s">
        <v>115</v>
      </c>
      <c r="B37" s="42">
        <v>4846.1432500000001</v>
      </c>
      <c r="C37" s="99">
        <v>83.104687730496266</v>
      </c>
      <c r="D37" s="42">
        <f>IF(5831.37171="","-",5831.37171/824887.0263*100)</f>
        <v>0.70692973996165276</v>
      </c>
      <c r="E37" s="42">
        <f>IF(4846.14325="","-",4846.14325/902994.40784*100)</f>
        <v>0.53667477981310818</v>
      </c>
    </row>
    <row r="38" spans="1:5" x14ac:dyDescent="0.25">
      <c r="A38" s="107" t="s">
        <v>116</v>
      </c>
      <c r="B38" s="43">
        <v>35.138480000000001</v>
      </c>
      <c r="C38" s="100">
        <v>33.757322769031035</v>
      </c>
      <c r="D38" s="43">
        <f>IF(104.09143="","-",104.09143/824887.0263*100)</f>
        <v>1.261887103096993E-2</v>
      </c>
      <c r="E38" s="43">
        <f>IF(35.13848="","-",35.13848/902994.40784*100)</f>
        <v>3.8913286389062698E-3</v>
      </c>
    </row>
    <row r="39" spans="1:5" x14ac:dyDescent="0.25">
      <c r="A39" s="23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0"/>
  <sheetViews>
    <sheetView workbookViewId="0">
      <selection activeCell="G9" sqref="G9"/>
    </sheetView>
  </sheetViews>
  <sheetFormatPr defaultRowHeight="15.75" x14ac:dyDescent="0.25"/>
  <cols>
    <col min="1" max="1" width="31" customWidth="1"/>
    <col min="2" max="2" width="14.5" customWidth="1"/>
    <col min="3" max="3" width="13.75" customWidth="1"/>
    <col min="4" max="5" width="11.625" customWidth="1"/>
  </cols>
  <sheetData>
    <row r="1" spans="1:6" x14ac:dyDescent="0.25">
      <c r="A1" s="109" t="s">
        <v>382</v>
      </c>
      <c r="B1" s="109"/>
      <c r="C1" s="109"/>
      <c r="D1" s="109"/>
      <c r="E1" s="109"/>
    </row>
    <row r="2" spans="1:6" x14ac:dyDescent="0.25">
      <c r="A2" s="7"/>
      <c r="B2" s="7"/>
      <c r="C2" s="7"/>
      <c r="D2" s="7"/>
      <c r="E2" s="7"/>
    </row>
    <row r="3" spans="1:6" ht="17.25" customHeight="1" x14ac:dyDescent="0.25">
      <c r="A3" s="110"/>
      <c r="B3" s="113" t="s">
        <v>329</v>
      </c>
      <c r="C3" s="114"/>
      <c r="D3" s="113" t="s">
        <v>108</v>
      </c>
      <c r="E3" s="129"/>
      <c r="F3" s="1"/>
    </row>
    <row r="4" spans="1:6" ht="20.25" customHeight="1" x14ac:dyDescent="0.25">
      <c r="A4" s="111"/>
      <c r="B4" s="117" t="s">
        <v>121</v>
      </c>
      <c r="C4" s="119" t="s">
        <v>334</v>
      </c>
      <c r="D4" s="121" t="s">
        <v>330</v>
      </c>
      <c r="E4" s="113"/>
      <c r="F4" s="1"/>
    </row>
    <row r="5" spans="1:6" ht="20.25" customHeight="1" x14ac:dyDescent="0.25">
      <c r="A5" s="112"/>
      <c r="B5" s="118"/>
      <c r="C5" s="120"/>
      <c r="D5" s="27">
        <v>2020</v>
      </c>
      <c r="E5" s="26">
        <v>2021</v>
      </c>
      <c r="F5" s="1"/>
    </row>
    <row r="6" spans="1:6" ht="15.75" customHeight="1" x14ac:dyDescent="0.25">
      <c r="A6" s="103" t="s">
        <v>134</v>
      </c>
      <c r="B6" s="94">
        <v>2112289.07699</v>
      </c>
      <c r="C6" s="71">
        <v>127.9618681588059</v>
      </c>
      <c r="D6" s="95">
        <v>100</v>
      </c>
      <c r="E6" s="95">
        <v>100</v>
      </c>
    </row>
    <row r="7" spans="1:6" ht="15.75" customHeight="1" x14ac:dyDescent="0.25">
      <c r="A7" s="104" t="s">
        <v>133</v>
      </c>
      <c r="B7" s="32"/>
      <c r="C7" s="96"/>
      <c r="D7" s="32"/>
      <c r="E7" s="32"/>
    </row>
    <row r="8" spans="1:6" x14ac:dyDescent="0.25">
      <c r="A8" s="106" t="s">
        <v>112</v>
      </c>
      <c r="B8" s="42">
        <v>35518.583229999997</v>
      </c>
      <c r="C8" s="97">
        <v>127.87009763868271</v>
      </c>
      <c r="D8" s="42">
        <f>IF(27777.08306="","-",27777.08306/1650717.59844*100)</f>
        <v>1.6827277473900171</v>
      </c>
      <c r="E8" s="42">
        <f>IF(35518.58323="","-",35518.58323/2112289.07699*100)</f>
        <v>1.681520944122562</v>
      </c>
    </row>
    <row r="9" spans="1:6" x14ac:dyDescent="0.25">
      <c r="A9" s="106" t="s">
        <v>113</v>
      </c>
      <c r="B9" s="42">
        <v>93518.347580000001</v>
      </c>
      <c r="C9" s="97">
        <v>132.75630654845</v>
      </c>
      <c r="D9" s="42">
        <f>IF(70443.6196="","-",70443.6196/1650717.59844*100)</f>
        <v>4.2674543281402153</v>
      </c>
      <c r="E9" s="42">
        <f>IF(93518.34758="","-",93518.34758/2112289.07699*100)</f>
        <v>4.427346076762519</v>
      </c>
    </row>
    <row r="10" spans="1:6" x14ac:dyDescent="0.25">
      <c r="A10" s="106" t="s">
        <v>114</v>
      </c>
      <c r="B10" s="42">
        <v>1827393.35017</v>
      </c>
      <c r="C10" s="97">
        <v>130.20627885765202</v>
      </c>
      <c r="D10" s="42">
        <f>IF(1403460.23725="","-",1403460.23725/1650717.59844*100)</f>
        <v>85.021219775952645</v>
      </c>
      <c r="E10" s="42">
        <f>IF(1827393.35017="","-",1827393.35017/2112289.07699*100)</f>
        <v>86.512465082384708</v>
      </c>
    </row>
    <row r="11" spans="1:6" x14ac:dyDescent="0.25">
      <c r="A11" s="106" t="s">
        <v>115</v>
      </c>
      <c r="B11" s="42">
        <v>52555.724190000001</v>
      </c>
      <c r="C11" s="97">
        <v>128.63340599770331</v>
      </c>
      <c r="D11" s="42">
        <f>IF(40856.9794="","-",40856.9794/1650717.59844*100)</f>
        <v>2.4751041267513969</v>
      </c>
      <c r="E11" s="42">
        <f>IF(52555.72419="","-",52555.72419/2112289.07699*100)</f>
        <v>2.4880933562792271</v>
      </c>
    </row>
    <row r="12" spans="1:6" x14ac:dyDescent="0.25">
      <c r="A12" s="106" t="s">
        <v>116</v>
      </c>
      <c r="B12" s="42">
        <v>3904.7412199999999</v>
      </c>
      <c r="C12" s="97">
        <v>124.7442858586582</v>
      </c>
      <c r="D12" s="42">
        <f>IF(3130.19646="","-",3130.19646/1650717.59844*100)</f>
        <v>0.18962640629494543</v>
      </c>
      <c r="E12" s="42">
        <f>IF(3904.74122="","-",3904.74122/2112289.07699*100)</f>
        <v>0.18485827827904286</v>
      </c>
    </row>
    <row r="13" spans="1:6" x14ac:dyDescent="0.25">
      <c r="A13" s="106" t="s">
        <v>117</v>
      </c>
      <c r="B13" s="42">
        <v>87703.257800000007</v>
      </c>
      <c r="C13" s="97">
        <v>89.570422750978125</v>
      </c>
      <c r="D13" s="42">
        <f>IF(97915.42242="","-",97915.42242/1650717.59844*100)</f>
        <v>5.9316882859027089</v>
      </c>
      <c r="E13" s="42">
        <f>IF(87703.2578="","-",87703.2578/2112289.07699*100)</f>
        <v>4.1520480674442846</v>
      </c>
    </row>
    <row r="14" spans="1:6" x14ac:dyDescent="0.25">
      <c r="A14" s="106" t="s">
        <v>118</v>
      </c>
      <c r="B14" s="42">
        <v>11695.0728</v>
      </c>
      <c r="C14" s="97" t="s">
        <v>104</v>
      </c>
      <c r="D14" s="42">
        <f>IF(7134.06025="","-",7134.06025/1650717.59844*100)</f>
        <v>0.4321793295680616</v>
      </c>
      <c r="E14" s="42">
        <f>IF(11695.0728="","-",11695.0728/2112289.07699*100)</f>
        <v>0.55366819472765605</v>
      </c>
    </row>
    <row r="15" spans="1:6" x14ac:dyDescent="0.25">
      <c r="A15" s="38" t="s">
        <v>225</v>
      </c>
      <c r="B15" s="41">
        <v>1004999.71908</v>
      </c>
      <c r="C15" s="98">
        <v>129.25928766498055</v>
      </c>
      <c r="D15" s="41">
        <f>IF(777506.77513="","-",777506.77513/1650717.59844*100)</f>
        <v>47.101138066546191</v>
      </c>
      <c r="E15" s="41">
        <f>IF(1004999.71908="","-",1004999.71908/2112289.07699*100)</f>
        <v>47.578701704603752</v>
      </c>
    </row>
    <row r="16" spans="1:6" x14ac:dyDescent="0.25">
      <c r="A16" s="104" t="s">
        <v>133</v>
      </c>
      <c r="B16" s="32"/>
      <c r="C16" s="98"/>
      <c r="D16" s="32"/>
      <c r="E16" s="32"/>
    </row>
    <row r="17" spans="1:7" x14ac:dyDescent="0.25">
      <c r="A17" s="106" t="s">
        <v>112</v>
      </c>
      <c r="B17" s="42">
        <v>16200.031859999999</v>
      </c>
      <c r="C17" s="99">
        <v>152.28081898696834</v>
      </c>
      <c r="D17" s="42">
        <f>IF(10638.26158="","-",10638.26158/1650717.59844*100)</f>
        <v>0.64446284392034225</v>
      </c>
      <c r="E17" s="42">
        <f>IF(16200.03186="","-",16200.03186/2112289.07699*100)</f>
        <v>0.76694198897647825</v>
      </c>
    </row>
    <row r="18" spans="1:7" x14ac:dyDescent="0.25">
      <c r="A18" s="106" t="s">
        <v>113</v>
      </c>
      <c r="B18" s="42">
        <v>27443.419959999999</v>
      </c>
      <c r="C18" s="99" t="s">
        <v>238</v>
      </c>
      <c r="D18" s="42">
        <f>IF(7461.85467="","-",7461.85467/1650717.59844*100)</f>
        <v>0.45203702178081684</v>
      </c>
      <c r="E18" s="42">
        <f>IF(27443.41996="","-",27443.41996/2112289.07699*100)</f>
        <v>1.299226524387785</v>
      </c>
    </row>
    <row r="19" spans="1:7" x14ac:dyDescent="0.25">
      <c r="A19" s="106" t="s">
        <v>114</v>
      </c>
      <c r="B19" s="42">
        <v>939337.77154999995</v>
      </c>
      <c r="C19" s="99">
        <v>126.89209071548666</v>
      </c>
      <c r="D19" s="42">
        <f>IF(740265.02854="","-",740265.02854/1650717.59844*100)</f>
        <v>44.845043709449918</v>
      </c>
      <c r="E19" s="42">
        <f>IF(939337.77155="","-",939337.77155/2112289.07699*100)</f>
        <v>44.470133457706034</v>
      </c>
    </row>
    <row r="20" spans="1:7" x14ac:dyDescent="0.25">
      <c r="A20" s="106" t="s">
        <v>115</v>
      </c>
      <c r="B20" s="42">
        <v>10324.39366</v>
      </c>
      <c r="C20" s="99">
        <v>90.208325431632019</v>
      </c>
      <c r="D20" s="42">
        <f>IF(11445.05633="","-",11445.05633/1650717.59844*100)</f>
        <v>0.69333823912800563</v>
      </c>
      <c r="E20" s="42">
        <f>IF(10324.39366="","-",10324.39366/2112289.07699*100)</f>
        <v>0.48877749605713072</v>
      </c>
    </row>
    <row r="21" spans="1:7" x14ac:dyDescent="0.25">
      <c r="A21" s="106" t="s">
        <v>116</v>
      </c>
      <c r="B21" s="42">
        <v>1865.53792</v>
      </c>
      <c r="C21" s="99">
        <v>141.83623640471617</v>
      </c>
      <c r="D21" s="42">
        <f>IF(1315.27596="","-",1315.27596/1650717.59844*100)</f>
        <v>7.9679041481292318E-2</v>
      </c>
      <c r="E21" s="42">
        <f>IF(1865.53792="","-",1865.53792/2112289.07699*100)</f>
        <v>8.8318305497199323E-2</v>
      </c>
    </row>
    <row r="22" spans="1:7" x14ac:dyDescent="0.25">
      <c r="A22" s="106" t="s">
        <v>118</v>
      </c>
      <c r="B22" s="42">
        <v>9828.5641300000007</v>
      </c>
      <c r="C22" s="99" t="s">
        <v>239</v>
      </c>
      <c r="D22" s="42">
        <f>IF(6381.29805="","-",6381.29805/1650717.59844*100)</f>
        <v>0.38657721078581853</v>
      </c>
      <c r="E22" s="42">
        <f>IF(9828.56413="","-",9828.56413/2112289.07699*100)</f>
        <v>0.46530393197912329</v>
      </c>
    </row>
    <row r="23" spans="1:7" x14ac:dyDescent="0.25">
      <c r="A23" s="38" t="s">
        <v>226</v>
      </c>
      <c r="B23" s="41">
        <v>489586.39373000001</v>
      </c>
      <c r="C23" s="77">
        <v>118.85074387892523</v>
      </c>
      <c r="D23" s="41">
        <f>IF(411933.80685="","-",411933.80685/1650717.59844*100)</f>
        <v>24.954832203842457</v>
      </c>
      <c r="E23" s="41">
        <f>IF(489586.39373="","-",489586.39373/2112289.07699*100)</f>
        <v>23.178001489628393</v>
      </c>
    </row>
    <row r="24" spans="1:7" x14ac:dyDescent="0.25">
      <c r="A24" s="106" t="s">
        <v>133</v>
      </c>
      <c r="B24" s="32"/>
      <c r="C24" s="101"/>
      <c r="D24" s="32"/>
      <c r="E24" s="32"/>
    </row>
    <row r="25" spans="1:7" x14ac:dyDescent="0.25">
      <c r="A25" s="106" t="s">
        <v>112</v>
      </c>
      <c r="B25" s="42">
        <v>18760.39615</v>
      </c>
      <c r="C25" s="97" t="s">
        <v>103</v>
      </c>
      <c r="D25" s="42">
        <f>IF(10978.94025="","-",10978.94025/1650717.59844*100)</f>
        <v>0.66510106031313743</v>
      </c>
      <c r="E25" s="42">
        <f>IF(18760.39615="","-",18760.39615/2112289.07699*100)</f>
        <v>0.88815476794177528</v>
      </c>
    </row>
    <row r="26" spans="1:7" x14ac:dyDescent="0.25">
      <c r="A26" s="106" t="s">
        <v>113</v>
      </c>
      <c r="B26" s="42">
        <v>66074.927620000002</v>
      </c>
      <c r="C26" s="97">
        <v>105.09287203661415</v>
      </c>
      <c r="D26" s="42">
        <f>IF(62872.8917="","-",62872.8917/1650717.59844*100)</f>
        <v>3.808821797224287</v>
      </c>
      <c r="E26" s="42">
        <f>IF(66074.92762="","-",66074.92762/2112289.07699*100)</f>
        <v>3.1281195523747347</v>
      </c>
      <c r="F26" s="1"/>
      <c r="G26" s="1"/>
    </row>
    <row r="27" spans="1:7" x14ac:dyDescent="0.25">
      <c r="A27" s="106" t="s">
        <v>114</v>
      </c>
      <c r="B27" s="42">
        <v>306867.60817999998</v>
      </c>
      <c r="C27" s="97">
        <v>129.79227787794861</v>
      </c>
      <c r="D27" s="42">
        <f>IF(236429.78858="","-",236429.78858/1650717.59844*100)</f>
        <v>14.322848972073505</v>
      </c>
      <c r="E27" s="42">
        <f>IF(306867.60818="","-",306867.60818/2112289.07699*100)</f>
        <v>14.52772783435895</v>
      </c>
      <c r="F27" s="1"/>
      <c r="G27" s="1"/>
    </row>
    <row r="28" spans="1:7" x14ac:dyDescent="0.25">
      <c r="A28" s="106" t="s">
        <v>115</v>
      </c>
      <c r="B28" s="42">
        <v>9530.8693399999993</v>
      </c>
      <c r="C28" s="97" t="s">
        <v>352</v>
      </c>
      <c r="D28" s="42">
        <f>IF(3503.74426="","-",3503.74426/1650717.59844*100)</f>
        <v>0.21225582518240496</v>
      </c>
      <c r="E28" s="42">
        <f>IF(9530.86934="","-",9530.86934/2112289.07699*100)</f>
        <v>0.45121046374871354</v>
      </c>
      <c r="F28" s="10"/>
      <c r="G28" s="10"/>
    </row>
    <row r="29" spans="1:7" x14ac:dyDescent="0.25">
      <c r="A29" s="106" t="s">
        <v>116</v>
      </c>
      <c r="B29" s="42">
        <v>131.97395</v>
      </c>
      <c r="C29" s="97">
        <v>63.041978433763504</v>
      </c>
      <c r="D29" s="42">
        <f>IF(209.34297="","-",209.34297/1650717.59844*100)</f>
        <v>1.2681937249462793E-2</v>
      </c>
      <c r="E29" s="42">
        <f>IF(131.97395="","-",131.97395/2112289.07699*100)</f>
        <v>6.2479113980015528E-3</v>
      </c>
    </row>
    <row r="30" spans="1:7" x14ac:dyDescent="0.25">
      <c r="A30" s="106" t="s">
        <v>117</v>
      </c>
      <c r="B30" s="42">
        <v>87703.257800000007</v>
      </c>
      <c r="C30" s="97">
        <v>89.570422750978125</v>
      </c>
      <c r="D30" s="42">
        <f>IF(97915.42242="","-",97915.42242/1650717.59844*100)</f>
        <v>5.9316882859027089</v>
      </c>
      <c r="E30" s="42">
        <f>IF(87703.2578="","-",87703.2578/2112289.07699*100)</f>
        <v>4.1520480674442846</v>
      </c>
    </row>
    <row r="31" spans="1:7" x14ac:dyDescent="0.25">
      <c r="A31" s="106" t="s">
        <v>118</v>
      </c>
      <c r="B31" s="42">
        <v>517.36068999999998</v>
      </c>
      <c r="C31" s="97" t="s">
        <v>224</v>
      </c>
      <c r="D31" s="42">
        <f>IF(23.67667="","-",23.67667/1650717.59844*100)</f>
        <v>1.4343258969538753E-3</v>
      </c>
      <c r="E31" s="42">
        <f>IF(517.36069="","-",517.36069/2112289.07699*100)</f>
        <v>2.449289236193164E-2</v>
      </c>
    </row>
    <row r="32" spans="1:7" x14ac:dyDescent="0.25">
      <c r="A32" s="38" t="s">
        <v>227</v>
      </c>
      <c r="B32" s="41">
        <v>617702.96418000001</v>
      </c>
      <c r="C32" s="98">
        <v>133.91149832707188</v>
      </c>
      <c r="D32" s="41">
        <f>IF(461277.01646="","-",461277.01646/1650717.59844*100)</f>
        <v>27.944029729611341</v>
      </c>
      <c r="E32" s="41">
        <f>IF(617702.96418="","-",617702.96418/2112289.07699*100)</f>
        <v>29.243296805767855</v>
      </c>
    </row>
    <row r="33" spans="1:5" x14ac:dyDescent="0.25">
      <c r="A33" s="106" t="s">
        <v>133</v>
      </c>
      <c r="B33" s="32"/>
      <c r="C33" s="98"/>
      <c r="D33" s="33"/>
      <c r="E33" s="33"/>
    </row>
    <row r="34" spans="1:5" x14ac:dyDescent="0.25">
      <c r="A34" s="106" t="s">
        <v>112</v>
      </c>
      <c r="B34" s="44">
        <v>558.15521999999999</v>
      </c>
      <c r="C34" s="99">
        <v>9.0611360699888035</v>
      </c>
      <c r="D34" s="42">
        <f>IF(6159.88123="","-",6159.88123/1650717.59844*100)</f>
        <v>0.37316384315653722</v>
      </c>
      <c r="E34" s="42">
        <f>IF(558.15522="","-",558.15522/2112289.07699*100)</f>
        <v>2.642418720430861E-2</v>
      </c>
    </row>
    <row r="35" spans="1:5" x14ac:dyDescent="0.25">
      <c r="A35" s="106" t="s">
        <v>113</v>
      </c>
      <c r="B35" s="44" t="s">
        <v>224</v>
      </c>
      <c r="C35" s="99" t="s">
        <v>224</v>
      </c>
      <c r="D35" s="42">
        <f>IF(108.87323="","-",108.87323/1650717.59844*100)</f>
        <v>6.5955091351112957E-3</v>
      </c>
      <c r="E35" s="42" t="s">
        <v>224</v>
      </c>
    </row>
    <row r="36" spans="1:5" x14ac:dyDescent="0.25">
      <c r="A36" s="106" t="s">
        <v>114</v>
      </c>
      <c r="B36" s="44">
        <v>581187.97043999995</v>
      </c>
      <c r="C36" s="99">
        <v>136.1844102230589</v>
      </c>
      <c r="D36" s="42">
        <f>IF(426765.42013="","-",426765.42013/1650717.59844*100)</f>
        <v>25.853327094429229</v>
      </c>
      <c r="E36" s="42">
        <f>IF(581187.97044="","-",581187.97044/2112289.07699*100)</f>
        <v>27.514603790319718</v>
      </c>
    </row>
    <row r="37" spans="1:5" x14ac:dyDescent="0.25">
      <c r="A37" s="106" t="s">
        <v>115</v>
      </c>
      <c r="B37" s="44">
        <v>32700.461190000002</v>
      </c>
      <c r="C37" s="99">
        <v>126.21674965968015</v>
      </c>
      <c r="D37" s="42">
        <f>IF(25908.17881="","-",25908.17881/1650717.59844*100)</f>
        <v>1.5695100624409868</v>
      </c>
      <c r="E37" s="42">
        <f>IF(32700.46119="","-",32700.46119/2112289.07699*100)</f>
        <v>1.5481053964733831</v>
      </c>
    </row>
    <row r="38" spans="1:5" x14ac:dyDescent="0.25">
      <c r="A38" s="106" t="s">
        <v>116</v>
      </c>
      <c r="B38" s="44">
        <v>1907.2293500000001</v>
      </c>
      <c r="C38" s="102">
        <v>118.78774549118161</v>
      </c>
      <c r="D38" s="42">
        <f>IF(1605.57753="","-",1605.57753/1650717.59844*100)</f>
        <v>9.7265427564190307E-2</v>
      </c>
      <c r="E38" s="42">
        <f>IF(1907.22935="","-",1907.22935/2112289.07699*100)</f>
        <v>9.0292061383841979E-2</v>
      </c>
    </row>
    <row r="39" spans="1:5" x14ac:dyDescent="0.25">
      <c r="A39" s="107" t="s">
        <v>118</v>
      </c>
      <c r="B39" s="43">
        <v>1349.14798</v>
      </c>
      <c r="C39" s="100" t="s">
        <v>105</v>
      </c>
      <c r="D39" s="43">
        <f>IF(729.08553="","-",729.08553/1650717.59844*100)</f>
        <v>4.4167792885289249E-2</v>
      </c>
      <c r="E39" s="43">
        <f>IF(1349.14798="","-",1349.14798/2112289.07699*100)</f>
        <v>6.3871370386601067E-2</v>
      </c>
    </row>
    <row r="40" spans="1:5" x14ac:dyDescent="0.25">
      <c r="A40" s="23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2"/>
  <sheetViews>
    <sheetView zoomScaleNormal="100" workbookViewId="0">
      <selection activeCell="L18" sqref="L18"/>
    </sheetView>
  </sheetViews>
  <sheetFormatPr defaultRowHeight="15.75" x14ac:dyDescent="0.25"/>
  <cols>
    <col min="1" max="1" width="5.625" customWidth="1"/>
    <col min="2" max="2" width="26.75" customWidth="1"/>
    <col min="3" max="3" width="11.5" customWidth="1"/>
    <col min="4" max="4" width="10.375" customWidth="1"/>
    <col min="5" max="5" width="7.75" customWidth="1"/>
    <col min="6" max="6" width="7.875" customWidth="1"/>
    <col min="7" max="8" width="8.625" customWidth="1"/>
    <col min="10" max="10" width="9.125" customWidth="1"/>
  </cols>
  <sheetData>
    <row r="1" spans="1:11" x14ac:dyDescent="0.25">
      <c r="B1" s="122" t="s">
        <v>148</v>
      </c>
      <c r="C1" s="122"/>
      <c r="D1" s="122"/>
      <c r="E1" s="122"/>
      <c r="F1" s="122"/>
      <c r="G1" s="122"/>
      <c r="H1" s="122"/>
    </row>
    <row r="2" spans="1:11" x14ac:dyDescent="0.25">
      <c r="B2" s="122" t="s">
        <v>327</v>
      </c>
      <c r="C2" s="122"/>
      <c r="D2" s="122"/>
      <c r="E2" s="122"/>
      <c r="F2" s="122"/>
      <c r="G2" s="122"/>
      <c r="H2" s="122"/>
    </row>
    <row r="3" spans="1:11" x14ac:dyDescent="0.25">
      <c r="B3" s="6"/>
    </row>
    <row r="4" spans="1:11" ht="57" customHeight="1" x14ac:dyDescent="0.25">
      <c r="A4" s="130" t="s">
        <v>247</v>
      </c>
      <c r="B4" s="133"/>
      <c r="C4" s="136" t="s">
        <v>329</v>
      </c>
      <c r="D4" s="128"/>
      <c r="E4" s="136" t="s">
        <v>0</v>
      </c>
      <c r="F4" s="128"/>
      <c r="G4" s="125" t="s">
        <v>106</v>
      </c>
      <c r="H4" s="137"/>
    </row>
    <row r="5" spans="1:11" ht="19.5" customHeight="1" x14ac:dyDescent="0.25">
      <c r="A5" s="131"/>
      <c r="B5" s="134"/>
      <c r="C5" s="138" t="s">
        <v>110</v>
      </c>
      <c r="D5" s="123" t="s">
        <v>332</v>
      </c>
      <c r="E5" s="140" t="s">
        <v>330</v>
      </c>
      <c r="F5" s="140"/>
      <c r="G5" s="140" t="s">
        <v>336</v>
      </c>
      <c r="H5" s="136"/>
    </row>
    <row r="6" spans="1:11" ht="22.5" customHeight="1" x14ac:dyDescent="0.25">
      <c r="A6" s="132"/>
      <c r="B6" s="135"/>
      <c r="C6" s="139"/>
      <c r="D6" s="124"/>
      <c r="E6" s="21">
        <v>2020</v>
      </c>
      <c r="F6" s="21">
        <v>2021</v>
      </c>
      <c r="G6" s="21">
        <v>2020</v>
      </c>
      <c r="H6" s="17">
        <v>2021</v>
      </c>
    </row>
    <row r="7" spans="1:11" ht="16.5" customHeight="1" x14ac:dyDescent="0.25">
      <c r="A7" s="54"/>
      <c r="B7" s="61" t="s">
        <v>100</v>
      </c>
      <c r="C7" s="47">
        <v>902994.40784</v>
      </c>
      <c r="D7" s="40">
        <f>IF(824887.0263="","-",902994.40784/824887.0263*100)</f>
        <v>109.46885804354902</v>
      </c>
      <c r="E7" s="40">
        <v>100</v>
      </c>
      <c r="F7" s="40">
        <v>100</v>
      </c>
      <c r="G7" s="40">
        <f>IF(948466.87002="","-",(824887.0263-948466.87002)/948466.87002*100)</f>
        <v>-13.029431773130264</v>
      </c>
      <c r="H7" s="40">
        <f>IF(824887.0263="","-",(902994.40784-824887.0263)/824887.0263*100)</f>
        <v>9.4688580435490319</v>
      </c>
    </row>
    <row r="8" spans="1:11" ht="16.5" customHeight="1" x14ac:dyDescent="0.25">
      <c r="A8" s="69"/>
      <c r="B8" s="72" t="s">
        <v>133</v>
      </c>
      <c r="C8" s="70"/>
      <c r="D8" s="71"/>
      <c r="E8" s="71"/>
      <c r="F8" s="71"/>
      <c r="G8" s="71"/>
      <c r="H8" s="71"/>
    </row>
    <row r="9" spans="1:11" ht="13.5" customHeight="1" x14ac:dyDescent="0.25">
      <c r="A9" s="55" t="s">
        <v>248</v>
      </c>
      <c r="B9" s="63" t="s">
        <v>198</v>
      </c>
      <c r="C9" s="48">
        <v>155388.64021000001</v>
      </c>
      <c r="D9" s="41">
        <f>IF(249349.22945="","-",155388.64021/249349.22945*100)</f>
        <v>62.317674112226939</v>
      </c>
      <c r="E9" s="41">
        <f>IF(249349.22945="","-",249349.22945/824887.0263*100)</f>
        <v>30.228288420106047</v>
      </c>
      <c r="F9" s="41">
        <f>IF(155388.64021="","-",155388.64021/902994.40784*100)</f>
        <v>17.208150887855005</v>
      </c>
      <c r="G9" s="41">
        <f>IF(948466.87002="","-",(249349.22945-216559.11765)/948466.87002*100)</f>
        <v>3.4571699693958289</v>
      </c>
      <c r="H9" s="41">
        <f>IF(824887.0263="","-",(155388.64021-249349.22945)/824887.0263*100)</f>
        <v>-11.390722152760326</v>
      </c>
      <c r="I9" s="55"/>
      <c r="J9" s="56"/>
      <c r="K9" s="48"/>
    </row>
    <row r="10" spans="1:11" x14ac:dyDescent="0.25">
      <c r="A10" s="57" t="s">
        <v>249</v>
      </c>
      <c r="B10" s="64" t="s">
        <v>23</v>
      </c>
      <c r="C10" s="49">
        <v>3899.1474899999998</v>
      </c>
      <c r="D10" s="42">
        <f>IF(OR(5330.79888="",3899.14749=""),"-",3899.14749/5330.79888*100)</f>
        <v>73.143774090385477</v>
      </c>
      <c r="E10" s="42">
        <f>IF(5330.79888="","-",5330.79888/824887.0263*100)</f>
        <v>0.64624593550841736</v>
      </c>
      <c r="F10" s="42">
        <f>IF(3899.14749="","-",3899.14749/902994.40784*100)</f>
        <v>0.43180195316235925</v>
      </c>
      <c r="G10" s="42">
        <f>IF(OR(948466.87002="",1683.24035="",5330.79888=""),"-",(5330.79888-1683.24035)/948466.87002*100)</f>
        <v>0.38457416334669503</v>
      </c>
      <c r="H10" s="42">
        <f>IF(OR(824887.0263="",3899.14749="",5330.79888=""),"-",(3899.14749-5330.79888)/824887.0263*100)</f>
        <v>-0.17355726837184232</v>
      </c>
      <c r="I10" s="57"/>
      <c r="J10" s="58"/>
      <c r="K10" s="49"/>
    </row>
    <row r="11" spans="1:11" s="7" customFormat="1" x14ac:dyDescent="0.25">
      <c r="A11" s="57" t="s">
        <v>250</v>
      </c>
      <c r="B11" s="64" t="s">
        <v>199</v>
      </c>
      <c r="C11" s="49">
        <v>1834.0145399999999</v>
      </c>
      <c r="D11" s="42" t="s">
        <v>20</v>
      </c>
      <c r="E11" s="42">
        <f>IF(906.51573="","-",906.51573/824887.0263*100)</f>
        <v>0.10989574342878715</v>
      </c>
      <c r="F11" s="42">
        <f>IF(1834.01454="","-",1834.01454/902994.40784*100)</f>
        <v>0.2031036431761564</v>
      </c>
      <c r="G11" s="42">
        <f>IF(OR(948466.87002="",1941.57206="",906.51573=""),"-",(906.51573-1941.57206)/948466.87002*100)</f>
        <v>-0.10912941323698254</v>
      </c>
      <c r="H11" s="42">
        <f>IF(OR(824887.0263="",1834.01454="",906.51573=""),"-",(1834.01454-906.51573)/824887.0263*100)</f>
        <v>0.11243949540099583</v>
      </c>
      <c r="I11" s="57"/>
      <c r="J11" s="58"/>
      <c r="K11" s="49"/>
    </row>
    <row r="12" spans="1:11" s="7" customFormat="1" x14ac:dyDescent="0.25">
      <c r="A12" s="57" t="s">
        <v>251</v>
      </c>
      <c r="B12" s="64" t="s">
        <v>200</v>
      </c>
      <c r="C12" s="49">
        <v>2873.1324399999999</v>
      </c>
      <c r="D12" s="42">
        <f>IF(OR(2779.46533="",2873.13244=""),"-",2873.13244/2779.46533*100)</f>
        <v>103.36996864069536</v>
      </c>
      <c r="E12" s="42">
        <f>IF(2779.46533="","-",2779.46533/824887.0263*100)</f>
        <v>0.33695102982370667</v>
      </c>
      <c r="F12" s="42">
        <f>IF(2873.13244="","-",2873.13244/902994.40784*100)</f>
        <v>0.31817832038103661</v>
      </c>
      <c r="G12" s="42">
        <f>IF(OR(948466.87002="",5021.95958="",2779.46533=""),"-",(2779.46533-5021.95958)/948466.87002*100)</f>
        <v>-0.23643358781237273</v>
      </c>
      <c r="H12" s="42">
        <f>IF(OR(824887.0263="",2873.13244="",2779.46533=""),"-",(2873.13244-2779.46533)/824887.0263*100)</f>
        <v>1.1355144039558993E-2</v>
      </c>
      <c r="I12" s="57"/>
      <c r="J12" s="58"/>
      <c r="K12" s="49"/>
    </row>
    <row r="13" spans="1:11" s="7" customFormat="1" x14ac:dyDescent="0.25">
      <c r="A13" s="57" t="s">
        <v>252</v>
      </c>
      <c r="B13" s="64" t="s">
        <v>201</v>
      </c>
      <c r="C13" s="49">
        <v>1.8564499999999999</v>
      </c>
      <c r="D13" s="42">
        <f>IF(OR(2.95359="",1.85645=""),"-",1.85645/2.95359*100)</f>
        <v>62.854018330235405</v>
      </c>
      <c r="E13" s="42">
        <f>IF(2.95359="","-",2.95359/824887.0263*100)</f>
        <v>3.5805994103801317E-4</v>
      </c>
      <c r="F13" s="42">
        <f>IF(1.85645="","-",1.85645/902994.40784*100)</f>
        <v>2.0558820562806201E-4</v>
      </c>
      <c r="G13" s="42">
        <f>IF(OR(948466.87002="",12.69111="",2.95359=""),"-",(2.95359-12.69111)/948466.87002*100)</f>
        <v>-1.0266589490674216E-3</v>
      </c>
      <c r="H13" s="42">
        <f>IF(OR(824887.0263="",1.85645="",2.95359=""),"-",(1.85645-2.95359)/824887.0263*100)</f>
        <v>-1.3300488006475028E-4</v>
      </c>
      <c r="I13" s="57"/>
      <c r="J13" s="58"/>
      <c r="K13" s="49"/>
    </row>
    <row r="14" spans="1:11" s="7" customFormat="1" ht="15.75" customHeight="1" x14ac:dyDescent="0.25">
      <c r="A14" s="57" t="s">
        <v>253</v>
      </c>
      <c r="B14" s="64" t="s">
        <v>202</v>
      </c>
      <c r="C14" s="49">
        <v>37725.559450000001</v>
      </c>
      <c r="D14" s="42">
        <f>IF(OR(93985.56655="",37725.55945=""),"-",37725.55945/93985.56655*100)</f>
        <v>40.139737232876207</v>
      </c>
      <c r="E14" s="42">
        <f>IF(93985.56655="","-",93985.56655/824887.0263*100)</f>
        <v>11.393750120130845</v>
      </c>
      <c r="F14" s="42">
        <f>IF(37725.55945="","-",37725.55945/902994.40784*100)</f>
        <v>4.1778286911256846</v>
      </c>
      <c r="G14" s="42">
        <f>IF(OR(948466.87002="",87826.75545="",93985.56655=""),"-",(93985.56655-87826.75545)/948466.87002*100)</f>
        <v>0.64934382999272688</v>
      </c>
      <c r="H14" s="42">
        <f>IF(OR(824887.0263="",37725.55945="",93985.56655=""),"-",(37725.55945-93985.56655)/824887.0263*100)</f>
        <v>-6.8203287609398062</v>
      </c>
      <c r="I14" s="57"/>
      <c r="J14" s="58"/>
      <c r="K14" s="49"/>
    </row>
    <row r="15" spans="1:11" s="7" customFormat="1" x14ac:dyDescent="0.25">
      <c r="A15" s="57" t="s">
        <v>254</v>
      </c>
      <c r="B15" s="64" t="s">
        <v>203</v>
      </c>
      <c r="C15" s="49">
        <v>93970.637849999999</v>
      </c>
      <c r="D15" s="42">
        <f>IF(OR(122430.05611="",93970.63785=""),"-",93970.63785/122430.05611*100)</f>
        <v>76.75454936128591</v>
      </c>
      <c r="E15" s="42">
        <f>IF(122430.05611="","-",122430.05611/824887.0263*100)</f>
        <v>14.8420392376827</v>
      </c>
      <c r="F15" s="42">
        <f>IF(93970.63785="","-",93970.63785/902994.40784*100)</f>
        <v>10.40655811753936</v>
      </c>
      <c r="G15" s="42">
        <f>IF(OR(948466.87002="",101859.48461="",122430.05611=""),"-",(122430.05611-101859.48461)/948466.87002*100)</f>
        <v>2.1688234086200859</v>
      </c>
      <c r="H15" s="42">
        <f>IF(OR(824887.0263="",93970.63785="",122430.05611=""),"-",(93970.63785-122430.05611)/824887.0263*100)</f>
        <v>-3.4500989047741077</v>
      </c>
      <c r="I15" s="57"/>
      <c r="J15" s="58"/>
      <c r="K15" s="49"/>
    </row>
    <row r="16" spans="1:11" s="7" customFormat="1" ht="25.5" x14ac:dyDescent="0.25">
      <c r="A16" s="57" t="s">
        <v>255</v>
      </c>
      <c r="B16" s="64" t="s">
        <v>161</v>
      </c>
      <c r="C16" s="49">
        <v>3493.2832199999998</v>
      </c>
      <c r="D16" s="42">
        <f>IF(OR(8177.53627="",3493.28322=""),"-",3493.28322/8177.53627*100)</f>
        <v>42.71804006318397</v>
      </c>
      <c r="E16" s="42">
        <f>IF(8177.53627="","-",8177.53627/824887.0263*100)</f>
        <v>0.99135227119282432</v>
      </c>
      <c r="F16" s="42">
        <f>IF(3493.28322="","-",3493.28322/902994.40784*100)</f>
        <v>0.38685546551235878</v>
      </c>
      <c r="G16" s="42">
        <f>IF(OR(948466.87002="",3966.89597="",8177.53627=""),"-",(8177.53627-3966.89597)/948466.87002*100)</f>
        <v>0.44394173724921049</v>
      </c>
      <c r="H16" s="42">
        <f>IF(OR(824887.0263="",3493.28322="",8177.53627=""),"-",(3493.28322-8177.53627)/824887.0263*100)</f>
        <v>-0.56786601081738941</v>
      </c>
      <c r="I16" s="57"/>
      <c r="J16" s="58"/>
      <c r="K16" s="49"/>
    </row>
    <row r="17" spans="1:11" s="7" customFormat="1" ht="25.5" x14ac:dyDescent="0.25">
      <c r="A17" s="57" t="s">
        <v>256</v>
      </c>
      <c r="B17" s="64" t="s">
        <v>204</v>
      </c>
      <c r="C17" s="49">
        <v>3465.0712699999999</v>
      </c>
      <c r="D17" s="42">
        <f>IF(OR(3181.25989="",3465.07127=""),"-",3465.07127/3181.25989*100)</f>
        <v>108.92135159696117</v>
      </c>
      <c r="E17" s="42">
        <f>IF(3181.25989="","-",3181.25989/824887.0263*100)</f>
        <v>0.3856600708426004</v>
      </c>
      <c r="F17" s="42">
        <f>IF(3465.07127="","-",3465.07127/902994.40784*100)</f>
        <v>0.38373119920959353</v>
      </c>
      <c r="G17" s="42">
        <f>IF(OR(948466.87002="",3386.05415="",3181.25989=""),"-",(3181.25989-3386.05415)/948466.87002*100)</f>
        <v>-2.15921363701066E-2</v>
      </c>
      <c r="H17" s="42">
        <f>IF(OR(824887.0263="",3465.07127="",3181.25989=""),"-",(3465.07127-3181.25989)/824887.0263*100)</f>
        <v>3.4406090888957901E-2</v>
      </c>
      <c r="I17" s="57"/>
      <c r="J17" s="58"/>
      <c r="K17" s="49"/>
    </row>
    <row r="18" spans="1:11" s="7" customFormat="1" ht="25.5" x14ac:dyDescent="0.25">
      <c r="A18" s="57" t="s">
        <v>257</v>
      </c>
      <c r="B18" s="64" t="s">
        <v>162</v>
      </c>
      <c r="C18" s="49">
        <v>6519.6093600000004</v>
      </c>
      <c r="D18" s="42">
        <f>IF(OR(11530.11749="",6519.60936=""),"-",6519.60936/11530.11749*100)</f>
        <v>56.544171086326024</v>
      </c>
      <c r="E18" s="42">
        <f>IF(11530.11749="","-",11530.11749/824887.0263*100)</f>
        <v>1.397781407924175</v>
      </c>
      <c r="F18" s="42">
        <f>IF(6519.60936="","-",6519.60936/902994.40784*100)</f>
        <v>0.7219988632703912</v>
      </c>
      <c r="G18" s="42">
        <f>IF(OR(948466.87002="",9911.47634="",11530.11749=""),"-",(11530.11749-9911.47634)/948466.87002*100)</f>
        <v>0.17065869153298621</v>
      </c>
      <c r="H18" s="42">
        <f>IF(OR(824887.0263="",6519.60936="",11530.11749=""),"-",(6519.60936-11530.11749)/824887.0263*100)</f>
        <v>-0.60741749721467286</v>
      </c>
      <c r="I18" s="57"/>
      <c r="J18" s="58"/>
      <c r="K18" s="49"/>
    </row>
    <row r="19" spans="1:11" s="7" customFormat="1" ht="17.25" customHeight="1" x14ac:dyDescent="0.25">
      <c r="A19" s="57" t="s">
        <v>258</v>
      </c>
      <c r="B19" s="64" t="s">
        <v>205</v>
      </c>
      <c r="C19" s="49">
        <v>1606.3281400000001</v>
      </c>
      <c r="D19" s="42" t="s">
        <v>104</v>
      </c>
      <c r="E19" s="42">
        <f>IF(1024.95961="","-",1024.95961/824887.0263*100)</f>
        <v>0.12425454363095251</v>
      </c>
      <c r="F19" s="42">
        <f>IF(1606.32814="","-",1606.32814/902994.40784*100)</f>
        <v>0.17788904627243524</v>
      </c>
      <c r="G19" s="42">
        <f>IF(OR(948466.87002="",948.98803="",1024.95961=""),"-",(1024.95961-948.98803)/948466.87002*100)</f>
        <v>8.0099350226537844E-3</v>
      </c>
      <c r="H19" s="42">
        <f>IF(OR(824887.0263="",1606.32814="",1024.95961=""),"-",(1606.32814-1024.95961)/824887.0263*100)</f>
        <v>7.0478563908042871E-2</v>
      </c>
      <c r="I19" s="57"/>
      <c r="J19" s="58"/>
      <c r="K19" s="49"/>
    </row>
    <row r="20" spans="1:11" s="7" customFormat="1" x14ac:dyDescent="0.25">
      <c r="A20" s="55" t="s">
        <v>259</v>
      </c>
      <c r="B20" s="63" t="s">
        <v>206</v>
      </c>
      <c r="C20" s="48">
        <v>66299.16966</v>
      </c>
      <c r="D20" s="41">
        <f>IF(59300.15056="","-",66299.16966/59300.15056*100)</f>
        <v>111.80270038761265</v>
      </c>
      <c r="E20" s="41">
        <f>IF(59300.15056="","-",59300.15056/824887.0263*100)</f>
        <v>7.1888814673190593</v>
      </c>
      <c r="F20" s="41">
        <f>IF(66299.16966="","-",66299.16966/902994.40784*100)</f>
        <v>7.3421462064854159</v>
      </c>
      <c r="G20" s="41">
        <f>IF(948466.87002="","-",(59300.15056-66422.08288)/948466.87002*100)</f>
        <v>-0.75088888659335273</v>
      </c>
      <c r="H20" s="41">
        <f>IF(824887.0263="","-",(66299.16966-59300.15056)/824887.0263*100)</f>
        <v>0.84848214080827966</v>
      </c>
      <c r="I20" s="55"/>
      <c r="J20" s="56"/>
      <c r="K20" s="48"/>
    </row>
    <row r="21" spans="1:11" s="7" customFormat="1" x14ac:dyDescent="0.25">
      <c r="A21" s="57" t="s">
        <v>260</v>
      </c>
      <c r="B21" s="64" t="s">
        <v>207</v>
      </c>
      <c r="C21" s="49">
        <v>61971.623339999998</v>
      </c>
      <c r="D21" s="42">
        <f>IF(OR(54732.51155="",61971.62334=""),"-",61971.62334/54732.51155*100)</f>
        <v>113.22634680008576</v>
      </c>
      <c r="E21" s="42">
        <f>IF(54732.51155="","-",54732.51155/824887.0263*100)</f>
        <v>6.6351524275391549</v>
      </c>
      <c r="F21" s="42">
        <f>IF(61971.62334="","-",61971.62334/902994.40784*100)</f>
        <v>6.862902228623839</v>
      </c>
      <c r="G21" s="42">
        <f>IF(OR(948466.87002="",58343.92455="",54732.51155=""),"-",(54732.51155-58343.92455)/948466.87002*100)</f>
        <v>-0.38076322053545714</v>
      </c>
      <c r="H21" s="42">
        <f>IF(OR(824887.0263="",61971.62334="",54732.51155=""),"-",(61971.62334-54732.51155)/824887.0263*100)</f>
        <v>0.87758827078063784</v>
      </c>
      <c r="I21" s="57"/>
      <c r="J21" s="58"/>
      <c r="K21" s="49"/>
    </row>
    <row r="22" spans="1:11" s="7" customFormat="1" x14ac:dyDescent="0.25">
      <c r="A22" s="57" t="s">
        <v>261</v>
      </c>
      <c r="B22" s="64" t="s">
        <v>208</v>
      </c>
      <c r="C22" s="49">
        <v>4327.5463200000004</v>
      </c>
      <c r="D22" s="42">
        <f>IF(OR(4567.63901="",4327.54632=""),"-",4327.54632/4567.63901*100)</f>
        <v>94.743615038877621</v>
      </c>
      <c r="E22" s="42">
        <f>IF(4567.63901="","-",4567.63901/824887.0263*100)</f>
        <v>0.55372903977990462</v>
      </c>
      <c r="F22" s="42">
        <f>IF(4327.54632="","-",4327.54632/902994.40784*100)</f>
        <v>0.47924397786157619</v>
      </c>
      <c r="G22" s="42">
        <f>IF(OR(948466.87002="",8078.15833="",4567.63901=""),"-",(4567.63901-8078.15833)/948466.87002*100)</f>
        <v>-0.3701256660578956</v>
      </c>
      <c r="H22" s="42">
        <f>IF(OR(824887.0263="",4327.54632="",4567.63901=""),"-",(4327.54632-4567.63901)/824887.0263*100)</f>
        <v>-2.910612997235831E-2</v>
      </c>
      <c r="I22" s="57"/>
      <c r="J22" s="58"/>
      <c r="K22" s="49"/>
    </row>
    <row r="23" spans="1:11" s="7" customFormat="1" ht="25.5" x14ac:dyDescent="0.25">
      <c r="A23" s="55" t="s">
        <v>262</v>
      </c>
      <c r="B23" s="63" t="s">
        <v>24</v>
      </c>
      <c r="C23" s="48">
        <v>100050.98228</v>
      </c>
      <c r="D23" s="41">
        <f>IF(80350.93954="","-",100050.98228/80350.93954*100)</f>
        <v>124.51750141663621</v>
      </c>
      <c r="E23" s="41">
        <f>IF(80350.93954="","-",80350.93954/824887.0263*100)</f>
        <v>9.7408417126416875</v>
      </c>
      <c r="F23" s="41">
        <f>IF(100050.98228="","-",100050.98228/902994.40784*100)</f>
        <v>11.07991161532507</v>
      </c>
      <c r="G23" s="41">
        <f>IF(948466.87002="","-",(80350.93954-117870.8304)/948466.87002*100)</f>
        <v>-3.9558462236228484</v>
      </c>
      <c r="H23" s="41">
        <f>IF(824887.0263="","-",(100050.98228-80350.93954)/824887.0263*100)</f>
        <v>2.3882110048892145</v>
      </c>
      <c r="I23" s="55"/>
      <c r="J23" s="56"/>
      <c r="K23" s="48"/>
    </row>
    <row r="24" spans="1:11" s="7" customFormat="1" ht="15" customHeight="1" x14ac:dyDescent="0.25">
      <c r="A24" s="57" t="s">
        <v>263</v>
      </c>
      <c r="B24" s="64" t="s">
        <v>215</v>
      </c>
      <c r="C24" s="49">
        <v>511.21309000000002</v>
      </c>
      <c r="D24" s="42">
        <f>IF(OR(575.68205="",511.21309=""),"-",511.21309/575.68205*100)</f>
        <v>88.801290573503209</v>
      </c>
      <c r="E24" s="42">
        <f>IF(575.68205="","-",575.68205/824887.0263*100)</f>
        <v>6.9789199204914207E-2</v>
      </c>
      <c r="F24" s="42">
        <f>IF(511.21309="","-",511.21309/902994.40784*100)</f>
        <v>5.6613095890908439E-2</v>
      </c>
      <c r="G24" s="42">
        <f>IF(OR(948466.87002="",467.64384="",575.68205=""),"-",(575.68205-467.64384)/948466.87002*100)</f>
        <v>1.139082591231909E-2</v>
      </c>
      <c r="H24" s="42">
        <f>IF(OR(824887.0263="",511.21309="",575.68205=""),"-",(511.21309-575.68205)/824887.0263*100)</f>
        <v>-7.8154896300373523E-3</v>
      </c>
      <c r="I24" s="57"/>
      <c r="J24" s="58"/>
      <c r="K24" s="49"/>
    </row>
    <row r="25" spans="1:11" s="7" customFormat="1" x14ac:dyDescent="0.25">
      <c r="A25" s="57" t="s">
        <v>264</v>
      </c>
      <c r="B25" s="64" t="s">
        <v>209</v>
      </c>
      <c r="C25" s="49">
        <v>70435.534490000005</v>
      </c>
      <c r="D25" s="42">
        <f>IF(OR(71151.09386="",70435.53449=""),"-",70435.53449/71151.09386*100)</f>
        <v>98.994310092536381</v>
      </c>
      <c r="E25" s="42">
        <f>IF(71151.09386="","-",71151.09386/824887.0263*100)</f>
        <v>8.6255561781769767</v>
      </c>
      <c r="F25" s="42">
        <f>IF(70435.53449="","-",70435.53449/902994.40784*100)</f>
        <v>7.800218238171011</v>
      </c>
      <c r="G25" s="42">
        <f>IF(OR(948466.87002="",105771.15698="",71151.09386=""),"-",(71151.09386-105771.15698)/948466.87002*100)</f>
        <v>-3.6501077912473616</v>
      </c>
      <c r="H25" s="42">
        <f>IF(OR(824887.0263="",70435.53449="",71151.09386=""),"-",(70435.53449-71151.09386)/824887.0263*100)</f>
        <v>-8.6746347946530689E-2</v>
      </c>
      <c r="I25" s="57"/>
      <c r="J25" s="58"/>
      <c r="K25" s="49"/>
    </row>
    <row r="26" spans="1:11" s="7" customFormat="1" ht="25.5" x14ac:dyDescent="0.25">
      <c r="A26" s="57" t="s">
        <v>319</v>
      </c>
      <c r="B26" s="64" t="s">
        <v>210</v>
      </c>
      <c r="C26" s="49">
        <v>0.10557</v>
      </c>
      <c r="D26" s="42">
        <f>IF(OR(0.11619="",0.10557=""),"-",0.10557/0.11619*100)</f>
        <v>90.859798605731996</v>
      </c>
      <c r="E26" s="42">
        <f>IF(0.11619="","-",0.11619/824887.0263*100)</f>
        <v>1.4085565210204106E-5</v>
      </c>
      <c r="F26" s="42">
        <f>IF(0.10557="","-",0.10557/902994.40784*100)</f>
        <v>1.1691102301788093E-5</v>
      </c>
      <c r="G26" s="42">
        <f>IF(OR(948466.87002="",0.23836="",0.11619=""),"-",(0.11619-0.23836)/948466.87002*100)</f>
        <v>-1.2880787285424509E-5</v>
      </c>
      <c r="H26" s="42">
        <f>IF(OR(824887.0263="",0.10557="",0.11619=""),"-",(0.10557-0.11619)/824887.0263*100)</f>
        <v>-1.2874490277336059E-6</v>
      </c>
      <c r="I26" s="57"/>
      <c r="J26" s="58"/>
      <c r="K26" s="49"/>
    </row>
    <row r="27" spans="1:11" s="7" customFormat="1" ht="14.25" customHeight="1" x14ac:dyDescent="0.25">
      <c r="A27" s="57" t="s">
        <v>265</v>
      </c>
      <c r="B27" s="64" t="s">
        <v>211</v>
      </c>
      <c r="C27" s="49">
        <v>559.62351000000001</v>
      </c>
      <c r="D27" s="42">
        <f>IF(OR(601.02533="",559.62351=""),"-",559.62351/601.02533*100)</f>
        <v>93.111468363571291</v>
      </c>
      <c r="E27" s="42">
        <f>IF(601.02533="","-",601.02533/824887.0263*100)</f>
        <v>7.2861532650825747E-2</v>
      </c>
      <c r="F27" s="42">
        <f>IF(559.62351="","-",559.62351/902994.40784*100)</f>
        <v>6.1974194429248189E-2</v>
      </c>
      <c r="G27" s="42">
        <f>IF(OR(948466.87002="",175.50655="",601.02533=""),"-",(601.02533-175.50655)/948466.87002*100)</f>
        <v>4.4863852755450198E-2</v>
      </c>
      <c r="H27" s="42">
        <f>IF(OR(824887.0263="",559.62351="",601.02533=""),"-",(559.62351-601.02533)/824887.0263*100)</f>
        <v>-5.0190897274389632E-3</v>
      </c>
      <c r="I27" s="57"/>
      <c r="J27" s="58"/>
      <c r="K27" s="49"/>
    </row>
    <row r="28" spans="1:11" s="7" customFormat="1" x14ac:dyDescent="0.25">
      <c r="A28" s="57" t="s">
        <v>266</v>
      </c>
      <c r="B28" s="64" t="s">
        <v>163</v>
      </c>
      <c r="C28" s="49">
        <v>1331.10106</v>
      </c>
      <c r="D28" s="42" t="s">
        <v>353</v>
      </c>
      <c r="E28" s="42">
        <f>IF(562.2545="","-",562.2545/824887.0263*100)</f>
        <v>6.8161394478704757E-2</v>
      </c>
      <c r="F28" s="42">
        <f>IF(1331.10106="","-",1331.10106/902994.40784*100)</f>
        <v>0.14740966814889239</v>
      </c>
      <c r="G28" s="42">
        <f>IF(OR(948466.87002="",827.59546="",562.2545=""),"-",(562.2545-827.59546)/948466.87002*100)</f>
        <v>-2.7975775262915066E-2</v>
      </c>
      <c r="H28" s="42">
        <f>IF(OR(824887.0263="",1331.10106="",562.2545=""),"-",(1331.10106-562.2545)/824887.0263*100)</f>
        <v>9.3206285889672974E-2</v>
      </c>
      <c r="I28" s="57"/>
      <c r="J28" s="58"/>
      <c r="K28" s="49"/>
    </row>
    <row r="29" spans="1:11" s="7" customFormat="1" ht="38.25" x14ac:dyDescent="0.25">
      <c r="A29" s="57" t="s">
        <v>267</v>
      </c>
      <c r="B29" s="64" t="s">
        <v>164</v>
      </c>
      <c r="C29" s="49">
        <v>50.66178</v>
      </c>
      <c r="D29" s="42" t="s">
        <v>237</v>
      </c>
      <c r="E29" s="42">
        <f>IF(12.29931="","-",12.29931/824887.0263*100)</f>
        <v>1.4910296328902268E-3</v>
      </c>
      <c r="F29" s="42">
        <f>IF(50.66178="","-",50.66178/902994.40784*100)</f>
        <v>5.6104201266522873E-3</v>
      </c>
      <c r="G29" s="42">
        <f>IF(OR(948466.87002="",103.33915="",12.29931=""),"-",(12.29931-103.33915)/948466.87002*100)</f>
        <v>-9.5986315260627141E-3</v>
      </c>
      <c r="H29" s="42">
        <f>IF(OR(824887.0263="",50.66178="",12.29931=""),"-",(50.66178-12.29931)/824887.0263*100)</f>
        <v>4.650633211201469E-3</v>
      </c>
      <c r="I29" s="57"/>
      <c r="J29" s="58"/>
      <c r="K29" s="49"/>
    </row>
    <row r="30" spans="1:11" s="7" customFormat="1" ht="38.25" x14ac:dyDescent="0.25">
      <c r="A30" s="57" t="s">
        <v>268</v>
      </c>
      <c r="B30" s="64" t="s">
        <v>165</v>
      </c>
      <c r="C30" s="49">
        <v>2063.40335</v>
      </c>
      <c r="D30" s="42">
        <f>IF(OR(2497.63914="",2063.40335=""),"-",2063.40335/2497.63914*100)</f>
        <v>82.614150177034773</v>
      </c>
      <c r="E30" s="42">
        <f>IF(2497.63914="","-",2497.63914/824887.0263*100)</f>
        <v>0.30278560098139345</v>
      </c>
      <c r="F30" s="42">
        <f>IF(2063.40335="","-",2063.40335/902994.40784*100)</f>
        <v>0.22850676948661802</v>
      </c>
      <c r="G30" s="42">
        <f>IF(OR(948466.87002="",3106.26869="",2497.63914=""),"-",(2497.63914-3106.26869)/948466.87002*100)</f>
        <v>-6.4169827037518529E-2</v>
      </c>
      <c r="H30" s="42">
        <f>IF(OR(824887.0263="",2063.40335="",2497.63914=""),"-",(2063.40335-2497.63914)/824887.0263*100)</f>
        <v>-5.2641849872187785E-2</v>
      </c>
      <c r="I30" s="57"/>
      <c r="J30" s="58"/>
      <c r="K30" s="49"/>
    </row>
    <row r="31" spans="1:11" s="7" customFormat="1" ht="25.5" x14ac:dyDescent="0.25">
      <c r="A31" s="57" t="s">
        <v>269</v>
      </c>
      <c r="B31" s="64" t="s">
        <v>166</v>
      </c>
      <c r="C31" s="49">
        <v>23723.010480000001</v>
      </c>
      <c r="D31" s="42" t="s">
        <v>360</v>
      </c>
      <c r="E31" s="42">
        <f>IF(2811.0545="","-",2811.0545/824887.0263*100)</f>
        <v>0.34078054453212586</v>
      </c>
      <c r="F31" s="42">
        <f>IF(23723.01048="","-",23723.01048/902994.40784*100)</f>
        <v>2.6271492131104583</v>
      </c>
      <c r="G31" s="42">
        <f>IF(OR(948466.87002="",5607.26833="",2811.0545=""),"-",(2811.0545-5607.26833)/948466.87002*100)</f>
        <v>-0.29481407504945711</v>
      </c>
      <c r="H31" s="42">
        <f>IF(OR(824887.0263="",23723.01048="",2811.0545=""),"-",(23723.01048-2811.0545)/824887.0263*100)</f>
        <v>2.5351296981599769</v>
      </c>
      <c r="I31" s="57"/>
      <c r="J31" s="58"/>
      <c r="K31" s="49"/>
    </row>
    <row r="32" spans="1:11" s="7" customFormat="1" ht="25.5" x14ac:dyDescent="0.25">
      <c r="A32" s="57" t="s">
        <v>270</v>
      </c>
      <c r="B32" s="64" t="s">
        <v>167</v>
      </c>
      <c r="C32" s="49">
        <v>1376.3289500000001</v>
      </c>
      <c r="D32" s="42">
        <f>IF(OR(2139.77466="",1376.32895=""),"-",1376.32895/2139.77466*100)</f>
        <v>64.321209879174845</v>
      </c>
      <c r="E32" s="42">
        <f>IF(2139.77466="","-",2139.77466/824887.0263*100)</f>
        <v>0.25940214741864465</v>
      </c>
      <c r="F32" s="42">
        <f>IF(1376.32895="","-",1376.32895/902994.40784*100)</f>
        <v>0.15241832485898069</v>
      </c>
      <c r="G32" s="42">
        <f>IF(OR(948466.87002="",1811.81304="",2139.77466=""),"-",(2139.77466-1811.81304)/948466.87002*100)</f>
        <v>3.4578078619982203E-2</v>
      </c>
      <c r="H32" s="42">
        <f>IF(OR(824887.0263="",1376.32895="",2139.77466=""),"-",(1376.32895-2139.77466)/824887.0263*100)</f>
        <v>-9.255154774641168E-2</v>
      </c>
      <c r="I32" s="57"/>
      <c r="J32" s="58"/>
      <c r="K32" s="49"/>
    </row>
    <row r="33" spans="1:11" s="7" customFormat="1" ht="25.5" x14ac:dyDescent="0.25">
      <c r="A33" s="55" t="s">
        <v>271</v>
      </c>
      <c r="B33" s="63" t="s">
        <v>168</v>
      </c>
      <c r="C33" s="48">
        <v>12546.152679999999</v>
      </c>
      <c r="D33" s="41" t="s">
        <v>325</v>
      </c>
      <c r="E33" s="41">
        <f>IF(1897.15903="","-",1897.15903/824887.0263*100)</f>
        <v>0.22999016465438132</v>
      </c>
      <c r="F33" s="41">
        <f>IF(12546.15268="","-",12546.15268/902994.40784*100)</f>
        <v>1.3893942831839807</v>
      </c>
      <c r="G33" s="41">
        <f>IF(948466.87002="","-",(1897.15903-4975.1318)/948466.87002*100)</f>
        <v>-0.32452085226077493</v>
      </c>
      <c r="H33" s="41">
        <f>IF(824887.0263="","-",(12546.15268-1897.15903)/824887.0263*100)</f>
        <v>1.290963890869476</v>
      </c>
      <c r="I33" s="55"/>
      <c r="J33" s="56"/>
      <c r="K33" s="48"/>
    </row>
    <row r="34" spans="1:11" s="7" customFormat="1" x14ac:dyDescent="0.25">
      <c r="A34" s="57" t="s">
        <v>272</v>
      </c>
      <c r="B34" s="64" t="s">
        <v>212</v>
      </c>
      <c r="C34" s="49">
        <v>356.14312999999999</v>
      </c>
      <c r="D34" s="42" t="s">
        <v>361</v>
      </c>
      <c r="E34" s="42">
        <f>IF(29.26923="","-",29.26923/824887.0263*100)</f>
        <v>3.548271347082041E-3</v>
      </c>
      <c r="F34" s="42">
        <f>IF(356.14313="","-",356.14313/902994.40784*100)</f>
        <v>3.9440236496249087E-2</v>
      </c>
      <c r="G34" s="42">
        <f>IF(OR(948466.87002="",0.09731="",29.26923=""),"-",(29.26923-0.09731)/948466.87002*100)</f>
        <v>3.0756920375494888E-3</v>
      </c>
      <c r="H34" s="42">
        <f>IF(OR(824887.0263="",356.14313="",29.26923=""),"-",(356.14313-29.26923)/824887.0263*100)</f>
        <v>3.9626505155036885E-2</v>
      </c>
      <c r="I34" s="57"/>
      <c r="J34" s="58"/>
      <c r="K34" s="49"/>
    </row>
    <row r="35" spans="1:11" s="7" customFormat="1" ht="25.5" x14ac:dyDescent="0.25">
      <c r="A35" s="57" t="s">
        <v>273</v>
      </c>
      <c r="B35" s="64" t="s">
        <v>169</v>
      </c>
      <c r="C35" s="49">
        <v>12188.15904</v>
      </c>
      <c r="D35" s="42" t="s">
        <v>362</v>
      </c>
      <c r="E35" s="42">
        <f>IF(1865.41412="","-",1865.41412/824887.0263*100)</f>
        <v>0.2261417697847965</v>
      </c>
      <c r="F35" s="42">
        <f>IF(12188.15904="","-",12188.15904/902994.40784*100)</f>
        <v>1.3497491162934865</v>
      </c>
      <c r="G35" s="42">
        <f>IF(OR(948466.87002="",4972.5985="",1865.41412=""),"-",(1865.41412-4972.5985)/948466.87002*100)</f>
        <v>-0.32760072894633419</v>
      </c>
      <c r="H35" s="42">
        <f>IF(OR(824887.0263="",12188.15904="",1865.41412=""),"-",(12188.15904-1865.41412)/824887.0263*100)</f>
        <v>1.2514131742745778</v>
      </c>
      <c r="I35" s="57"/>
      <c r="J35" s="58"/>
      <c r="K35" s="49"/>
    </row>
    <row r="36" spans="1:11" s="7" customFormat="1" x14ac:dyDescent="0.25">
      <c r="A36" s="57" t="s">
        <v>358</v>
      </c>
      <c r="B36" s="64" t="s">
        <v>359</v>
      </c>
      <c r="C36" s="49">
        <v>1.8505100000000001</v>
      </c>
      <c r="D36" s="42">
        <f>IF(OR(2.47568="",1.85051=""),"-",1.85051/2.47568*100)</f>
        <v>74.747544109093255</v>
      </c>
      <c r="E36" s="42">
        <f>IF(2.47568="","-",2.47568/824887.0263*100)</f>
        <v>3.001235225027808E-4</v>
      </c>
      <c r="F36" s="42">
        <f>IF(1.85051="","-",1.85051/902994.40784*100)</f>
        <v>2.049303942453527E-4</v>
      </c>
      <c r="G36" s="42">
        <f>IF(OR(948466.87002="",2.43599="",2.47568=""),"-",(2.47568-2.43599)/948466.87002*100)</f>
        <v>4.1846480098101156E-6</v>
      </c>
      <c r="H36" s="42">
        <f>IF(OR(824887.0263="",1.85051="",2.47568=""),"-",(1.85051-2.47568)/824887.0263*100)</f>
        <v>-7.578856013825029E-5</v>
      </c>
      <c r="I36" s="57"/>
      <c r="J36" s="58"/>
      <c r="K36" s="49"/>
    </row>
    <row r="37" spans="1:11" s="7" customFormat="1" ht="25.5" x14ac:dyDescent="0.25">
      <c r="A37" s="55" t="s">
        <v>274</v>
      </c>
      <c r="B37" s="63" t="s">
        <v>170</v>
      </c>
      <c r="C37" s="48">
        <v>25112.95723</v>
      </c>
      <c r="D37" s="41">
        <f>IF(44650.93208="","-",25112.95723/44650.93208*100)</f>
        <v>56.24285106748885</v>
      </c>
      <c r="E37" s="41">
        <f>IF(44650.93208="","-",44650.93208/824887.0263*100)</f>
        <v>5.4129754325607582</v>
      </c>
      <c r="F37" s="41">
        <f>IF(25112.95723="","-",25112.95723/902994.40784*100)</f>
        <v>2.7810756093242297</v>
      </c>
      <c r="G37" s="41">
        <f>IF(948466.87002="","-",(44650.93208-26386.83455)/948466.87002*100)</f>
        <v>1.9256442272585514</v>
      </c>
      <c r="H37" s="41">
        <f>IF(824887.0263="","-",(25112.95723-44650.93208)/824887.0263*100)</f>
        <v>-2.3685637217058506</v>
      </c>
      <c r="I37" s="55"/>
      <c r="J37" s="56"/>
      <c r="K37" s="48"/>
    </row>
    <row r="38" spans="1:11" s="7" customFormat="1" x14ac:dyDescent="0.25">
      <c r="A38" s="57" t="s">
        <v>275</v>
      </c>
      <c r="B38" s="64" t="s">
        <v>216</v>
      </c>
      <c r="C38" s="49">
        <v>4.1630200000000004</v>
      </c>
      <c r="D38" s="42" t="s">
        <v>95</v>
      </c>
      <c r="E38" s="42">
        <f>IF(1.9874="","-",1.9874/824887.0263*100)</f>
        <v>2.4092996212031709E-4</v>
      </c>
      <c r="F38" s="42">
        <f>IF(4.16302="","-",4.16302/902994.40784*100)</f>
        <v>4.6102389603476241E-4</v>
      </c>
      <c r="G38" s="42" t="str">
        <f>IF(OR(948466.87002="",""="",1.9874=""),"-",(1.9874-"")/948466.87002*100)</f>
        <v>-</v>
      </c>
      <c r="H38" s="42">
        <f>IF(OR(824887.0263="",4.16302="",1.9874=""),"-",(4.16302-1.9874)/824887.0263*100)</f>
        <v>2.637476321768161E-4</v>
      </c>
      <c r="I38" s="57"/>
      <c r="J38" s="58"/>
      <c r="K38" s="49"/>
    </row>
    <row r="39" spans="1:11" s="7" customFormat="1" ht="25.5" x14ac:dyDescent="0.25">
      <c r="A39" s="57" t="s">
        <v>276</v>
      </c>
      <c r="B39" s="64" t="s">
        <v>171</v>
      </c>
      <c r="C39" s="49">
        <v>25105.231879999999</v>
      </c>
      <c r="D39" s="42">
        <f>IF(OR(44633.44758="",25105.23188=""),"-",25105.23188/44633.44758*100)</f>
        <v>56.247574949261846</v>
      </c>
      <c r="E39" s="42">
        <f>IF(44633.44758="","-",44633.44758/824887.0263*100)</f>
        <v>5.410855808970795</v>
      </c>
      <c r="F39" s="42">
        <f>IF(25105.23188="","-",25105.23188/902994.40784*100)</f>
        <v>2.7802200835388069</v>
      </c>
      <c r="G39" s="42">
        <f>IF(OR(948466.87002="",26386.69879="",44633.44758=""),"-",(44633.44758-26386.69879)/948466.87002*100)</f>
        <v>1.9238150922040362</v>
      </c>
      <c r="H39" s="42">
        <f>IF(OR(824887.0263="",25105.23188="",44633.44758=""),"-",(25105.23188-44633.44758)/824887.0263*100)</f>
        <v>-2.3673806324234588</v>
      </c>
      <c r="I39" s="57"/>
      <c r="J39" s="58"/>
      <c r="K39" s="49"/>
    </row>
    <row r="40" spans="1:11" s="7" customFormat="1" ht="63.75" x14ac:dyDescent="0.25">
      <c r="A40" s="57" t="s">
        <v>277</v>
      </c>
      <c r="B40" s="64" t="s">
        <v>214</v>
      </c>
      <c r="C40" s="49">
        <v>3.5623300000000002</v>
      </c>
      <c r="D40" s="42">
        <f>IF(OR(15.4971="",3.56233=""),"-",3.56233/15.4971*100)</f>
        <v>22.987075001129245</v>
      </c>
      <c r="E40" s="42">
        <f>IF(15.4971="","-",15.4971/824887.0263*100)</f>
        <v>1.8786936278427926E-3</v>
      </c>
      <c r="F40" s="42">
        <f>IF(3.56233="","-",3.56233/902994.40784*100)</f>
        <v>3.9450188938835632E-4</v>
      </c>
      <c r="G40" s="42">
        <f>IF(OR(948466.87002="",0.13576="",15.4971=""),"-",(15.4971-0.13576)/948466.87002*100)</f>
        <v>1.61959689743049E-3</v>
      </c>
      <c r="H40" s="42">
        <f>IF(OR(824887.0263="",3.56233="",15.4971=""),"-",(3.56233-15.4971)/824887.0263*100)</f>
        <v>-1.4468369145691339E-3</v>
      </c>
      <c r="I40" s="57"/>
      <c r="J40" s="58"/>
      <c r="K40" s="49"/>
    </row>
    <row r="41" spans="1:11" s="7" customFormat="1" ht="25.5" x14ac:dyDescent="0.25">
      <c r="A41" s="55" t="s">
        <v>278</v>
      </c>
      <c r="B41" s="63" t="s">
        <v>172</v>
      </c>
      <c r="C41" s="48">
        <v>45930.209000000003</v>
      </c>
      <c r="D41" s="41">
        <f>IF(33104.05938="","-",45930.209/33104.05938*100)</f>
        <v>138.74494506177993</v>
      </c>
      <c r="E41" s="41">
        <f>IF(33104.05938="","-",33104.05938/824887.0263*100)</f>
        <v>4.0131628119412932</v>
      </c>
      <c r="F41" s="41">
        <f>IF(45930.209="","-",45930.209/902994.40784*100)</f>
        <v>5.0864333822251417</v>
      </c>
      <c r="G41" s="41">
        <f>IF(948466.87002="","-",(33104.05938-38937.47417)/948466.87002*100)</f>
        <v>-0.61503622049307793</v>
      </c>
      <c r="H41" s="41">
        <f>IF(824887.0263="","-",(45930.209-33104.05938)/824887.0263*100)</f>
        <v>1.5548977267264366</v>
      </c>
      <c r="I41" s="55"/>
      <c r="J41" s="56"/>
      <c r="K41" s="48"/>
    </row>
    <row r="42" spans="1:11" s="7" customFormat="1" x14ac:dyDescent="0.25">
      <c r="A42" s="57" t="s">
        <v>279</v>
      </c>
      <c r="B42" s="64" t="s">
        <v>25</v>
      </c>
      <c r="C42" s="49">
        <v>11665.59762</v>
      </c>
      <c r="D42" s="42">
        <f>IF(OR(13229.99367="",11665.59762=""),"-",11665.59762/13229.99367*100)</f>
        <v>88.175383231305815</v>
      </c>
      <c r="E42" s="42">
        <f>IF(13229.99367="","-",13229.99367/824887.0263*100)</f>
        <v>1.6038552247987996</v>
      </c>
      <c r="F42" s="42">
        <f>IF(11665.59762="","-",11665.59762/902994.40784*100)</f>
        <v>1.2918792761856182</v>
      </c>
      <c r="G42" s="42">
        <f>IF(OR(948466.87002="",5092.82445="",13229.99367=""),"-",(13229.99367-5092.82445)/948466.87002*100)</f>
        <v>0.85792867175512566</v>
      </c>
      <c r="H42" s="42">
        <f>IF(OR(824887.0263="",11665.59762="",13229.99367=""),"-",(11665.59762-13229.99367)/824887.0263*100)</f>
        <v>-0.18964973385713671</v>
      </c>
      <c r="I42" s="57"/>
      <c r="J42" s="58"/>
      <c r="K42" s="49"/>
    </row>
    <row r="43" spans="1:11" s="7" customFormat="1" x14ac:dyDescent="0.25">
      <c r="A43" s="57" t="s">
        <v>280</v>
      </c>
      <c r="B43" s="64" t="s">
        <v>26</v>
      </c>
      <c r="C43" s="49">
        <v>267.16588999999999</v>
      </c>
      <c r="D43" s="42">
        <f>IF(OR(412.57988="",267.16589=""),"-",267.16589/412.57988*100)</f>
        <v>64.754948787129422</v>
      </c>
      <c r="E43" s="42">
        <f>IF(412.57988="","-",412.57988/824887.0263*100)</f>
        <v>5.0016531578949863E-2</v>
      </c>
      <c r="F43" s="42">
        <f>IF(267.16589="","-",267.16589/902994.40784*100)</f>
        <v>2.9586660524185512E-2</v>
      </c>
      <c r="G43" s="42">
        <f>IF(OR(948466.87002="",318.2691="",412.57988=""),"-",(412.57988-318.2691)/948466.87002*100)</f>
        <v>9.9434975517923279E-3</v>
      </c>
      <c r="H43" s="42">
        <f>IF(OR(824887.0263="",267.16589="",412.57988=""),"-",(267.16589-412.57988)/824887.0263*100)</f>
        <v>-1.762835216990247E-2</v>
      </c>
      <c r="I43" s="57"/>
      <c r="J43" s="58"/>
      <c r="K43" s="49"/>
    </row>
    <row r="44" spans="1:11" s="7" customFormat="1" x14ac:dyDescent="0.25">
      <c r="A44" s="57" t="s">
        <v>281</v>
      </c>
      <c r="B44" s="64" t="s">
        <v>173</v>
      </c>
      <c r="C44" s="49">
        <v>625.29336000000001</v>
      </c>
      <c r="D44" s="42" t="s">
        <v>353</v>
      </c>
      <c r="E44" s="42">
        <f>IF(259.28248="","-",259.28248/824887.0263*100)</f>
        <v>3.1432483689675897E-2</v>
      </c>
      <c r="F44" s="42">
        <f>IF(625.29336="","-",625.29336/902994.40784*100)</f>
        <v>6.9246648104469177E-2</v>
      </c>
      <c r="G44" s="42">
        <f>IF(OR(948466.87002="",305.77724="",259.28248=""),"-",(259.28248-305.77724)/948466.87002*100)</f>
        <v>-4.9020963693776213E-3</v>
      </c>
      <c r="H44" s="42">
        <f>IF(OR(824887.0263="",625.29336="",259.28248=""),"-",(625.29336-259.28248)/824887.0263*100)</f>
        <v>4.4371031223721401E-2</v>
      </c>
      <c r="I44" s="57"/>
      <c r="J44" s="58"/>
      <c r="K44" s="49"/>
    </row>
    <row r="45" spans="1:11" s="7" customFormat="1" x14ac:dyDescent="0.25">
      <c r="A45" s="57" t="s">
        <v>282</v>
      </c>
      <c r="B45" s="64" t="s">
        <v>174</v>
      </c>
      <c r="C45" s="49">
        <v>25483.13105</v>
      </c>
      <c r="D45" s="42" t="s">
        <v>20</v>
      </c>
      <c r="E45" s="42">
        <f>IF(12932.63223="","-",12932.63223/824887.0263*100)</f>
        <v>1.5678064774528992</v>
      </c>
      <c r="F45" s="42">
        <f>IF(25483.13105="","-",25483.13105/902994.40784*100)</f>
        <v>2.8220696417109274</v>
      </c>
      <c r="G45" s="42">
        <f>IF(OR(948466.87002="",26631.98533="",12932.63223=""),"-",(12932.63223-26631.98533)/948466.87002*100)</f>
        <v>-1.4443681200705647</v>
      </c>
      <c r="H45" s="42">
        <f>IF(OR(824887.0263="",25483.13105="",12932.63223=""),"-",(25483.13105-12932.63223)/824887.0263*100)</f>
        <v>1.5214809325217289</v>
      </c>
      <c r="I45" s="57"/>
      <c r="J45" s="58"/>
      <c r="K45" s="49"/>
    </row>
    <row r="46" spans="1:11" s="7" customFormat="1" ht="38.25" x14ac:dyDescent="0.25">
      <c r="A46" s="57" t="s">
        <v>283</v>
      </c>
      <c r="B46" s="64" t="s">
        <v>175</v>
      </c>
      <c r="C46" s="49">
        <v>3502.2854200000002</v>
      </c>
      <c r="D46" s="42">
        <f>IF(OR(4056.40219="",3502.28542=""),"-",3502.28542/4056.40219*100)</f>
        <v>86.339698480440873</v>
      </c>
      <c r="E46" s="42">
        <f>IF(4056.40219="","-",4056.40219/824887.0263*100)</f>
        <v>0.49175245344745455</v>
      </c>
      <c r="F46" s="42">
        <f>IF(3502.28542="","-",3502.28542/902994.40784*100)</f>
        <v>0.38785239305940022</v>
      </c>
      <c r="G46" s="42">
        <f>IF(OR(948466.87002="",4470.66966="",4056.40219=""),"-",(4056.40219-4470.66966)/948466.87002*100)</f>
        <v>-4.3677589918482258E-2</v>
      </c>
      <c r="H46" s="42">
        <f>IF(OR(824887.0263="",3502.28542="",4056.40219=""),"-",(3502.28542-4056.40219)/824887.0263*100)</f>
        <v>-6.7174867870751914E-2</v>
      </c>
      <c r="I46" s="57"/>
      <c r="J46" s="58"/>
      <c r="K46" s="49"/>
    </row>
    <row r="47" spans="1:11" x14ac:dyDescent="0.25">
      <c r="A47" s="57" t="s">
        <v>284</v>
      </c>
      <c r="B47" s="64" t="s">
        <v>176</v>
      </c>
      <c r="C47" s="49">
        <v>47.340339999999998</v>
      </c>
      <c r="D47" s="42" t="s">
        <v>363</v>
      </c>
      <c r="E47" s="42">
        <f>IF(0.12792="","-",0.12792/824887.0263*100)</f>
        <v>1.5507578119367495E-5</v>
      </c>
      <c r="F47" s="42">
        <f>IF(47.34034="","-",47.34034/902994.40784*100)</f>
        <v>5.2425950359139047E-3</v>
      </c>
      <c r="G47" s="42">
        <f>IF(OR(948466.87002="",20.17404="",0.12792=""),"-",(0.12792-20.17404)/948466.87002*100)</f>
        <v>-2.1135287518874854E-3</v>
      </c>
      <c r="H47" s="42">
        <f>IF(OR(824887.0263="",47.34034="",0.12792=""),"-",(47.34034-0.12792)/824887.0263*100)</f>
        <v>5.7235013395433723E-3</v>
      </c>
      <c r="I47" s="57"/>
      <c r="J47" s="58"/>
      <c r="K47" s="49"/>
    </row>
    <row r="48" spans="1:11" x14ac:dyDescent="0.25">
      <c r="A48" s="57" t="s">
        <v>285</v>
      </c>
      <c r="B48" s="64" t="s">
        <v>27</v>
      </c>
      <c r="C48" s="49">
        <v>630.64125999999999</v>
      </c>
      <c r="D48" s="42">
        <f>IF(OR(703.12218="",630.64126=""),"-",630.64126/703.12218*100)</f>
        <v>89.691561145176792</v>
      </c>
      <c r="E48" s="42">
        <f>IF(703.12218="","-",703.12218/824887.0263*100)</f>
        <v>8.5238603297451324E-2</v>
      </c>
      <c r="F48" s="42">
        <f>IF(630.64126="","-",630.64126/902994.40784*100)</f>
        <v>6.9838888759955878E-2</v>
      </c>
      <c r="G48" s="42">
        <f>IF(OR(948466.87002="",585.00282="",703.12218=""),"-",(703.12218-585.00282)/948466.87002*100)</f>
        <v>1.2453714909146924E-2</v>
      </c>
      <c r="H48" s="42">
        <f>IF(OR(824887.0263="",630.64126="",703.12218=""),"-",(630.64126-703.12218)/824887.0263*100)</f>
        <v>-8.7867693016230874E-3</v>
      </c>
      <c r="I48" s="57"/>
      <c r="J48" s="58"/>
      <c r="K48" s="49"/>
    </row>
    <row r="49" spans="1:11" x14ac:dyDescent="0.25">
      <c r="A49" s="57" t="s">
        <v>286</v>
      </c>
      <c r="B49" s="64" t="s">
        <v>28</v>
      </c>
      <c r="C49" s="49">
        <v>1354.1192900000001</v>
      </c>
      <c r="D49" s="42" t="s">
        <v>20</v>
      </c>
      <c r="E49" s="42">
        <f>IF(680.26862="","-",680.26862/824887.0263*100)</f>
        <v>8.2468095425299578E-2</v>
      </c>
      <c r="F49" s="42">
        <f>IF(1354.11929="","-",1354.11929/902994.40784*100)</f>
        <v>0.14995876809903058</v>
      </c>
      <c r="G49" s="42">
        <f>IF(OR(948466.87002="",832.49881="",680.26862=""),"-",(680.26862-832.49881)/948466.87002*100)</f>
        <v>-1.6050132567813357E-2</v>
      </c>
      <c r="H49" s="42">
        <f>IF(OR(824887.0263="",1354.11929="",680.26862=""),"-",(1354.11929-680.26862)/824887.0263*100)</f>
        <v>8.1690055548883117E-2</v>
      </c>
      <c r="I49" s="57"/>
      <c r="J49" s="58"/>
      <c r="K49" s="49"/>
    </row>
    <row r="50" spans="1:11" x14ac:dyDescent="0.25">
      <c r="A50" s="57" t="s">
        <v>287</v>
      </c>
      <c r="B50" s="64" t="s">
        <v>177</v>
      </c>
      <c r="C50" s="49">
        <v>2354.6347700000001</v>
      </c>
      <c r="D50" s="42" t="s">
        <v>318</v>
      </c>
      <c r="E50" s="42">
        <f>IF(829.65021="","-",829.65021/824887.0263*100)</f>
        <v>0.10057743467264421</v>
      </c>
      <c r="F50" s="42">
        <f>IF(2354.63477="","-",2354.63477/902994.40784*100)</f>
        <v>0.2607585107456406</v>
      </c>
      <c r="G50" s="42">
        <f>IF(OR(948466.87002="",680.27272="",829.65021=""),"-",(829.65021-680.27272)/948466.87002*100)</f>
        <v>1.5749362968982786E-2</v>
      </c>
      <c r="H50" s="42">
        <f>IF(OR(824887.0263="",2354.63477="",829.65021=""),"-",(2354.63477-829.65021)/824887.0263*100)</f>
        <v>0.18487192929197363</v>
      </c>
      <c r="I50" s="57"/>
      <c r="J50" s="58"/>
      <c r="K50" s="49"/>
    </row>
    <row r="51" spans="1:11" ht="25.5" x14ac:dyDescent="0.25">
      <c r="A51" s="55" t="s">
        <v>288</v>
      </c>
      <c r="B51" s="63" t="s">
        <v>220</v>
      </c>
      <c r="C51" s="48">
        <v>70438.660059999995</v>
      </c>
      <c r="D51" s="41">
        <f>IF(49967.93643="","-",70438.66006/49967.93643*100)</f>
        <v>140.96771868631677</v>
      </c>
      <c r="E51" s="41">
        <f>IF(49967.93643="","-",49967.93643/824887.0263*100)</f>
        <v>6.0575490748265635</v>
      </c>
      <c r="F51" s="41">
        <f>IF(70438.66006="","-",70438.66006/902994.40784*100)</f>
        <v>7.8005643720975186</v>
      </c>
      <c r="G51" s="41">
        <f>IF(948466.87002="","-",(49967.93643-55158.70462)/948466.87002*100)</f>
        <v>-0.54727986333255263</v>
      </c>
      <c r="H51" s="41">
        <f>IF(824887.0263="","-",(70438.66006-49967.93643)/824887.0263*100)</f>
        <v>2.4816396642605305</v>
      </c>
      <c r="I51" s="55"/>
      <c r="J51" s="56"/>
      <c r="K51" s="48"/>
    </row>
    <row r="52" spans="1:11" x14ac:dyDescent="0.25">
      <c r="A52" s="57" t="s">
        <v>289</v>
      </c>
      <c r="B52" s="64" t="s">
        <v>178</v>
      </c>
      <c r="C52" s="49">
        <v>403.30824999999999</v>
      </c>
      <c r="D52" s="42" t="s">
        <v>95</v>
      </c>
      <c r="E52" s="42">
        <f>IF(191.57852="","-",191.57852/824887.0263*100)</f>
        <v>2.3224819143940024E-2</v>
      </c>
      <c r="F52" s="42">
        <f>IF(403.30825="","-",403.30825/902994.40784*100)</f>
        <v>4.4663427203799635E-2</v>
      </c>
      <c r="G52" s="42">
        <f>IF(OR(948466.87002="",94.70738="",191.57852=""),"-",(191.57852-94.70738)/948466.87002*100)</f>
        <v>1.0213444777249552E-2</v>
      </c>
      <c r="H52" s="42">
        <f>IF(OR(824887.0263="",403.30825="",191.57852=""),"-",(403.30825-191.57852)/824887.0263*100)</f>
        <v>2.5667724579171259E-2</v>
      </c>
      <c r="I52" s="57"/>
      <c r="J52" s="58"/>
      <c r="K52" s="49"/>
    </row>
    <row r="53" spans="1:11" x14ac:dyDescent="0.25">
      <c r="A53" s="57" t="s">
        <v>290</v>
      </c>
      <c r="B53" s="64" t="s">
        <v>29</v>
      </c>
      <c r="C53" s="49">
        <v>664.49363000000005</v>
      </c>
      <c r="D53" s="42" t="s">
        <v>239</v>
      </c>
      <c r="E53" s="42">
        <f>IF(437.2302="","-",437.2302/824887.0263*100)</f>
        <v>5.3004858369658181E-2</v>
      </c>
      <c r="F53" s="42">
        <f>IF(664.49363="","-",664.49363/902994.40784*100)</f>
        <v>7.3587790160239905E-2</v>
      </c>
      <c r="G53" s="42">
        <f>IF(OR(948466.87002="",578.36114="",437.2302=""),"-",(437.2302-578.36114)/948466.87002*100)</f>
        <v>-1.4879901919718498E-2</v>
      </c>
      <c r="H53" s="42">
        <f>IF(OR(824887.0263="",664.49363="",437.2302=""),"-",(664.49363-437.2302)/824887.0263*100)</f>
        <v>2.7550855178239582E-2</v>
      </c>
      <c r="I53" s="57"/>
      <c r="J53" s="58"/>
      <c r="K53" s="49"/>
    </row>
    <row r="54" spans="1:11" x14ac:dyDescent="0.25">
      <c r="A54" s="57" t="s">
        <v>291</v>
      </c>
      <c r="B54" s="64" t="s">
        <v>179</v>
      </c>
      <c r="C54" s="49">
        <v>7902.4745700000003</v>
      </c>
      <c r="D54" s="42">
        <f>IF(OR(5472.30488="",7902.47457=""),"-",7902.47457/5472.30488*100)</f>
        <v>144.40852151497819</v>
      </c>
      <c r="E54" s="42">
        <f>IF(5472.30488="","-",5472.30488/824887.0263*100)</f>
        <v>0.66340052704499652</v>
      </c>
      <c r="F54" s="42">
        <f>IF(7902.47457="","-",7902.47457/902994.40784*100)</f>
        <v>0.87514103092875684</v>
      </c>
      <c r="G54" s="42">
        <f>IF(OR(948466.87002="",6760.84781="",5472.30488=""),"-",(5472.30488-6760.84781)/948466.87002*100)</f>
        <v>-0.13585534410630806</v>
      </c>
      <c r="H54" s="42">
        <f>IF(OR(824887.0263="",7902.47457="",5472.30488=""),"-",(7902.47457-5472.30488)/824887.0263*100)</f>
        <v>0.29460636578325594</v>
      </c>
      <c r="I54" s="57"/>
      <c r="J54" s="58"/>
      <c r="K54" s="49"/>
    </row>
    <row r="55" spans="1:11" ht="25.5" x14ac:dyDescent="0.25">
      <c r="A55" s="57" t="s">
        <v>292</v>
      </c>
      <c r="B55" s="64" t="s">
        <v>180</v>
      </c>
      <c r="C55" s="49">
        <v>3193.8209499999998</v>
      </c>
      <c r="D55" s="42">
        <f>IF(OR(2792.93644="",3193.82095=""),"-",3193.82095/2792.93644*100)</f>
        <v>114.35351353717165</v>
      </c>
      <c r="E55" s="42">
        <f>IF(2792.93644="","-",2792.93644/824887.0263*100)</f>
        <v>0.33858411527304683</v>
      </c>
      <c r="F55" s="42">
        <f>IF(3193.82095="","-",3193.82095/902994.40784*100)</f>
        <v>0.35369221805478857</v>
      </c>
      <c r="G55" s="42">
        <f>IF(OR(948466.87002="",3224.05242="",2792.93644=""),"-",(2792.93644-3224.05242)/948466.87002*100)</f>
        <v>-4.5453984069144054E-2</v>
      </c>
      <c r="H55" s="42">
        <f>IF(OR(824887.0263="",3193.82095="",2792.93644=""),"-",(3193.82095-2792.93644)/824887.0263*100)</f>
        <v>4.8598716820429627E-2</v>
      </c>
      <c r="I55" s="57"/>
      <c r="J55" s="58"/>
      <c r="K55" s="49"/>
    </row>
    <row r="56" spans="1:11" ht="27.75" customHeight="1" x14ac:dyDescent="0.25">
      <c r="A56" s="57" t="s">
        <v>293</v>
      </c>
      <c r="B56" s="64" t="s">
        <v>181</v>
      </c>
      <c r="C56" s="49">
        <v>27150.637030000002</v>
      </c>
      <c r="D56" s="42" t="s">
        <v>239</v>
      </c>
      <c r="E56" s="42">
        <f>IF(18020.27045="","-",18020.27045/824887.0263*100)</f>
        <v>2.1845743569066967</v>
      </c>
      <c r="F56" s="42">
        <f>IF(27150.63703="","-",27150.63703/902994.40784*100)</f>
        <v>3.0067336845358157</v>
      </c>
      <c r="G56" s="42">
        <f>IF(OR(948466.87002="",21095.69452="",18020.27045=""),"-",(18020.27045-21095.69452)/948466.87002*100)</f>
        <v>-0.32425213438769351</v>
      </c>
      <c r="H56" s="42">
        <f>IF(OR(824887.0263="",27150.63703="",18020.27045=""),"-",(27150.63703-18020.27045)/824887.0263*100)</f>
        <v>1.1068626719653867</v>
      </c>
      <c r="I56" s="57"/>
      <c r="J56" s="58"/>
      <c r="K56" s="49"/>
    </row>
    <row r="57" spans="1:11" ht="15.75" customHeight="1" x14ac:dyDescent="0.25">
      <c r="A57" s="57" t="s">
        <v>294</v>
      </c>
      <c r="B57" s="64" t="s">
        <v>30</v>
      </c>
      <c r="C57" s="49">
        <v>16958.40567</v>
      </c>
      <c r="D57" s="42">
        <f>IF(OR(14357.98444="",16958.40567=""),"-",16958.40567/14357.98444*100)</f>
        <v>118.11132503219233</v>
      </c>
      <c r="E57" s="42">
        <f>IF(14357.98444="","-",14357.98444/824887.0263*100)</f>
        <v>1.7406001042836379</v>
      </c>
      <c r="F57" s="42">
        <f>IF(16958.40567="","-",16958.40567/902994.40784*100)</f>
        <v>1.878018902748823</v>
      </c>
      <c r="G57" s="42">
        <f>IF(OR(948466.87002="",15123.01461="",14357.98444=""),"-",(14357.98444-15123.01461)/948466.87002*100)</f>
        <v>-8.0659661837620966E-2</v>
      </c>
      <c r="H57" s="42">
        <f>IF(OR(824887.0263="",16958.40567="",14357.98444=""),"-",(16958.40567-14357.98444)/824887.0263*100)</f>
        <v>0.31524574239748832</v>
      </c>
      <c r="I57" s="57"/>
      <c r="J57" s="58"/>
      <c r="K57" s="49"/>
    </row>
    <row r="58" spans="1:11" x14ac:dyDescent="0.25">
      <c r="A58" s="57" t="s">
        <v>295</v>
      </c>
      <c r="B58" s="64" t="s">
        <v>182</v>
      </c>
      <c r="C58" s="49">
        <v>2098.9810000000002</v>
      </c>
      <c r="D58" s="42" t="s">
        <v>364</v>
      </c>
      <c r="E58" s="42">
        <f>IF(490.86105="","-",490.86105/824887.0263*100)</f>
        <v>5.9506457775404573E-2</v>
      </c>
      <c r="F58" s="42">
        <f>IF(2098.981="","-",2098.981/902994.40784*100)</f>
        <v>0.23244673297820856</v>
      </c>
      <c r="G58" s="42">
        <f>IF(OR(948466.87002="",514.78455="",490.86105=""),"-",(490.86105-514.78455)/948466.87002*100)</f>
        <v>-2.5223337531542376E-3</v>
      </c>
      <c r="H58" s="42">
        <f>IF(OR(824887.0263="",2098.981="",490.86105=""),"-",(2098.981-490.86105)/824887.0263*100)</f>
        <v>0.19495032637537801</v>
      </c>
      <c r="I58" s="57"/>
      <c r="J58" s="58"/>
      <c r="K58" s="49"/>
    </row>
    <row r="59" spans="1:11" x14ac:dyDescent="0.25">
      <c r="A59" s="57" t="s">
        <v>296</v>
      </c>
      <c r="B59" s="64" t="s">
        <v>31</v>
      </c>
      <c r="C59" s="49">
        <v>506.27262999999999</v>
      </c>
      <c r="D59" s="42">
        <f>IF(OR(648.1373="",506.27263=""),"-",506.27263/648.1373*100)</f>
        <v>78.111941713584457</v>
      </c>
      <c r="E59" s="42">
        <f>IF(648.1373="","-",648.1373/824887.0263*100)</f>
        <v>7.8572856565243321E-2</v>
      </c>
      <c r="F59" s="42">
        <f>IF(506.27263="","-",506.27263/902994.40784*100)</f>
        <v>5.6065976223598671E-2</v>
      </c>
      <c r="G59" s="42">
        <f>IF(OR(948466.87002="",207.39729="",648.1373=""),"-",(648.1373-207.39729)/948466.87002*100)</f>
        <v>4.6468677392042822E-2</v>
      </c>
      <c r="H59" s="42">
        <f>IF(OR(824887.0263="",506.27263="",648.1373=""),"-",(506.27263-648.1373)/824887.0263*100)</f>
        <v>-1.7198072642302144E-2</v>
      </c>
      <c r="I59" s="57"/>
      <c r="J59" s="58"/>
      <c r="K59" s="49"/>
    </row>
    <row r="60" spans="1:11" x14ac:dyDescent="0.25">
      <c r="A60" s="57" t="s">
        <v>297</v>
      </c>
      <c r="B60" s="64" t="s">
        <v>32</v>
      </c>
      <c r="C60" s="49">
        <v>11560.26633</v>
      </c>
      <c r="D60" s="42" t="s">
        <v>239</v>
      </c>
      <c r="E60" s="42">
        <f>IF(7556.63315="","-",7556.63315/824887.0263*100)</f>
        <v>0.91608097946393896</v>
      </c>
      <c r="F60" s="42">
        <f>IF(11560.26633="","-",11560.26633/902994.40784*100)</f>
        <v>1.2802146092634878</v>
      </c>
      <c r="G60" s="42">
        <f>IF(OR(948466.87002="",7559.8449="",7556.63315=""),"-",(7556.63315-7559.8449)/948466.87002*100)</f>
        <v>-3.3862542820632918E-4</v>
      </c>
      <c r="H60" s="42">
        <f>IF(OR(824887.0263="",11560.26633="",7556.63315=""),"-",(11560.26633-7556.63315)/824887.0263*100)</f>
        <v>0.48535533380348433</v>
      </c>
      <c r="I60" s="57"/>
      <c r="J60" s="58"/>
      <c r="K60" s="49"/>
    </row>
    <row r="61" spans="1:11" ht="25.5" x14ac:dyDescent="0.25">
      <c r="A61" s="55" t="s">
        <v>298</v>
      </c>
      <c r="B61" s="63" t="s">
        <v>183</v>
      </c>
      <c r="C61" s="48">
        <v>235343.20606999999</v>
      </c>
      <c r="D61" s="41">
        <f>IF(157905.74453="","-",235343.20607/157905.74453*100)</f>
        <v>149.04030677952181</v>
      </c>
      <c r="E61" s="41">
        <f>IF(157905.74453="","-",157905.74453/824887.0263*100)</f>
        <v>19.142711607222182</v>
      </c>
      <c r="F61" s="41">
        <f>IF(235343.20607="","-",235343.20607/902994.40784*100)</f>
        <v>26.06253195221338</v>
      </c>
      <c r="G61" s="41">
        <f>IF(948466.87002="","-",(157905.74453-236362.79941)/948466.87002*100)</f>
        <v>-8.2719868621605741</v>
      </c>
      <c r="H61" s="41">
        <f>IF(824887.0263="","-",(235343.20607-157905.74453)/824887.0263*100)</f>
        <v>9.3876444981008884</v>
      </c>
      <c r="I61" s="55"/>
      <c r="J61" s="56"/>
      <c r="K61" s="48"/>
    </row>
    <row r="62" spans="1:11" ht="25.5" x14ac:dyDescent="0.25">
      <c r="A62" s="57" t="s">
        <v>299</v>
      </c>
      <c r="B62" s="64" t="s">
        <v>184</v>
      </c>
      <c r="C62" s="49">
        <v>577.46747000000005</v>
      </c>
      <c r="D62" s="42">
        <f>IF(OR(668.96195="",577.46747=""),"-",577.46747/668.96195*100)</f>
        <v>86.322917170401098</v>
      </c>
      <c r="E62" s="42">
        <f>IF(668.96195="","-",668.96195/824887.0263*100)</f>
        <v>8.1097402271024174E-2</v>
      </c>
      <c r="F62" s="42">
        <f>IF(577.46747="","-",577.46747/902994.40784*100)</f>
        <v>6.3950281971438358E-2</v>
      </c>
      <c r="G62" s="42">
        <f>IF(OR(948466.87002="",1334.72173="",668.96195=""),"-",(668.96195-1334.72173)/948466.87002*100)</f>
        <v>-7.0193256195228135E-2</v>
      </c>
      <c r="H62" s="42">
        <f>IF(OR(824887.0263="",577.46747="",668.96195=""),"-",(577.46747-668.96195)/824887.0263*100)</f>
        <v>-1.1091758881260993E-2</v>
      </c>
      <c r="I62" s="57"/>
      <c r="J62" s="58"/>
      <c r="K62" s="49"/>
    </row>
    <row r="63" spans="1:11" ht="25.5" x14ac:dyDescent="0.25">
      <c r="A63" s="57" t="s">
        <v>300</v>
      </c>
      <c r="B63" s="64" t="s">
        <v>185</v>
      </c>
      <c r="C63" s="49">
        <v>4772.0172199999997</v>
      </c>
      <c r="D63" s="42" t="s">
        <v>95</v>
      </c>
      <c r="E63" s="42">
        <f>IF(2290.40597="","-",2290.40597/824887.0263*100)</f>
        <v>0.2776629886244581</v>
      </c>
      <c r="F63" s="42">
        <f>IF(4772.01722="","-",4772.01722/902994.40784*100)</f>
        <v>0.52846586629643288</v>
      </c>
      <c r="G63" s="42">
        <f>IF(OR(948466.87002="",4405.74518="",2290.40597=""),"-",(2290.40597-4405.74518)/948466.87002*100)</f>
        <v>-0.22302721126731548</v>
      </c>
      <c r="H63" s="42">
        <f>IF(OR(824887.0263="",4772.01722="",2290.40597=""),"-",(4772.01722-2290.40597)/824887.0263*100)</f>
        <v>0.30084256036019558</v>
      </c>
      <c r="I63" s="57"/>
      <c r="J63" s="58"/>
      <c r="K63" s="49"/>
    </row>
    <row r="64" spans="1:11" ht="25.5" x14ac:dyDescent="0.25">
      <c r="A64" s="57" t="s">
        <v>301</v>
      </c>
      <c r="B64" s="64" t="s">
        <v>186</v>
      </c>
      <c r="C64" s="49">
        <v>1716.43941</v>
      </c>
      <c r="D64" s="42" t="s">
        <v>222</v>
      </c>
      <c r="E64" s="42">
        <f>IF(952.0164="","-",952.0164/824887.0263*100)</f>
        <v>0.11541173150343192</v>
      </c>
      <c r="F64" s="42">
        <f>IF(1716.43941="","-",1716.43941/902994.40784*100)</f>
        <v>0.19008306088027657</v>
      </c>
      <c r="G64" s="42">
        <f>IF(OR(948466.87002="",748.7929="",952.0164=""),"-",(952.0164-748.7929)/948466.87002*100)</f>
        <v>2.1426525946627386E-2</v>
      </c>
      <c r="H64" s="42">
        <f>IF(OR(824887.0263="",1716.43941="",952.0164=""),"-",(1716.43941-952.0164)/824887.0263*100)</f>
        <v>9.2670024576430893E-2</v>
      </c>
      <c r="I64" s="57"/>
      <c r="J64" s="58"/>
      <c r="K64" s="49"/>
    </row>
    <row r="65" spans="1:11" ht="40.5" customHeight="1" x14ac:dyDescent="0.25">
      <c r="A65" s="57" t="s">
        <v>302</v>
      </c>
      <c r="B65" s="64" t="s">
        <v>187</v>
      </c>
      <c r="C65" s="49">
        <v>8178.6760100000001</v>
      </c>
      <c r="D65" s="42">
        <f>IF(OR(7079.81852="",8178.67601=""),"-",8178.67601/7079.81852*100)</f>
        <v>115.52098386273326</v>
      </c>
      <c r="E65" s="42">
        <f>IF(7079.81852="","-",7079.81852/824887.0263*100)</f>
        <v>0.85827735123393345</v>
      </c>
      <c r="F65" s="42">
        <f>IF(8178.67601="","-",8178.67601/902994.40784*100)</f>
        <v>0.90572831226759554</v>
      </c>
      <c r="G65" s="42">
        <f>IF(OR(948466.87002="",6653.43845="",7079.81852=""),"-",(7079.81852-6653.43845)/948466.87002*100)</f>
        <v>4.4954661409629337E-2</v>
      </c>
      <c r="H65" s="42">
        <f>IF(OR(824887.0263="",8178.67601="",7079.81852=""),"-",(8178.67601-7079.81852)/824887.0263*100)</f>
        <v>0.13321308918251321</v>
      </c>
      <c r="I65" s="57"/>
      <c r="J65" s="58"/>
      <c r="K65" s="49"/>
    </row>
    <row r="66" spans="1:11" ht="25.5" x14ac:dyDescent="0.25">
      <c r="A66" s="57" t="s">
        <v>303</v>
      </c>
      <c r="B66" s="64" t="s">
        <v>188</v>
      </c>
      <c r="C66" s="49">
        <v>734.19132999999999</v>
      </c>
      <c r="D66" s="42" t="s">
        <v>103</v>
      </c>
      <c r="E66" s="42">
        <f>IF(424.13602="","-",424.13602/824887.0263*100)</f>
        <v>5.1417467662504802E-2</v>
      </c>
      <c r="F66" s="42">
        <f>IF(734.19133="","-",734.19133/902994.40784*100)</f>
        <v>8.1306298646545996E-2</v>
      </c>
      <c r="G66" s="42">
        <f>IF(OR(948466.87002="",327.15663="",424.13602=""),"-",(424.13602-327.15663)/948466.87002*100)</f>
        <v>1.0224857932882251E-2</v>
      </c>
      <c r="H66" s="42">
        <f>IF(OR(824887.0263="",734.19133="",424.13602=""),"-",(734.19133-424.13602)/824887.0263*100)</f>
        <v>3.758760898334667E-2</v>
      </c>
      <c r="I66" s="57"/>
      <c r="J66" s="58"/>
      <c r="K66" s="49"/>
    </row>
    <row r="67" spans="1:11" ht="38.25" x14ac:dyDescent="0.25">
      <c r="A67" s="57" t="s">
        <v>304</v>
      </c>
      <c r="B67" s="64" t="s">
        <v>189</v>
      </c>
      <c r="C67" s="49">
        <v>1049.8919800000001</v>
      </c>
      <c r="D67" s="42" t="s">
        <v>103</v>
      </c>
      <c r="E67" s="42">
        <f>IF(600.27312="","-",600.27312/824887.0263*100)</f>
        <v>7.2770343193843484E-2</v>
      </c>
      <c r="F67" s="42">
        <f>IF(1049.89198="","-",1049.89198/902994.40784*100)</f>
        <v>0.11626782745104537</v>
      </c>
      <c r="G67" s="42">
        <f>IF(OR(948466.87002="",1279.12627="",600.27312=""),"-",(600.27312-1279.12627)/948466.87002*100)</f>
        <v>-7.1573733512240154E-2</v>
      </c>
      <c r="H67" s="42">
        <f>IF(OR(824887.0263="",1049.89198="",600.27312=""),"-",(1049.89198-600.27312)/824887.0263*100)</f>
        <v>5.4506719788859903E-2</v>
      </c>
      <c r="I67" s="57"/>
      <c r="J67" s="58"/>
      <c r="K67" s="49"/>
    </row>
    <row r="68" spans="1:11" ht="51" x14ac:dyDescent="0.25">
      <c r="A68" s="57" t="s">
        <v>305</v>
      </c>
      <c r="B68" s="64" t="s">
        <v>190</v>
      </c>
      <c r="C68" s="49">
        <v>201277.48749999999</v>
      </c>
      <c r="D68" s="42">
        <f>IF(OR(138133.044="",201277.4875=""),"-",201277.4875/138133.044*100)</f>
        <v>145.71277202868271</v>
      </c>
      <c r="E68" s="42">
        <f>IF(138133.044="","-",138133.044/824887.0263*100)</f>
        <v>16.745692391307283</v>
      </c>
      <c r="F68" s="42">
        <f>IF(201277.4875="","-",201277.4875/902994.40784*100)</f>
        <v>22.290003764415779</v>
      </c>
      <c r="G68" s="42">
        <f>IF(OR(948466.87002="",209999.86945="",138133.044=""),"-",(138133.044-209999.86945)/948466.87002*100)</f>
        <v>-7.5771571703379133</v>
      </c>
      <c r="H68" s="42">
        <f>IF(OR(824887.0263="",201277.4875="",138133.044=""),"-",(201277.4875-138133.044)/824887.0263*100)</f>
        <v>7.6549201874627659</v>
      </c>
      <c r="I68" s="57"/>
      <c r="J68" s="58"/>
      <c r="K68" s="49"/>
    </row>
    <row r="69" spans="1:11" ht="25.5" x14ac:dyDescent="0.25">
      <c r="A69" s="57" t="s">
        <v>306</v>
      </c>
      <c r="B69" s="64" t="s">
        <v>191</v>
      </c>
      <c r="C69" s="49">
        <v>16718.60168</v>
      </c>
      <c r="D69" s="42" t="s">
        <v>221</v>
      </c>
      <c r="E69" s="42">
        <f>IF(7646.51602="","-",7646.51602/824887.0263*100)</f>
        <v>0.92697736492452343</v>
      </c>
      <c r="F69" s="42">
        <f>IF(16718.60168="","-",16718.60168/902994.40784*100)</f>
        <v>1.8514623717318015</v>
      </c>
      <c r="G69" s="42">
        <f>IF(OR(948466.87002="",8882.09431="",7646.51602=""),"-",(7646.51602-8882.09431)/948466.87002*100)</f>
        <v>-0.13027110688367494</v>
      </c>
      <c r="H69" s="42">
        <f>IF(OR(824887.0263="",16718.60168="",7646.51602=""),"-",(16718.60168-7646.51602)/824887.0263*100)</f>
        <v>1.0997973505162886</v>
      </c>
      <c r="I69" s="57"/>
      <c r="J69" s="58"/>
      <c r="K69" s="49"/>
    </row>
    <row r="70" spans="1:11" x14ac:dyDescent="0.25">
      <c r="A70" s="57" t="s">
        <v>307</v>
      </c>
      <c r="B70" s="64" t="s">
        <v>33</v>
      </c>
      <c r="C70" s="49">
        <v>318.43347</v>
      </c>
      <c r="D70" s="42" t="s">
        <v>339</v>
      </c>
      <c r="E70" s="42">
        <f>IF(110.57253="","-",110.57253/824887.0263*100)</f>
        <v>1.3404566501181252E-2</v>
      </c>
      <c r="F70" s="42">
        <f>IF(318.43347="","-",318.43347/902994.40784*100)</f>
        <v>3.5264168552461589E-2</v>
      </c>
      <c r="G70" s="42">
        <f>IF(OR(948466.87002="",2731.85449="",110.57253=""),"-",(110.57253-2731.85449)/948466.87002*100)</f>
        <v>-0.27637042925334082</v>
      </c>
      <c r="H70" s="42">
        <f>IF(OR(824887.0263="",318.43347="",110.57253=""),"-",(318.43347-110.57253)/824887.0263*100)</f>
        <v>2.5198716111750782E-2</v>
      </c>
      <c r="I70" s="57"/>
      <c r="J70" s="58"/>
      <c r="K70" s="49"/>
    </row>
    <row r="71" spans="1:11" x14ac:dyDescent="0.25">
      <c r="A71" s="66" t="s">
        <v>308</v>
      </c>
      <c r="B71" s="63" t="s">
        <v>34</v>
      </c>
      <c r="C71" s="48">
        <v>191884.43064999999</v>
      </c>
      <c r="D71" s="41">
        <f>IF(148173.66043="","-",191884.43065/148173.66043*100)</f>
        <v>129.49968981879192</v>
      </c>
      <c r="E71" s="41">
        <f>IF(148173.66043="","-",148173.66043/824887.0263*100)</f>
        <v>17.962903489296881</v>
      </c>
      <c r="F71" s="41">
        <f>IF(191884.43065="","-",191884.43065/902994.40784*100)</f>
        <v>21.249791691290259</v>
      </c>
      <c r="G71" s="41">
        <f>IF(948466.87002="","-",(148173.66043-185395.47311)/948466.87002*100)</f>
        <v>-3.9244188549479984</v>
      </c>
      <c r="H71" s="41">
        <f>IF(824887.0263="","-",(191884.43065-148173.66043)/824887.0263*100)</f>
        <v>5.2990008117915295</v>
      </c>
      <c r="I71" s="55"/>
      <c r="J71" s="56"/>
      <c r="K71" s="48"/>
    </row>
    <row r="72" spans="1:11" ht="38.25" x14ac:dyDescent="0.25">
      <c r="A72" s="67" t="s">
        <v>309</v>
      </c>
      <c r="B72" s="64" t="s">
        <v>217</v>
      </c>
      <c r="C72" s="49">
        <v>5831.9050500000003</v>
      </c>
      <c r="D72" s="42" t="s">
        <v>105</v>
      </c>
      <c r="E72" s="42">
        <f>IF(3127.55794="","-",3127.55794/824887.0263*100)</f>
        <v>0.37914985207471918</v>
      </c>
      <c r="F72" s="42">
        <f>IF(5831.90505="","-",5831.90505/902994.40784*100)</f>
        <v>0.64584066073566926</v>
      </c>
      <c r="G72" s="42">
        <f>IF(OR(948466.87002="",2842.21556="",3127.55794=""),"-",(3127.55794-2842.21556)/948466.87002*100)</f>
        <v>3.0084591145917741E-2</v>
      </c>
      <c r="H72" s="42">
        <f>IF(OR(824887.0263="",5831.90505="",3127.55794=""),"-",(5831.90505-3127.55794)/824887.0263*100)</f>
        <v>0.32784454401352969</v>
      </c>
      <c r="I72" s="57"/>
      <c r="J72" s="58"/>
      <c r="K72" s="49"/>
    </row>
    <row r="73" spans="1:11" x14ac:dyDescent="0.25">
      <c r="A73" s="67" t="s">
        <v>310</v>
      </c>
      <c r="B73" s="64" t="s">
        <v>192</v>
      </c>
      <c r="C73" s="49">
        <v>57205.872389999997</v>
      </c>
      <c r="D73" s="42" t="s">
        <v>104</v>
      </c>
      <c r="E73" s="42">
        <f>IF(36397.24206="","-",36397.24206/824887.0263*100)</f>
        <v>4.4123911395792543</v>
      </c>
      <c r="F73" s="42">
        <f>IF(57205.87239="","-",57205.87239/902994.40784*100)</f>
        <v>6.3351303057168211</v>
      </c>
      <c r="G73" s="42">
        <f>IF(OR(948466.87002="",47971.47279="",36397.24206=""),"-",(36397.24206-47971.47279)/948466.87002*100)</f>
        <v>-1.2203094378779873</v>
      </c>
      <c r="H73" s="42">
        <f>IF(OR(824887.0263="",57205.87239="",36397.24206=""),"-",(57205.87239-36397.24206)/824887.0263*100)</f>
        <v>2.5226036616597467</v>
      </c>
      <c r="I73" s="57"/>
      <c r="J73" s="58"/>
      <c r="K73" s="49"/>
    </row>
    <row r="74" spans="1:11" x14ac:dyDescent="0.25">
      <c r="A74" s="67" t="s">
        <v>311</v>
      </c>
      <c r="B74" s="64" t="s">
        <v>193</v>
      </c>
      <c r="C74" s="49">
        <v>4997.5262899999998</v>
      </c>
      <c r="D74" s="42">
        <f>IF(OR(3903.42323="",4997.52629=""),"-",4997.52629/3903.42323*100)</f>
        <v>128.02932184220259</v>
      </c>
      <c r="E74" s="42">
        <f>IF(3903.42323="","-",3903.42323/824887.0263*100)</f>
        <v>0.47320700963241707</v>
      </c>
      <c r="F74" s="42">
        <f>IF(4997.52629="","-",4997.52629/902994.40784*100)</f>
        <v>0.55343933989074079</v>
      </c>
      <c r="G74" s="42">
        <f>IF(OR(948466.87002="",4426.65994="",3903.42323=""),"-",(3903.42323-4426.65994)/948466.87002*100)</f>
        <v>-5.5166577403907256E-2</v>
      </c>
      <c r="H74" s="42">
        <f>IF(OR(824887.0263="",4997.52629="",3903.42323=""),"-",(4997.52629-3903.42323)/824887.0263*100)</f>
        <v>0.13263671570973282</v>
      </c>
      <c r="I74" s="57"/>
      <c r="J74" s="58"/>
      <c r="K74" s="49"/>
    </row>
    <row r="75" spans="1:11" x14ac:dyDescent="0.25">
      <c r="A75" s="67" t="s">
        <v>312</v>
      </c>
      <c r="B75" s="64" t="s">
        <v>194</v>
      </c>
      <c r="C75" s="49">
        <v>82787.854789999998</v>
      </c>
      <c r="D75" s="42">
        <f>IF(OR(68057.36377="",82787.85479=""),"-",82787.85479/68057.36377*100)</f>
        <v>121.64422805118006</v>
      </c>
      <c r="E75" s="42">
        <f>IF(68057.36377="","-",68057.36377/824887.0263*100)</f>
        <v>8.2505072331260632</v>
      </c>
      <c r="F75" s="42">
        <f>IF(82787.85479="","-",82787.85479/902994.40784*100)</f>
        <v>9.1681470085769377</v>
      </c>
      <c r="G75" s="42">
        <f>IF(OR(948466.87002="",91157.95121="",68057.36377=""),"-",(68057.36377-91157.95121)/948466.87002*100)</f>
        <v>-2.4355713594416732</v>
      </c>
      <c r="H75" s="42">
        <f>IF(OR(824887.0263="",82787.85479="",68057.36377=""),"-",(82787.85479-68057.36377)/824887.0263*100)</f>
        <v>1.7857586009169122</v>
      </c>
      <c r="I75" s="57"/>
      <c r="J75" s="58"/>
      <c r="K75" s="49"/>
    </row>
    <row r="76" spans="1:11" x14ac:dyDescent="0.25">
      <c r="A76" s="67" t="s">
        <v>313</v>
      </c>
      <c r="B76" s="64" t="s">
        <v>195</v>
      </c>
      <c r="C76" s="49">
        <v>11797.00642</v>
      </c>
      <c r="D76" s="42">
        <f>IF(OR(10692.12203="",11797.00642=""),"-",11797.00642/10692.12203*100)</f>
        <v>110.33363056369829</v>
      </c>
      <c r="E76" s="42">
        <f>IF(10692.12203="","-",10692.12203/824887.0263*100)</f>
        <v>1.2961922892591868</v>
      </c>
      <c r="F76" s="42">
        <f>IF(11797.00642="","-",11797.00642/902994.40784*100)</f>
        <v>1.3064318358536602</v>
      </c>
      <c r="G76" s="42">
        <f>IF(OR(948466.87002="",11081.32077="",10692.12203=""),"-",(10692.12203-11081.32077)/948466.87002*100)</f>
        <v>-4.1034510777566001E-2</v>
      </c>
      <c r="H76" s="42">
        <f>IF(OR(824887.0263="",11797.00642="",10692.12203=""),"-",(11797.00642-10692.12203)/824887.0263*100)</f>
        <v>0.13394372256718803</v>
      </c>
      <c r="I76" s="57"/>
      <c r="J76" s="58"/>
      <c r="K76" s="49"/>
    </row>
    <row r="77" spans="1:11" ht="25.5" x14ac:dyDescent="0.25">
      <c r="A77" s="67" t="s">
        <v>314</v>
      </c>
      <c r="B77" s="64" t="s">
        <v>218</v>
      </c>
      <c r="C77" s="49">
        <v>8804.5012499999993</v>
      </c>
      <c r="D77" s="42" t="s">
        <v>239</v>
      </c>
      <c r="E77" s="42">
        <f>IF(5770.1748="","-",5770.1748/824887.0263*100)</f>
        <v>0.69951091677146426</v>
      </c>
      <c r="F77" s="42">
        <f>IF(8804.50125="","-",8804.50125/902994.40784*100)</f>
        <v>0.97503386217648136</v>
      </c>
      <c r="G77" s="42">
        <f>IF(OR(948466.87002="",6139.49822="",5770.1748=""),"-",(5770.1748-6139.49822)/948466.87002*100)</f>
        <v>-3.8938990034750799E-2</v>
      </c>
      <c r="H77" s="42">
        <f>IF(OR(824887.0263="",8804.50125="",5770.1748=""),"-",(8804.50125-5770.1748)/824887.0263*100)</f>
        <v>0.36784751769104163</v>
      </c>
      <c r="I77" s="57"/>
      <c r="J77" s="58"/>
      <c r="K77" s="49"/>
    </row>
    <row r="78" spans="1:11" ht="15.75" customHeight="1" x14ac:dyDescent="0.25">
      <c r="A78" s="67" t="s">
        <v>315</v>
      </c>
      <c r="B78" s="64" t="s">
        <v>196</v>
      </c>
      <c r="C78" s="49">
        <v>1002.855</v>
      </c>
      <c r="D78" s="42">
        <f>IF(OR(1045.16714="",1002.855=""),"-",1002.855/1045.16714*100)</f>
        <v>95.951638892895161</v>
      </c>
      <c r="E78" s="42">
        <f>IF(1045.16714="","-",1045.16714/824887.0263*100)</f>
        <v>0.12670427666780726</v>
      </c>
      <c r="F78" s="42">
        <f>IF(1002.855="","-",1002.855/902994.40784*100)</f>
        <v>0.11105882730756558</v>
      </c>
      <c r="G78" s="42">
        <f>IF(OR(948466.87002="",1248.86361="",1045.16714=""),"-",(1045.16714-1248.86361)/948466.87002*100)</f>
        <v>-2.1476392738494367E-2</v>
      </c>
      <c r="H78" s="42">
        <f>IF(OR(824887.0263="",1002.855="",1045.16714=""),"-",(1002.855-1045.16714)/824887.0263*100)</f>
        <v>-5.129446657658022E-3</v>
      </c>
      <c r="I78" s="57"/>
      <c r="J78" s="58"/>
      <c r="K78" s="49"/>
    </row>
    <row r="79" spans="1:11" x14ac:dyDescent="0.25">
      <c r="A79" s="67" t="s">
        <v>316</v>
      </c>
      <c r="B79" s="64" t="s">
        <v>35</v>
      </c>
      <c r="C79" s="49">
        <v>19456.909459999999</v>
      </c>
      <c r="D79" s="42">
        <f>IF(OR(19180.60946="",19456.90946=""),"-",19456.90946/19180.60946*100)</f>
        <v>101.44051731294674</v>
      </c>
      <c r="E79" s="42">
        <f>IF(19180.60946="","-",19180.60946/824887.0263*100)</f>
        <v>2.3252407721859694</v>
      </c>
      <c r="F79" s="42">
        <f>IF(19456.90946="","-",19456.90946/902994.40784*100)</f>
        <v>2.1547098510323814</v>
      </c>
      <c r="G79" s="42">
        <f>IF(OR(948466.87002="",20527.49101="",19180.60946=""),"-",(19180.60946-20527.49101)/948466.87002*100)</f>
        <v>-0.14200617781953739</v>
      </c>
      <c r="H79" s="42">
        <f>IF(OR(824887.0263="",19456.90946="",19180.60946=""),"-",(19456.90946-19180.60946)/824887.0263*100)</f>
        <v>3.3495495891035239E-2</v>
      </c>
      <c r="I79" s="57"/>
      <c r="J79" s="58"/>
      <c r="K79" s="49"/>
    </row>
    <row r="80" spans="1:11" ht="25.5" x14ac:dyDescent="0.25">
      <c r="A80" s="68" t="s">
        <v>321</v>
      </c>
      <c r="B80" s="65" t="s">
        <v>197</v>
      </c>
      <c r="C80" s="60" t="s">
        <v>348</v>
      </c>
      <c r="D80" s="43" t="s">
        <v>348</v>
      </c>
      <c r="E80" s="62">
        <f>IF(187.21487="","-",187.21487/824887.0263*100)</f>
        <v>2.2695819431146264E-2</v>
      </c>
      <c r="F80" s="62" t="str">
        <f>IF(""="","-",""/902994.40784*100)</f>
        <v>-</v>
      </c>
      <c r="G80" s="62">
        <f>IF(948466.87002="","-",(187.21487-398.42143)/948466.87002*100)</f>
        <v>-2.2268206373465251E-2</v>
      </c>
      <c r="H80" s="43" t="s">
        <v>348</v>
      </c>
      <c r="I80" s="75"/>
      <c r="J80" s="76"/>
      <c r="K80" s="74"/>
    </row>
    <row r="81" spans="1:11" x14ac:dyDescent="0.25">
      <c r="A81" s="78" t="s">
        <v>328</v>
      </c>
      <c r="B81" s="79"/>
      <c r="C81" s="79"/>
      <c r="D81" s="79"/>
      <c r="E81" s="79"/>
      <c r="I81" s="1"/>
      <c r="J81" s="1"/>
      <c r="K81" s="1"/>
    </row>
    <row r="82" spans="1:11" x14ac:dyDescent="0.25">
      <c r="A82" s="108" t="s">
        <v>367</v>
      </c>
      <c r="B82" s="108"/>
      <c r="C82" s="108"/>
      <c r="D82" s="108"/>
      <c r="E82" s="108"/>
    </row>
  </sheetData>
  <mergeCells count="12">
    <mergeCell ref="A82:E82"/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2"/>
  <sheetViews>
    <sheetView zoomScaleNormal="100" workbookViewId="0">
      <selection activeCell="P19" sqref="P19"/>
    </sheetView>
  </sheetViews>
  <sheetFormatPr defaultRowHeight="15.75" x14ac:dyDescent="0.25"/>
  <cols>
    <col min="1" max="1" width="5.75" customWidth="1"/>
    <col min="2" max="2" width="26" customWidth="1"/>
    <col min="3" max="3" width="12.25" customWidth="1"/>
    <col min="4" max="4" width="10.125" customWidth="1"/>
    <col min="5" max="5" width="7.625" customWidth="1"/>
    <col min="6" max="6" width="7.75" customWidth="1"/>
    <col min="7" max="7" width="8.625" customWidth="1"/>
    <col min="8" max="8" width="8.375" customWidth="1"/>
  </cols>
  <sheetData>
    <row r="1" spans="1:8" x14ac:dyDescent="0.25">
      <c r="B1" s="122" t="s">
        <v>149</v>
      </c>
      <c r="C1" s="122"/>
      <c r="D1" s="122"/>
      <c r="E1" s="122"/>
      <c r="F1" s="122"/>
      <c r="G1" s="122"/>
      <c r="H1" s="122"/>
    </row>
    <row r="2" spans="1:8" x14ac:dyDescent="0.25">
      <c r="B2" s="122" t="s">
        <v>327</v>
      </c>
      <c r="C2" s="122"/>
      <c r="D2" s="122"/>
      <c r="E2" s="122"/>
      <c r="F2" s="122"/>
      <c r="G2" s="122"/>
      <c r="H2" s="122"/>
    </row>
    <row r="3" spans="1:8" x14ac:dyDescent="0.25">
      <c r="B3" s="5"/>
    </row>
    <row r="4" spans="1:8" ht="57" customHeight="1" x14ac:dyDescent="0.25">
      <c r="A4" s="130" t="s">
        <v>247</v>
      </c>
      <c r="B4" s="133"/>
      <c r="C4" s="136" t="s">
        <v>329</v>
      </c>
      <c r="D4" s="128"/>
      <c r="E4" s="136" t="s">
        <v>0</v>
      </c>
      <c r="F4" s="128"/>
      <c r="G4" s="125" t="s">
        <v>119</v>
      </c>
      <c r="H4" s="137"/>
    </row>
    <row r="5" spans="1:8" ht="19.5" customHeight="1" x14ac:dyDescent="0.25">
      <c r="A5" s="131"/>
      <c r="B5" s="134"/>
      <c r="C5" s="138" t="s">
        <v>110</v>
      </c>
      <c r="D5" s="123" t="s">
        <v>332</v>
      </c>
      <c r="E5" s="140" t="s">
        <v>330</v>
      </c>
      <c r="F5" s="140"/>
      <c r="G5" s="140" t="s">
        <v>336</v>
      </c>
      <c r="H5" s="136"/>
    </row>
    <row r="6" spans="1:8" ht="25.5" customHeight="1" x14ac:dyDescent="0.25">
      <c r="A6" s="132"/>
      <c r="B6" s="135"/>
      <c r="C6" s="139"/>
      <c r="D6" s="124"/>
      <c r="E6" s="21">
        <v>2020</v>
      </c>
      <c r="F6" s="21">
        <v>2021</v>
      </c>
      <c r="G6" s="21">
        <v>2020</v>
      </c>
      <c r="H6" s="17">
        <v>2021</v>
      </c>
    </row>
    <row r="7" spans="1:8" x14ac:dyDescent="0.25">
      <c r="A7" s="54"/>
      <c r="B7" s="61" t="s">
        <v>129</v>
      </c>
      <c r="C7" s="47">
        <v>2112289.07699</v>
      </c>
      <c r="D7" s="40">
        <f>IF(1650717.59844="","-",2112289.07699/1650717.59844*100)</f>
        <v>127.9618681588059</v>
      </c>
      <c r="E7" s="40">
        <v>100</v>
      </c>
      <c r="F7" s="40">
        <v>100</v>
      </c>
      <c r="G7" s="40">
        <f>IF(1881236.72041="","-",(1650717.59844-1881236.72041)/1881236.72041*100)</f>
        <v>-12.253594641707835</v>
      </c>
      <c r="H7" s="40">
        <f>IF(1650717.59844="","-",(2112289.07699-1650717.59844)/1650717.59844*100)</f>
        <v>27.961868158805903</v>
      </c>
    </row>
    <row r="8" spans="1:8" ht="12" customHeight="1" x14ac:dyDescent="0.25">
      <c r="A8" s="73"/>
      <c r="B8" s="72" t="s">
        <v>365</v>
      </c>
      <c r="C8" s="74"/>
      <c r="D8" s="77"/>
      <c r="E8" s="77"/>
      <c r="F8" s="77"/>
      <c r="G8" s="77"/>
      <c r="H8" s="77"/>
    </row>
    <row r="9" spans="1:8" x14ac:dyDescent="0.25">
      <c r="A9" s="55" t="s">
        <v>248</v>
      </c>
      <c r="B9" s="63" t="s">
        <v>198</v>
      </c>
      <c r="C9" s="48">
        <v>262536.20526000002</v>
      </c>
      <c r="D9" s="41">
        <f>IF(227060.34481="","-",262536.20526/227060.34481*100)</f>
        <v>115.62397893814773</v>
      </c>
      <c r="E9" s="41">
        <f>IF(227060.34481="","-",227060.34481/1650717.59844*100)</f>
        <v>13.755250748194719</v>
      </c>
      <c r="F9" s="41">
        <f>IF(262536.20526="","-",262536.20526/2112289.07699*100)</f>
        <v>12.428990336593163</v>
      </c>
      <c r="G9" s="41">
        <f>IF(1881236.72041="","-",(227060.34481-212677.3906)/1881236.72041*100)</f>
        <v>0.76454781335893496</v>
      </c>
      <c r="H9" s="41">
        <f>IF(1650717.59844="","-",(262536.20526-227060.34481)/1650717.59844*100)</f>
        <v>2.1491174797873507</v>
      </c>
    </row>
    <row r="10" spans="1:8" ht="14.25" customHeight="1" x14ac:dyDescent="0.25">
      <c r="A10" s="57" t="s">
        <v>249</v>
      </c>
      <c r="B10" s="64" t="s">
        <v>23</v>
      </c>
      <c r="C10" s="49">
        <v>1551.7980700000001</v>
      </c>
      <c r="D10" s="42">
        <f>IF(OR(2618.52551="",1551.79807=""),"-",1551.79807/2618.52551*100)</f>
        <v>59.262285743399154</v>
      </c>
      <c r="E10" s="42">
        <f>IF(2618.52551="","-",2618.52551/1650717.59844*100)</f>
        <v>0.1586295264843981</v>
      </c>
      <c r="F10" s="42">
        <f>IF(1551.79807="","-",1551.79807/2112289.07699*100)</f>
        <v>7.3465231956380869E-2</v>
      </c>
      <c r="G10" s="42">
        <f>IF(OR(1881236.72041="",1797.96247="",2618.52551=""),"-",(2618.52551-1797.96247)/1881236.72041*100)</f>
        <v>4.3618276801505609E-2</v>
      </c>
      <c r="H10" s="42">
        <f>IF(OR(1650717.59844="",1551.79807="",2618.52551=""),"-",(1551.79807-2618.52551)/1650717.59844*100)</f>
        <v>-6.4622043225813039E-2</v>
      </c>
    </row>
    <row r="11" spans="1:8" s="7" customFormat="1" x14ac:dyDescent="0.25">
      <c r="A11" s="57" t="s">
        <v>250</v>
      </c>
      <c r="B11" s="64" t="s">
        <v>199</v>
      </c>
      <c r="C11" s="49">
        <v>17044.12298</v>
      </c>
      <c r="D11" s="42">
        <f>IF(OR(11981.8427="",17044.12298=""),"-",17044.12298/11981.8427*100)</f>
        <v>142.24959721762997</v>
      </c>
      <c r="E11" s="42">
        <f>IF(11981.8427="","-",11981.8427/1650717.59844*100)</f>
        <v>0.72585660389901718</v>
      </c>
      <c r="F11" s="42">
        <f>IF(17044.12298="","-",17044.12298/2112289.07699*100)</f>
        <v>0.80690295498226872</v>
      </c>
      <c r="G11" s="42">
        <f>IF(OR(1881236.72041="",14024.35058="",11981.8427=""),"-",(11981.8427-14024.35058)/1881236.72041*100)</f>
        <v>-0.10857261384706828</v>
      </c>
      <c r="H11" s="42">
        <f>IF(OR(1650717.59844="",17044.12298="",11981.8427=""),"-",(17044.12298-11981.8427)/1650717.59844*100)</f>
        <v>0.30667149152490264</v>
      </c>
    </row>
    <row r="12" spans="1:8" s="7" customFormat="1" x14ac:dyDescent="0.25">
      <c r="A12" s="57" t="s">
        <v>251</v>
      </c>
      <c r="B12" s="64" t="s">
        <v>200</v>
      </c>
      <c r="C12" s="49">
        <v>30401.71674</v>
      </c>
      <c r="D12" s="42">
        <f>IF(OR(27291.01089="",30401.71674=""),"-",30401.71674/27291.01089*100)</f>
        <v>111.39828005103259</v>
      </c>
      <c r="E12" s="42">
        <f>IF(27291.01089="","-",27291.01089/1650717.59844*100)</f>
        <v>1.6532816343504908</v>
      </c>
      <c r="F12" s="42">
        <f>IF(30401.71674="","-",30401.71674/2112289.07699*100)</f>
        <v>1.4392782252759777</v>
      </c>
      <c r="G12" s="42">
        <f>IF(OR(1881236.72041="",21118.09169="",27291.01089=""),"-",(27291.01089-21118.09169)/1881236.72041*100)</f>
        <v>0.32813091159812485</v>
      </c>
      <c r="H12" s="42">
        <f>IF(OR(1650717.59844="",30401.71674="",27291.01089=""),"-",(30401.71674-27291.01089)/1650717.59844*100)</f>
        <v>0.18844567071555735</v>
      </c>
    </row>
    <row r="13" spans="1:8" s="7" customFormat="1" x14ac:dyDescent="0.25">
      <c r="A13" s="57" t="s">
        <v>252</v>
      </c>
      <c r="B13" s="64" t="s">
        <v>201</v>
      </c>
      <c r="C13" s="49">
        <v>22776.212670000001</v>
      </c>
      <c r="D13" s="42">
        <f>IF(OR(19320.70127="",22776.21267=""),"-",22776.21267/19320.70127*100)</f>
        <v>117.88502058859274</v>
      </c>
      <c r="E13" s="42">
        <f>IF(19320.70127="","-",19320.70127/1650717.59844*100)</f>
        <v>1.1704425571193344</v>
      </c>
      <c r="F13" s="42">
        <f>IF(22776.21267="","-",22776.21267/2112289.07699*100)</f>
        <v>1.0782715736264648</v>
      </c>
      <c r="G13" s="42">
        <f>IF(OR(1881236.72041="",17815.94397="",19320.70127=""),"-",(19320.70127-17815.94397)/1881236.72041*100)</f>
        <v>7.9987663629702679E-2</v>
      </c>
      <c r="H13" s="42">
        <f>IF(OR(1650717.59844="",22776.21267="",19320.70127=""),"-",(22776.21267-19320.70127)/1650717.59844*100)</f>
        <v>0.20933389231844432</v>
      </c>
    </row>
    <row r="14" spans="1:8" s="7" customFormat="1" ht="14.25" customHeight="1" x14ac:dyDescent="0.25">
      <c r="A14" s="57" t="s">
        <v>253</v>
      </c>
      <c r="B14" s="64" t="s">
        <v>202</v>
      </c>
      <c r="C14" s="49">
        <v>43297.883470000001</v>
      </c>
      <c r="D14" s="42">
        <f>IF(OR(40001.71903="",43297.88347=""),"-",43297.88347/40001.71903*100)</f>
        <v>108.24005697737135</v>
      </c>
      <c r="E14" s="42">
        <f>IF(40001.71903="","-",40001.71903/1650717.59844*100)</f>
        <v>2.4232926981455436</v>
      </c>
      <c r="F14" s="42">
        <f>IF(43297.88347="","-",43297.88347/2112289.07699*100)</f>
        <v>2.0498086148179699</v>
      </c>
      <c r="G14" s="42">
        <f>IF(OR(1881236.72041="",34546.7063="",40001.71903=""),"-",(40001.71903-34546.7063)/1881236.72041*100)</f>
        <v>0.2899695009573876</v>
      </c>
      <c r="H14" s="42">
        <f>IF(OR(1650717.59844="",43297.88347="",40001.71903=""),"-",(43297.88347-40001.71903)/1650717.59844*100)</f>
        <v>0.19968069905567246</v>
      </c>
    </row>
    <row r="15" spans="1:8" s="7" customFormat="1" x14ac:dyDescent="0.25">
      <c r="A15" s="57" t="s">
        <v>254</v>
      </c>
      <c r="B15" s="64" t="s">
        <v>203</v>
      </c>
      <c r="C15" s="49">
        <v>71572.357319999996</v>
      </c>
      <c r="D15" s="42">
        <f>IF(OR(65322.54181="",71572.35732=""),"-",71572.35732/65322.54181*100)</f>
        <v>109.56762449351478</v>
      </c>
      <c r="E15" s="42">
        <f>IF(65322.54181="","-",65322.54181/1650717.59844*100)</f>
        <v>3.9572209002758951</v>
      </c>
      <c r="F15" s="42">
        <f>IF(71572.35732="","-",71572.35732/2112289.07699*100)</f>
        <v>3.3883788966039727</v>
      </c>
      <c r="G15" s="42">
        <f>IF(OR(1881236.72041="",67126.93325="",65322.54181=""),"-",(65322.54181-67126.93325)/1881236.72041*100)</f>
        <v>-9.5915172206863311E-2</v>
      </c>
      <c r="H15" s="42">
        <f>IF(OR(1650717.59844="",71572.35732="",65322.54181=""),"-",(71572.35732-65322.54181)/1650717.59844*100)</f>
        <v>0.37861203611728261</v>
      </c>
    </row>
    <row r="16" spans="1:8" s="7" customFormat="1" ht="25.5" x14ac:dyDescent="0.25">
      <c r="A16" s="57" t="s">
        <v>255</v>
      </c>
      <c r="B16" s="64" t="s">
        <v>161</v>
      </c>
      <c r="C16" s="49">
        <v>7537.9803400000001</v>
      </c>
      <c r="D16" s="42">
        <f>IF(OR(6662.13522="",7537.98034=""),"-",7537.98034/6662.13522*100)</f>
        <v>113.14661277619639</v>
      </c>
      <c r="E16" s="42">
        <f>IF(6662.13522="","-",6662.13522/1650717.59844*100)</f>
        <v>0.40359024622358225</v>
      </c>
      <c r="F16" s="42">
        <f>IF(7537.98034="","-",7537.98034/2112289.07699*100)</f>
        <v>0.3568631027880701</v>
      </c>
      <c r="G16" s="42">
        <f>IF(OR(1881236.72041="",5970.92322="",6662.13522=""),"-",(6662.13522-5970.92322)/1881236.72041*100)</f>
        <v>3.6742425474735392E-2</v>
      </c>
      <c r="H16" s="42">
        <f>IF(OR(1650717.59844="",7537.98034="",6662.13522=""),"-",(7537.98034-6662.13522)/1650717.59844*100)</f>
        <v>5.3058446873511959E-2</v>
      </c>
    </row>
    <row r="17" spans="1:8" s="7" customFormat="1" ht="25.5" x14ac:dyDescent="0.25">
      <c r="A17" s="57" t="s">
        <v>256</v>
      </c>
      <c r="B17" s="64" t="s">
        <v>204</v>
      </c>
      <c r="C17" s="49">
        <v>20288.110540000001</v>
      </c>
      <c r="D17" s="42">
        <f>IF(OR(15948.07247="",20288.11054=""),"-",20288.11054/15948.07247*100)</f>
        <v>127.21355874300212</v>
      </c>
      <c r="E17" s="42">
        <f>IF(15948.07247="","-",15948.07247/1650717.59844*100)</f>
        <v>0.96612966900405139</v>
      </c>
      <c r="F17" s="42">
        <f>IF(20288.11054="","-",20288.11054/2112289.07699*100)</f>
        <v>0.96047983019968297</v>
      </c>
      <c r="G17" s="42">
        <f>IF(OR(1881236.72041="",16604.12323="",15948.07247=""),"-",(15948.07247-16604.12323)/1881236.72041*100)</f>
        <v>-3.4873376267980837E-2</v>
      </c>
      <c r="H17" s="42">
        <f>IF(OR(1650717.59844="",20288.11054="",15948.07247=""),"-",(20288.11054-15948.07247)/1650717.59844*100)</f>
        <v>0.2629182650079897</v>
      </c>
    </row>
    <row r="18" spans="1:8" s="7" customFormat="1" ht="25.5" x14ac:dyDescent="0.25">
      <c r="A18" s="57" t="s">
        <v>257</v>
      </c>
      <c r="B18" s="64" t="s">
        <v>162</v>
      </c>
      <c r="C18" s="49">
        <v>15467.04192</v>
      </c>
      <c r="D18" s="42">
        <f>IF(OR(11916.40329="",15467.04192=""),"-",15467.04192/11916.40329*100)</f>
        <v>129.79622746554426</v>
      </c>
      <c r="E18" s="42">
        <f>IF(11916.40329="","-",11916.40329/1650717.59844*100)</f>
        <v>0.72189230315721598</v>
      </c>
      <c r="F18" s="42">
        <f>IF(15467.04192="","-",15467.04192/2112289.07699*100)</f>
        <v>0.73224077558742329</v>
      </c>
      <c r="G18" s="42">
        <f>IF(OR(1881236.72041="",10528.27477="",11916.40329=""),"-",(11916.40329-10528.27477)/1881236.72041*100)</f>
        <v>7.3788083388967071E-2</v>
      </c>
      <c r="H18" s="42">
        <f>IF(OR(1650717.59844="",15467.04192="",11916.40329=""),"-",(15467.04192-11916.40329)/1650717.59844*100)</f>
        <v>0.2150966727049804</v>
      </c>
    </row>
    <row r="19" spans="1:8" s="7" customFormat="1" ht="25.5" x14ac:dyDescent="0.25">
      <c r="A19" s="57" t="s">
        <v>258</v>
      </c>
      <c r="B19" s="64" t="s">
        <v>205</v>
      </c>
      <c r="C19" s="49">
        <v>32598.981210000002</v>
      </c>
      <c r="D19" s="42">
        <f>IF(OR(25997.39262="",32598.98121=""),"-",32598.98121/25997.39262*100)</f>
        <v>125.39327188112452</v>
      </c>
      <c r="E19" s="42">
        <f>IF(25997.39262="","-",25997.39262/1650717.59844*100)</f>
        <v>1.5749146095351902</v>
      </c>
      <c r="F19" s="42">
        <f>IF(32598.98121="","-",32598.98121/2112289.07699*100)</f>
        <v>1.5433011307549518</v>
      </c>
      <c r="G19" s="42">
        <f>IF(OR(1881236.72041="",23144.08112="",25997.39262=""),"-",(25997.39262-23144.08112)/1881236.72041*100)</f>
        <v>0.1516721138304245</v>
      </c>
      <c r="H19" s="42">
        <f>IF(OR(1650717.59844="",32598.98121="",25997.39262=""),"-",(32598.98121-25997.39262)/1650717.59844*100)</f>
        <v>0.39992234869482168</v>
      </c>
    </row>
    <row r="20" spans="1:8" s="7" customFormat="1" x14ac:dyDescent="0.25">
      <c r="A20" s="55" t="s">
        <v>259</v>
      </c>
      <c r="B20" s="63" t="s">
        <v>206</v>
      </c>
      <c r="C20" s="48">
        <v>33847.679250000001</v>
      </c>
      <c r="D20" s="41">
        <f>IF(32110.09016="","-",33847.67925/32110.09016*100)</f>
        <v>105.4113491470807</v>
      </c>
      <c r="E20" s="41">
        <f>IF(32110.09016="","-",32110.09016/1650717.59844*100)</f>
        <v>1.9452200782462994</v>
      </c>
      <c r="F20" s="41">
        <f>IF(33847.67925="","-",33847.67925/2112289.07699*100)</f>
        <v>1.60241699958193</v>
      </c>
      <c r="G20" s="41">
        <f>IF(1881236.72041="","-",(32110.09016-32100.82516)/1881236.72041*100)</f>
        <v>4.9249517083528897E-4</v>
      </c>
      <c r="H20" s="41">
        <f>IF(1650717.59844="","-",(33847.67925-32110.09016)/1650717.59844*100)</f>
        <v>0.10526265011302348</v>
      </c>
    </row>
    <row r="21" spans="1:8" s="7" customFormat="1" x14ac:dyDescent="0.25">
      <c r="A21" s="57" t="s">
        <v>260</v>
      </c>
      <c r="B21" s="64" t="s">
        <v>207</v>
      </c>
      <c r="C21" s="49">
        <v>21124.70462</v>
      </c>
      <c r="D21" s="42">
        <f>IF(OR(15756.2591="",21124.70462=""),"-",21124.70462/15756.2591*100)</f>
        <v>134.0718281282897</v>
      </c>
      <c r="E21" s="42">
        <f>IF(15756.2591="","-",15756.2591/1650717.59844*100)</f>
        <v>0.9545096699090353</v>
      </c>
      <c r="F21" s="42">
        <f>IF(21124.70462="","-",21124.70462/2112289.07699*100)</f>
        <v>1.0000858713004654</v>
      </c>
      <c r="G21" s="42">
        <f>IF(OR(1881236.72041="",16924.7584="",15756.2591=""),"-",(15756.2591-16924.7584)/1881236.72041*100)</f>
        <v>-6.211335805444701E-2</v>
      </c>
      <c r="H21" s="42">
        <f>IF(OR(1650717.59844="",21124.70462="",15756.2591=""),"-",(21124.70462-15756.2591)/1650717.59844*100)</f>
        <v>0.3252188941993116</v>
      </c>
    </row>
    <row r="22" spans="1:8" s="7" customFormat="1" x14ac:dyDescent="0.25">
      <c r="A22" s="57" t="s">
        <v>261</v>
      </c>
      <c r="B22" s="64" t="s">
        <v>208</v>
      </c>
      <c r="C22" s="49">
        <v>12722.974630000001</v>
      </c>
      <c r="D22" s="42">
        <f>IF(OR(16353.83106="",12722.97463=""),"-",12722.97463/16353.83106*100)</f>
        <v>77.798129278216962</v>
      </c>
      <c r="E22" s="42">
        <f>IF(16353.83106="","-",16353.83106/1650717.59844*100)</f>
        <v>0.99071040833726387</v>
      </c>
      <c r="F22" s="42">
        <f>IF(12722.97463="","-",12722.97463/2112289.07699*100)</f>
        <v>0.60233112828146462</v>
      </c>
      <c r="G22" s="42">
        <f>IF(OR(1881236.72041="",15176.06676="",16353.83106=""),"-",(16353.83106-15176.06676)/1881236.72041*100)</f>
        <v>6.2605853225282393E-2</v>
      </c>
      <c r="H22" s="42">
        <f>IF(OR(1650717.59844="",12722.97463="",16353.83106=""),"-",(12722.97463-16353.83106)/1650717.59844*100)</f>
        <v>-0.21995624408628814</v>
      </c>
    </row>
    <row r="23" spans="1:8" s="7" customFormat="1" ht="25.5" x14ac:dyDescent="0.25">
      <c r="A23" s="55" t="s">
        <v>262</v>
      </c>
      <c r="B23" s="63" t="s">
        <v>24</v>
      </c>
      <c r="C23" s="48">
        <v>71004.244439999995</v>
      </c>
      <c r="D23" s="41">
        <f>IF(59265.73191="","-",71004.24444/59265.73191*100)</f>
        <v>119.80657650162139</v>
      </c>
      <c r="E23" s="41">
        <f>IF(59265.73191="","-",59265.73191/1650717.59844*100)</f>
        <v>3.5903010888118412</v>
      </c>
      <c r="F23" s="41">
        <f>IF(71004.24444="","-",71004.24444/2112289.07699*100)</f>
        <v>3.3614832938103643</v>
      </c>
      <c r="G23" s="41">
        <f>IF(1881236.72041="","-",(59265.73191-60166.07378)/1881236.72041*100)</f>
        <v>-4.7859041886221233E-2</v>
      </c>
      <c r="H23" s="41">
        <f>IF(1650717.59844="","-",(71004.24444-59265.73191)/1650717.59844*100)</f>
        <v>0.71111573179406318</v>
      </c>
    </row>
    <row r="24" spans="1:8" s="7" customFormat="1" x14ac:dyDescent="0.25">
      <c r="A24" s="57" t="s">
        <v>264</v>
      </c>
      <c r="B24" s="64" t="s">
        <v>209</v>
      </c>
      <c r="C24" s="49">
        <v>25959.08944</v>
      </c>
      <c r="D24" s="42">
        <f>IF(OR(26161.84986="",25959.08944=""),"-",25959.08944/26161.84986*100)</f>
        <v>99.224976746349995</v>
      </c>
      <c r="E24" s="42">
        <f>IF(26161.84986="","-",26161.84986/1650717.59844*100)</f>
        <v>1.5848773820987965</v>
      </c>
      <c r="F24" s="42">
        <f>IF(25959.08944="","-",25959.08944/2112289.07699*100)</f>
        <v>1.2289553415194265</v>
      </c>
      <c r="G24" s="42">
        <f>IF(OR(1881236.72041="",22583.27664="",26161.84986=""),"-",(26161.84986-22583.27664)/1881236.72041*100)</f>
        <v>0.19022450397524018</v>
      </c>
      <c r="H24" s="42">
        <f>IF(OR(1650717.59844="",25959.08944="",26161.84986=""),"-",(25959.08944-26161.84986)/1650717.59844*100)</f>
        <v>-1.2283168253104958E-2</v>
      </c>
    </row>
    <row r="25" spans="1:8" s="7" customFormat="1" ht="25.5" x14ac:dyDescent="0.25">
      <c r="A25" s="57" t="s">
        <v>319</v>
      </c>
      <c r="B25" s="64" t="s">
        <v>210</v>
      </c>
      <c r="C25" s="49">
        <v>682.58007999999995</v>
      </c>
      <c r="D25" s="42" t="s">
        <v>222</v>
      </c>
      <c r="E25" s="42">
        <f>IF(382.18437="","-",382.18437/1650717.59844*100)</f>
        <v>2.3152619827957299E-2</v>
      </c>
      <c r="F25" s="42">
        <f>IF(682.58008="","-",682.58008/2112289.07699*100)</f>
        <v>3.2314709545943052E-2</v>
      </c>
      <c r="G25" s="42">
        <f>IF(OR(1881236.72041="",418.16655="",382.18437=""),"-",(382.18437-418.16655)/1881236.72041*100)</f>
        <v>-1.9126875214384475E-3</v>
      </c>
      <c r="H25" s="42">
        <f>IF(OR(1650717.59844="",682.58008="",382.18437=""),"-",(682.58008-382.18437)/1650717.59844*100)</f>
        <v>1.8197886197123418E-2</v>
      </c>
    </row>
    <row r="26" spans="1:8" s="7" customFormat="1" x14ac:dyDescent="0.25">
      <c r="A26" s="57" t="s">
        <v>265</v>
      </c>
      <c r="B26" s="64" t="s">
        <v>211</v>
      </c>
      <c r="C26" s="49">
        <v>10971.648219999999</v>
      </c>
      <c r="D26" s="42">
        <f>IF(OR(8838.87886="",10971.64822=""),"-",10971.64822/8838.87886*100)</f>
        <v>124.12941045783263</v>
      </c>
      <c r="E26" s="42">
        <f>IF(8838.87886="","-",8838.87886/1650717.59844*100)</f>
        <v>0.53545675337520637</v>
      </c>
      <c r="F26" s="42">
        <f>IF(10971.64822="","-",10971.64822/2112289.07699*100)</f>
        <v>0.51941982465934711</v>
      </c>
      <c r="G26" s="42">
        <f>IF(OR(1881236.72041="",10479.62515="",8838.87886=""),"-",(8838.87886-10479.62515)/1881236.72041*100)</f>
        <v>-8.7216365287746039E-2</v>
      </c>
      <c r="H26" s="42">
        <f>IF(OR(1650717.59844="",10971.64822="",8838.87886=""),"-",(10971.64822-8838.87886)/1650717.59844*100)</f>
        <v>0.12920255784608817</v>
      </c>
    </row>
    <row r="27" spans="1:8" s="7" customFormat="1" ht="14.25" customHeight="1" x14ac:dyDescent="0.25">
      <c r="A27" s="57" t="s">
        <v>266</v>
      </c>
      <c r="B27" s="64" t="s">
        <v>163</v>
      </c>
      <c r="C27" s="49">
        <v>140.17528999999999</v>
      </c>
      <c r="D27" s="42">
        <f>IF(OR(112.06291="",140.17529=""),"-",140.17529/112.06291*100)</f>
        <v>125.08624842956513</v>
      </c>
      <c r="E27" s="42">
        <f>IF(112.06291="","-",112.06291/1650717.59844*100)</f>
        <v>6.7887390372468508E-3</v>
      </c>
      <c r="F27" s="42">
        <f>IF(140.17529="","-",140.17529/2112289.07699*100)</f>
        <v>6.6361792771162257E-3</v>
      </c>
      <c r="G27" s="42">
        <f>IF(OR(1881236.72041="",135.79225="",112.06291=""),"-",(112.06291-135.79225)/1881236.72041*100)</f>
        <v>-1.2613691696826107E-3</v>
      </c>
      <c r="H27" s="42">
        <f>IF(OR(1650717.59844="",140.17529="",112.06291=""),"-",(140.17529-112.06291)/1650717.59844*100)</f>
        <v>1.7030399401186133E-3</v>
      </c>
    </row>
    <row r="28" spans="1:8" s="7" customFormat="1" ht="38.25" x14ac:dyDescent="0.25">
      <c r="A28" s="57" t="s">
        <v>267</v>
      </c>
      <c r="B28" s="64" t="s">
        <v>164</v>
      </c>
      <c r="C28" s="49">
        <v>2961.7385399999998</v>
      </c>
      <c r="D28" s="42">
        <f>IF(OR(2162.32788="",2961.73854=""),"-",2961.73854/2162.32788*100)</f>
        <v>136.9699094847725</v>
      </c>
      <c r="E28" s="42">
        <f>IF(2162.32788="","-",2162.32788/1650717.59844*100)</f>
        <v>0.13099320453380359</v>
      </c>
      <c r="F28" s="42">
        <f>IF(2961.73854="","-",2961.73854/2112289.07699*100)</f>
        <v>0.14021464070724923</v>
      </c>
      <c r="G28" s="42">
        <f>IF(OR(1881236.72041="",2575.57036="",2162.32788=""),"-",(2162.32788-2575.57036)/1881236.72041*100)</f>
        <v>-2.1966532734377923E-2</v>
      </c>
      <c r="H28" s="42">
        <f>IF(OR(1650717.59844="",2961.73854="",2162.32788=""),"-",(2961.73854-2162.32788)/1650717.59844*100)</f>
        <v>4.8428069147350088E-2</v>
      </c>
    </row>
    <row r="29" spans="1:8" s="7" customFormat="1" ht="38.25" x14ac:dyDescent="0.25">
      <c r="A29" s="57" t="s">
        <v>268</v>
      </c>
      <c r="B29" s="64" t="s">
        <v>165</v>
      </c>
      <c r="C29" s="49">
        <v>6055.0013200000003</v>
      </c>
      <c r="D29" s="42">
        <f>IF(OR(4360.77384="",6055.00132=""),"-",6055.00132/4360.77384*100)</f>
        <v>138.85153282794414</v>
      </c>
      <c r="E29" s="42">
        <f>IF(4360.77384="","-",4360.77384/1650717.59844*100)</f>
        <v>0.26417443202405549</v>
      </c>
      <c r="F29" s="42">
        <f>IF(6055.00132="","-",6055.00132/2112289.07699*100)</f>
        <v>0.28665590263944096</v>
      </c>
      <c r="G29" s="42">
        <f>IF(OR(1881236.72041="",8446.19555="",4360.77384=""),"-",(4360.77384-8446.19555)/1881236.72041*100)</f>
        <v>-0.21716680658400164</v>
      </c>
      <c r="H29" s="42">
        <f>IF(OR(1650717.59844="",6055.00132="",4360.77384=""),"-",(6055.00132-4360.77384)/1650717.59844*100)</f>
        <v>0.10263581618086093</v>
      </c>
    </row>
    <row r="30" spans="1:8" s="7" customFormat="1" ht="25.5" x14ac:dyDescent="0.25">
      <c r="A30" s="57" t="s">
        <v>269</v>
      </c>
      <c r="B30" s="64" t="s">
        <v>166</v>
      </c>
      <c r="C30" s="49">
        <v>382.40496999999999</v>
      </c>
      <c r="D30" s="42">
        <f>IF(OR(525.5233="",382.40497=""),"-",382.40497/525.5233*100)</f>
        <v>72.766511018636095</v>
      </c>
      <c r="E30" s="42">
        <f>IF(525.5233="","-",525.5233/1650717.59844*100)</f>
        <v>3.1836051211705886E-2</v>
      </c>
      <c r="F30" s="42">
        <f>IF(382.40497="","-",382.40497/2112289.07699*100)</f>
        <v>1.8103817993743779E-2</v>
      </c>
      <c r="G30" s="42">
        <f>IF(OR(1881236.72041="",439.49207="",525.5233=""),"-",(525.5233-439.49207)/1881236.72041*100)</f>
        <v>4.5731209191605688E-3</v>
      </c>
      <c r="H30" s="42">
        <f>IF(OR(1650717.59844="",382.40497="",525.5233=""),"-",(382.40497-525.5233)/1650717.59844*100)</f>
        <v>-8.6700674988412912E-3</v>
      </c>
    </row>
    <row r="31" spans="1:8" s="7" customFormat="1" ht="25.5" x14ac:dyDescent="0.25">
      <c r="A31" s="57" t="s">
        <v>270</v>
      </c>
      <c r="B31" s="64" t="s">
        <v>167</v>
      </c>
      <c r="C31" s="49">
        <v>23851.60658</v>
      </c>
      <c r="D31" s="42">
        <f>IF(OR(16722.13089="",23851.60658=""),"-",23851.60658/16722.13089*100)</f>
        <v>142.63497120611282</v>
      </c>
      <c r="E31" s="42">
        <f>IF(16722.13089="","-",16722.13089/1650717.59844*100)</f>
        <v>1.013021906703069</v>
      </c>
      <c r="F31" s="42">
        <f>IF(23851.60658="","-",23851.60658/2112289.07699*100)</f>
        <v>1.1291828774680976</v>
      </c>
      <c r="G31" s="42">
        <f>IF(OR(1881236.72041="",15087.95521="",16722.13089=""),"-",(16722.13089-15087.95521)/1881236.72041*100)</f>
        <v>8.6867094516624416E-2</v>
      </c>
      <c r="H31" s="42">
        <f>IF(OR(1650717.59844="",23851.60658="",16722.13089=""),"-",(23851.60658-16722.13089)/1650717.59844*100)</f>
        <v>0.43190159823446872</v>
      </c>
    </row>
    <row r="32" spans="1:8" s="7" customFormat="1" ht="25.5" x14ac:dyDescent="0.25">
      <c r="A32" s="55" t="s">
        <v>271</v>
      </c>
      <c r="B32" s="63" t="s">
        <v>168</v>
      </c>
      <c r="C32" s="48">
        <v>248437.27249</v>
      </c>
      <c r="D32" s="41">
        <f>IF(235009.37772="","-",248437.27249/235009.37772*100)</f>
        <v>105.71376976539149</v>
      </c>
      <c r="E32" s="41">
        <f>IF(235009.37772="","-",235009.37772/1650717.59844*100)</f>
        <v>14.236800888419321</v>
      </c>
      <c r="F32" s="41">
        <f>IF(248437.27249="","-",248437.27249/2112289.07699*100)</f>
        <v>11.761518591196889</v>
      </c>
      <c r="G32" s="41">
        <f>IF(1881236.72041="","-",(235009.37772-328299.58075)/1881236.72041*100)</f>
        <v>-4.9589826744221854</v>
      </c>
      <c r="H32" s="41">
        <f>IF(1650717.59844="","-",(248437.27249-235009.37772)/1650717.59844*100)</f>
        <v>0.81345802472148832</v>
      </c>
    </row>
    <row r="33" spans="1:8" s="7" customFormat="1" x14ac:dyDescent="0.25">
      <c r="A33" s="57" t="s">
        <v>272</v>
      </c>
      <c r="B33" s="64" t="s">
        <v>212</v>
      </c>
      <c r="C33" s="49">
        <v>2438.7504899999999</v>
      </c>
      <c r="D33" s="42">
        <f>IF(OR(3293.92796="",2438.75049=""),"-",2438.75049/3293.92796*100)</f>
        <v>74.037760376520197</v>
      </c>
      <c r="E33" s="42">
        <f>IF(3293.92796="","-",3293.92796/1650717.59844*100)</f>
        <v>0.19954521373691689</v>
      </c>
      <c r="F33" s="42">
        <f>IF(2438.75049="","-",2438.75049/2112289.07699*100)</f>
        <v>0.11545533784017885</v>
      </c>
      <c r="G33" s="42">
        <f>IF(OR(1881236.72041="",5847.12324="",3293.92796=""),"-",(3293.92796-5847.12324)/1881236.72041*100)</f>
        <v>-0.1357189795574239</v>
      </c>
      <c r="H33" s="42">
        <f>IF(OR(1650717.59844="",2438.75049="",3293.92796=""),"-",(2438.75049-3293.92796)/1650717.59844*100)</f>
        <v>-5.1806406547563313E-2</v>
      </c>
    </row>
    <row r="34" spans="1:8" s="7" customFormat="1" ht="25.5" x14ac:dyDescent="0.25">
      <c r="A34" s="57" t="s">
        <v>273</v>
      </c>
      <c r="B34" s="64" t="s">
        <v>169</v>
      </c>
      <c r="C34" s="49">
        <v>148305.49588999999</v>
      </c>
      <c r="D34" s="42">
        <f>IF(OR(126692.64052="",148305.49589=""),"-",148305.49589/126692.64052*100)</f>
        <v>117.05928243447428</v>
      </c>
      <c r="E34" s="42">
        <f>IF(126692.64052="","-",126692.64052/1650717.59844*100)</f>
        <v>7.6750039279722984</v>
      </c>
      <c r="F34" s="42">
        <f>IF(148305.49589="","-",148305.49589/2112289.07699*100)</f>
        <v>7.0210795248411024</v>
      </c>
      <c r="G34" s="42">
        <f>IF(OR(1881236.72041="",167814.99887="",126692.64052=""),"-",(126692.64052-167814.99887)/1881236.72041*100)</f>
        <v>-2.1859215219357258</v>
      </c>
      <c r="H34" s="42">
        <f>IF(OR(1650717.59844="",148305.49589="",126692.64052=""),"-",(148305.49589-126692.64052)/1650717.59844*100)</f>
        <v>1.3093005969297884</v>
      </c>
    </row>
    <row r="35" spans="1:8" s="7" customFormat="1" ht="25.5" x14ac:dyDescent="0.25">
      <c r="A35" s="57" t="s">
        <v>320</v>
      </c>
      <c r="B35" s="64" t="s">
        <v>213</v>
      </c>
      <c r="C35" s="49">
        <v>97691.749609999999</v>
      </c>
      <c r="D35" s="42">
        <f>IF(OR(96912.87432="",97691.74961=""),"-",97691.74961/96912.87432*100)</f>
        <v>100.80368608966049</v>
      </c>
      <c r="E35" s="42">
        <f>IF(96912.87432="","-",96912.87432/1650717.59844*100)</f>
        <v>5.8709542087384836</v>
      </c>
      <c r="F35" s="42">
        <f>IF(97691.74961="","-",97691.74961/2112289.07699*100)</f>
        <v>4.6249232964462514</v>
      </c>
      <c r="G35" s="42">
        <f>IF(OR(1881236.72041="",138534.54476="",96912.87432=""),"-",(96912.87432-138534.54476)/1881236.72041*100)</f>
        <v>-2.2124632157365545</v>
      </c>
      <c r="H35" s="42">
        <f>IF(OR(1650717.59844="",97691.74961="",96912.87432=""),"-",(97691.74961-96912.87432)/1650717.59844*100)</f>
        <v>4.7184042305968468E-2</v>
      </c>
    </row>
    <row r="36" spans="1:8" s="7" customFormat="1" x14ac:dyDescent="0.25">
      <c r="A36" s="57" t="s">
        <v>358</v>
      </c>
      <c r="B36" s="64" t="s">
        <v>366</v>
      </c>
      <c r="C36" s="49">
        <v>1.2765</v>
      </c>
      <c r="D36" s="42">
        <f>IF(OR(8109.93492="",1.2765=""),"-",1.2765/8109.93492*100)</f>
        <v>1.5739953681403896E-2</v>
      </c>
      <c r="E36" s="42">
        <f>IF(8109.93492="","-",8109.93492/1650717.59844*100)</f>
        <v>0.49129753797162157</v>
      </c>
      <c r="F36" s="42">
        <f>IF(1.2765="","-",1.2765/2112289.07699*100)</f>
        <v>6.0432069355724994E-5</v>
      </c>
      <c r="G36" s="42">
        <f>IF(OR(1881236.72041="",16102.91388="",8109.93492=""),"-",(8109.93492-16102.91388)/1881236.72041*100)</f>
        <v>-0.42487895719247898</v>
      </c>
      <c r="H36" s="42">
        <f>IF(OR(1650717.59844="",1.2765="",8109.93492=""),"-",(1.2765-8109.93492)/1650717.59844*100)</f>
        <v>-0.49122020796670701</v>
      </c>
    </row>
    <row r="37" spans="1:8" s="7" customFormat="1" ht="25.5" x14ac:dyDescent="0.25">
      <c r="A37" s="55" t="s">
        <v>274</v>
      </c>
      <c r="B37" s="63" t="s">
        <v>170</v>
      </c>
      <c r="C37" s="48">
        <v>5005.8808099999997</v>
      </c>
      <c r="D37" s="41" t="s">
        <v>239</v>
      </c>
      <c r="E37" s="41">
        <f>IF(3265.23997="","-",3265.23997/1650717.59844*100)</f>
        <v>0.19780730350762565</v>
      </c>
      <c r="F37" s="41">
        <f>IF(5005.88081="","-",5005.88081/2112289.07699*100)</f>
        <v>0.23698843423142404</v>
      </c>
      <c r="G37" s="41">
        <f>IF(1881236.72041="","-",(3265.23997-3661.7338)/1881236.72041*100)</f>
        <v>-2.1076232762115513E-2</v>
      </c>
      <c r="H37" s="41">
        <f>IF(1650717.59844="","-",(5005.88081-3265.23997)/1650717.59844*100)</f>
        <v>0.10544752425520761</v>
      </c>
    </row>
    <row r="38" spans="1:8" s="7" customFormat="1" x14ac:dyDescent="0.25">
      <c r="A38" s="57" t="s">
        <v>275</v>
      </c>
      <c r="B38" s="64" t="s">
        <v>216</v>
      </c>
      <c r="C38" s="49">
        <v>527.52229</v>
      </c>
      <c r="D38" s="42">
        <f>IF(OR(487.48237="",527.52229=""),"-",527.52229/487.48237*100)</f>
        <v>108.21361396105462</v>
      </c>
      <c r="E38" s="42">
        <f>IF(487.48237="","-",487.48237/1650717.59844*100)</f>
        <v>2.9531542552202271E-2</v>
      </c>
      <c r="F38" s="42">
        <f>IF(527.52229="","-",527.52229/2112289.07699*100)</f>
        <v>2.4973962879726492E-2</v>
      </c>
      <c r="G38" s="42">
        <f>IF(OR(1881236.72041="",435.6481="",487.48237=""),"-",(487.48237-435.6481)/1881236.72041*100)</f>
        <v>2.7553294828682245E-3</v>
      </c>
      <c r="H38" s="42">
        <f>IF(OR(1650717.59844="",527.52229="",487.48237=""),"-",(527.52229-487.48237)/1650717.59844*100)</f>
        <v>2.4256069019824747E-3</v>
      </c>
    </row>
    <row r="39" spans="1:8" s="7" customFormat="1" ht="25.5" x14ac:dyDescent="0.25">
      <c r="A39" s="57" t="s">
        <v>276</v>
      </c>
      <c r="B39" s="64" t="s">
        <v>171</v>
      </c>
      <c r="C39" s="49">
        <v>3871.3372300000001</v>
      </c>
      <c r="D39" s="42" t="s">
        <v>222</v>
      </c>
      <c r="E39" s="42">
        <f>IF(2125.96257="","-",2125.96257/1650717.59844*100)</f>
        <v>0.12879020445466427</v>
      </c>
      <c r="F39" s="42">
        <f>IF(3871.33723="","-",3871.33723/2112289.07699*100)</f>
        <v>0.18327686641814359</v>
      </c>
      <c r="G39" s="42">
        <f>IF(OR(1881236.72041="",2249.52903="",2125.96257=""),"-",(2125.96257-2249.52903)/1881236.72041*100)</f>
        <v>-6.5683631761700731E-3</v>
      </c>
      <c r="H39" s="42">
        <f>IF(OR(1650717.59844="",3871.33723="",2125.96257=""),"-",(3871.33723-2125.96257)/1650717.59844*100)</f>
        <v>0.10573429771691142</v>
      </c>
    </row>
    <row r="40" spans="1:8" s="7" customFormat="1" ht="63.75" x14ac:dyDescent="0.25">
      <c r="A40" s="57" t="s">
        <v>277</v>
      </c>
      <c r="B40" s="64" t="s">
        <v>214</v>
      </c>
      <c r="C40" s="49">
        <v>607.02129000000002</v>
      </c>
      <c r="D40" s="42">
        <f>IF(OR(651.79503="",607.02129=""),"-",607.02129/651.79503*100)</f>
        <v>93.130702454113532</v>
      </c>
      <c r="E40" s="42">
        <f>IF(651.79503="","-",651.79503/1650717.59844*100)</f>
        <v>3.9485556500759099E-2</v>
      </c>
      <c r="F40" s="42">
        <f>IF(607.02129="","-",607.02129/2112289.07699*100)</f>
        <v>2.8737604933553977E-2</v>
      </c>
      <c r="G40" s="42">
        <f>IF(OR(1881236.72041="",976.55667="",651.79503=""),"-",(651.79503-976.55667)/1881236.72041*100)</f>
        <v>-1.7263199068813673E-2</v>
      </c>
      <c r="H40" s="42">
        <f>IF(OR(1650717.59844="",607.02129="",651.79503=""),"-",(607.02129-651.79503)/1650717.59844*100)</f>
        <v>-2.7123803636862603E-3</v>
      </c>
    </row>
    <row r="41" spans="1:8" s="7" customFormat="1" ht="25.5" x14ac:dyDescent="0.25">
      <c r="A41" s="55" t="s">
        <v>278</v>
      </c>
      <c r="B41" s="63" t="s">
        <v>172</v>
      </c>
      <c r="C41" s="48">
        <v>339716.82166000002</v>
      </c>
      <c r="D41" s="41">
        <f>IF(293119.62694="","-",339716.82166/293119.62694*100)</f>
        <v>115.89698895514022</v>
      </c>
      <c r="E41" s="41">
        <f>IF(293119.62694="","-",293119.62694/1650717.59844*100)</f>
        <v>17.757103166344791</v>
      </c>
      <c r="F41" s="41">
        <f>IF(339716.82166="","-",339716.82166/2112289.07699*100)</f>
        <v>16.082875462486157</v>
      </c>
      <c r="G41" s="41">
        <f>IF(1881236.72041="","-",(293119.62694-294106.22754)/1881236.72041*100)</f>
        <v>-5.2444255914002341E-2</v>
      </c>
      <c r="H41" s="41">
        <f>IF(1650717.59844="","-",(339716.82166-293119.62694)/1650717.59844*100)</f>
        <v>2.8228447291066869</v>
      </c>
    </row>
    <row r="42" spans="1:8" s="7" customFormat="1" x14ac:dyDescent="0.25">
      <c r="A42" s="57" t="s">
        <v>279</v>
      </c>
      <c r="B42" s="64" t="s">
        <v>25</v>
      </c>
      <c r="C42" s="49">
        <v>3931.1084900000001</v>
      </c>
      <c r="D42" s="42">
        <f>IF(OR(4050.09241="",3931.10849=""),"-",3931.10849/4050.09241*100)</f>
        <v>97.062192464887488</v>
      </c>
      <c r="E42" s="42">
        <f>IF(4050.09241="","-",4050.09241/1650717.59844*100)</f>
        <v>0.24535343985109953</v>
      </c>
      <c r="F42" s="42">
        <f>IF(3931.10849="","-",3931.10849/2112289.07699*100)</f>
        <v>0.18610655770666615</v>
      </c>
      <c r="G42" s="42">
        <f>IF(OR(1881236.72041="",6982.94521="",4050.09241=""),"-",(4050.09241-6982.94521)/1881236.72041*100)</f>
        <v>-0.1559002526466105</v>
      </c>
      <c r="H42" s="42">
        <f>IF(OR(1650717.59844="",3931.10849="",4050.09241=""),"-",(3931.10849-4050.09241)/1650717.59844*100)</f>
        <v>-7.2080118436033576E-3</v>
      </c>
    </row>
    <row r="43" spans="1:8" s="7" customFormat="1" x14ac:dyDescent="0.25">
      <c r="A43" s="57" t="s">
        <v>280</v>
      </c>
      <c r="B43" s="64" t="s">
        <v>26</v>
      </c>
      <c r="C43" s="49">
        <v>4798.2869899999996</v>
      </c>
      <c r="D43" s="42">
        <f>IF(OR(5417.96018="",4798.28699=""),"-",4798.28699/5417.96018*100)</f>
        <v>88.562610845914335</v>
      </c>
      <c r="E43" s="42">
        <f>IF(5417.96018="","-",5417.96018/1650717.59844*100)</f>
        <v>0.32821847814067096</v>
      </c>
      <c r="F43" s="42">
        <f>IF(4798.28699="","-",4798.28699/2112289.07699*100)</f>
        <v>0.22716052657136926</v>
      </c>
      <c r="G43" s="42">
        <f>IF(OR(1881236.72041="",4992.88417="",5417.96018=""),"-",(5417.96018-4992.88417)/1881236.72041*100)</f>
        <v>2.2595562025142586E-2</v>
      </c>
      <c r="H43" s="42">
        <f>IF(OR(1650717.59844="",4798.28699="",5417.96018=""),"-",(4798.28699-5417.96018)/1650717.59844*100)</f>
        <v>-3.7539624620566148E-2</v>
      </c>
    </row>
    <row r="44" spans="1:8" s="7" customFormat="1" x14ac:dyDescent="0.25">
      <c r="A44" s="57" t="s">
        <v>281</v>
      </c>
      <c r="B44" s="64" t="s">
        <v>173</v>
      </c>
      <c r="C44" s="49">
        <v>13357.55472</v>
      </c>
      <c r="D44" s="42">
        <f>IF(OR(9351.29435="",13357.55472=""),"-",13357.55472/9351.29435*100)</f>
        <v>142.8417737700664</v>
      </c>
      <c r="E44" s="42">
        <f>IF(9351.29435="","-",9351.29435/1650717.59844*100)</f>
        <v>0.56649873720601152</v>
      </c>
      <c r="F44" s="42">
        <f>IF(13357.55472="","-",13357.55472/2112289.07699*100)</f>
        <v>0.63237342206183444</v>
      </c>
      <c r="G44" s="42">
        <f>IF(OR(1881236.72041="",10414.06096="",9351.29435=""),"-",(9351.29435-10414.06096)/1881236.72041*100)</f>
        <v>-5.6492976055048473E-2</v>
      </c>
      <c r="H44" s="42">
        <f>IF(OR(1650717.59844="",13357.55472="",9351.29435=""),"-",(13357.55472-9351.29435)/1650717.59844*100)</f>
        <v>0.24269810740408232</v>
      </c>
    </row>
    <row r="45" spans="1:8" s="7" customFormat="1" x14ac:dyDescent="0.25">
      <c r="A45" s="57" t="s">
        <v>282</v>
      </c>
      <c r="B45" s="64" t="s">
        <v>174</v>
      </c>
      <c r="C45" s="49">
        <v>101190.88860999999</v>
      </c>
      <c r="D45" s="42">
        <f>IF(OR(80426.24062="",101190.88861=""),"-",101190.88861/80426.24062*100)</f>
        <v>125.81825015060613</v>
      </c>
      <c r="E45" s="42">
        <f>IF(80426.24062="","-",80426.24062/1650717.59844*100)</f>
        <v>4.8721986544522391</v>
      </c>
      <c r="F45" s="42">
        <f>IF(101190.88861="","-",101190.88861/2112289.07699*100)</f>
        <v>4.79057955240655</v>
      </c>
      <c r="G45" s="42">
        <f>IF(OR(1881236.72041="",83930.61731="",80426.24062=""),"-",(80426.24062-83930.61731)/1881236.72041*100)</f>
        <v>-0.18628047453997468</v>
      </c>
      <c r="H45" s="42">
        <f>IF(OR(1650717.59844="",101190.88861="",80426.24062=""),"-",(101190.88861-80426.24062)/1650717.59844*100)</f>
        <v>1.257916436440945</v>
      </c>
    </row>
    <row r="46" spans="1:8" s="7" customFormat="1" ht="39.75" customHeight="1" x14ac:dyDescent="0.25">
      <c r="A46" s="57" t="s">
        <v>283</v>
      </c>
      <c r="B46" s="64" t="s">
        <v>175</v>
      </c>
      <c r="C46" s="49">
        <v>43185.046520000004</v>
      </c>
      <c r="D46" s="42">
        <f>IF(OR(34937.76832="",43185.04652=""),"-",43185.04652/34937.76832*100)</f>
        <v>123.60562393242181</v>
      </c>
      <c r="E46" s="42">
        <f>IF(34937.76832="","-",34937.76832/1650717.59844*100)</f>
        <v>2.1165200124489929</v>
      </c>
      <c r="F46" s="42">
        <f>IF(43185.04652="","-",43185.04652/2112289.07699*100)</f>
        <v>2.0444666873692521</v>
      </c>
      <c r="G46" s="42">
        <f>IF(OR(1881236.72041="",35245.50829="",34937.76832=""),"-",(34937.76832-35245.50829)/1881236.72041*100)</f>
        <v>-1.6358386303076504E-2</v>
      </c>
      <c r="H46" s="42">
        <f>IF(OR(1650717.59844="",43185.04652="",34937.76832=""),"-",(43185.04652-34937.76832)/1650717.59844*100)</f>
        <v>0.49961775459315616</v>
      </c>
    </row>
    <row r="47" spans="1:8" s="7" customFormat="1" x14ac:dyDescent="0.25">
      <c r="A47" s="57" t="s">
        <v>284</v>
      </c>
      <c r="B47" s="64" t="s">
        <v>176</v>
      </c>
      <c r="C47" s="49">
        <v>31005.073950000002</v>
      </c>
      <c r="D47" s="42">
        <f>IF(OR(42595.8252="",31005.07395=""),"-",31005.07395/42595.8252*100)</f>
        <v>72.788997054105678</v>
      </c>
      <c r="E47" s="42">
        <f>IF(42595.8252="","-",42595.8252/1650717.59844*100)</f>
        <v>2.5804429079967952</v>
      </c>
      <c r="F47" s="42">
        <f>IF(31005.07395="","-",31005.07395/2112289.07699*100)</f>
        <v>1.467842365315928</v>
      </c>
      <c r="G47" s="42">
        <f>IF(OR(1881236.72041="",38518.62835="",42595.8252=""),"-",(42595.8252-38518.62835)/1881236.72041*100)</f>
        <v>0.21672960163734251</v>
      </c>
      <c r="H47" s="42">
        <f>IF(OR(1650717.59844="",31005.07395="",42595.8252=""),"-",(31005.07395-42595.8252)/1650717.59844*100)</f>
        <v>-0.70216439571212907</v>
      </c>
    </row>
    <row r="48" spans="1:8" s="7" customFormat="1" x14ac:dyDescent="0.25">
      <c r="A48" s="57" t="s">
        <v>285</v>
      </c>
      <c r="B48" s="64" t="s">
        <v>27</v>
      </c>
      <c r="C48" s="49">
        <v>18122.738740000001</v>
      </c>
      <c r="D48" s="42">
        <f>IF(OR(14799.34235="",18122.73874=""),"-",18122.73874/14799.34235*100)</f>
        <v>122.45637888091696</v>
      </c>
      <c r="E48" s="42">
        <f>IF(14799.34235="","-",14799.34235/1650717.59844*100)</f>
        <v>0.89653992687701545</v>
      </c>
      <c r="F48" s="42">
        <f>IF(18122.73874="","-",18122.73874/2112289.07699*100)</f>
        <v>0.85796678766264323</v>
      </c>
      <c r="G48" s="42">
        <f>IF(OR(1881236.72041="",15723.10023="",14799.34235=""),"-",(14799.34235-15723.10023)/1881236.72041*100)</f>
        <v>-4.9103755523051545E-2</v>
      </c>
      <c r="H48" s="42">
        <f>IF(OR(1650717.59844="",18122.73874="",14799.34235=""),"-",(18122.73874-14799.34235)/1650717.59844*100)</f>
        <v>0.20133040279819844</v>
      </c>
    </row>
    <row r="49" spans="1:8" s="7" customFormat="1" x14ac:dyDescent="0.25">
      <c r="A49" s="57" t="s">
        <v>286</v>
      </c>
      <c r="B49" s="64" t="s">
        <v>28</v>
      </c>
      <c r="C49" s="49">
        <v>46005.822780000002</v>
      </c>
      <c r="D49" s="42">
        <f>IF(OR(30804.33608="",46005.82278=""),"-",46005.82278/30804.33608*100)</f>
        <v>149.34852892307489</v>
      </c>
      <c r="E49" s="42">
        <f>IF(30804.33608="","-",30804.33608/1650717.59844*100)</f>
        <v>1.8661178695321017</v>
      </c>
      <c r="F49" s="42">
        <f>IF(46005.82278="","-",46005.82278/2112289.07699*100)</f>
        <v>2.1780078911148868</v>
      </c>
      <c r="G49" s="42">
        <f>IF(OR(1881236.72041="",33670.90154="",30804.33608=""),"-",(30804.33608-33670.90154)/1881236.72041*100)</f>
        <v>-0.15237664823889116</v>
      </c>
      <c r="H49" s="42">
        <f>IF(OR(1650717.59844="",46005.82278="",30804.33608=""),"-",(46005.82278-30804.33608)/1650717.59844*100)</f>
        <v>0.92090171658471853</v>
      </c>
    </row>
    <row r="50" spans="1:8" s="7" customFormat="1" x14ac:dyDescent="0.25">
      <c r="A50" s="57" t="s">
        <v>287</v>
      </c>
      <c r="B50" s="64" t="s">
        <v>177</v>
      </c>
      <c r="C50" s="49">
        <v>78120.300860000003</v>
      </c>
      <c r="D50" s="42">
        <f>IF(OR(70736.76743="",78120.30086=""),"-",78120.30086/70736.76743*100)</f>
        <v>110.43804190982662</v>
      </c>
      <c r="E50" s="42">
        <f>IF(70736.76743="","-",70736.76743/1650717.59844*100)</f>
        <v>4.2852131398398692</v>
      </c>
      <c r="F50" s="42">
        <f>IF(78120.30086="","-",78120.30086/2112289.07699*100)</f>
        <v>3.6983716722770255</v>
      </c>
      <c r="G50" s="42">
        <f>IF(OR(1881236.72041="",64627.58148="",70736.76743=""),"-",(70736.76743-64627.58148)/1881236.72041*100)</f>
        <v>0.32474307373016614</v>
      </c>
      <c r="H50" s="42">
        <f>IF(OR(1650717.59844="",78120.30086="",70736.76743=""),"-",(78120.30086-70736.76743)/1650717.59844*100)</f>
        <v>0.44729234346188324</v>
      </c>
    </row>
    <row r="51" spans="1:8" s="7" customFormat="1" ht="25.5" x14ac:dyDescent="0.25">
      <c r="A51" s="55" t="s">
        <v>288</v>
      </c>
      <c r="B51" s="63" t="s">
        <v>220</v>
      </c>
      <c r="C51" s="48">
        <v>374413.99057000002</v>
      </c>
      <c r="D51" s="41">
        <f>IF(289587.70242="","-",374413.99057/289587.70242*100)</f>
        <v>129.29208921550585</v>
      </c>
      <c r="E51" s="41">
        <f>IF(289587.70242="","-",289587.70242/1650717.59844*100)</f>
        <v>17.543140189071284</v>
      </c>
      <c r="F51" s="41">
        <f>IF(374413.99057="","-",374413.99057/2112289.07699*100)</f>
        <v>17.725509005781436</v>
      </c>
      <c r="G51" s="41">
        <f>IF(1881236.72041="","-",(289587.70242-330149.09572)/1881236.72041*100)</f>
        <v>-2.1561025712468536</v>
      </c>
      <c r="H51" s="41">
        <f>IF(1650717.59844="","-",(374413.99057-289587.70242)/1650717.59844*100)</f>
        <v>5.1387522753840251</v>
      </c>
    </row>
    <row r="52" spans="1:8" s="7" customFormat="1" x14ac:dyDescent="0.25">
      <c r="A52" s="57" t="s">
        <v>289</v>
      </c>
      <c r="B52" s="64" t="s">
        <v>178</v>
      </c>
      <c r="C52" s="49">
        <v>20023.731489999998</v>
      </c>
      <c r="D52" s="42">
        <f>IF(OR(13641.24317="",20023.73149=""),"-",20023.73149/13641.24317*100)</f>
        <v>146.78817201966203</v>
      </c>
      <c r="E52" s="42">
        <f>IF(13641.24317="","-",13641.24317/1650717.59844*100)</f>
        <v>0.82638260977477718</v>
      </c>
      <c r="F52" s="42">
        <f>IF(20023.73149="","-",20023.73149/2112289.07699*100)</f>
        <v>0.94796359589823298</v>
      </c>
      <c r="G52" s="42">
        <f>IF(OR(1881236.72041="",16402.60636="",13641.24317=""),"-",(13641.24317-16402.60636)/1881236.72041*100)</f>
        <v>-0.14678446152157745</v>
      </c>
      <c r="H52" s="42">
        <f>IF(OR(1650717.59844="",20023.73149="",13641.24317=""),"-",(20023.73149-13641.24317)/1650717.59844*100)</f>
        <v>0.38664931700199523</v>
      </c>
    </row>
    <row r="53" spans="1:8" s="7" customFormat="1" x14ac:dyDescent="0.25">
      <c r="A53" s="57" t="s">
        <v>290</v>
      </c>
      <c r="B53" s="64" t="s">
        <v>29</v>
      </c>
      <c r="C53" s="49">
        <v>20519.514169999999</v>
      </c>
      <c r="D53" s="42">
        <f>IF(OR(17816.96458="",20519.51417=""),"-",20519.51417/17816.96458*100)</f>
        <v>115.16840636835346</v>
      </c>
      <c r="E53" s="42">
        <f>IF(17816.96458="","-",17816.96458/1650717.59844*100)</f>
        <v>1.079346618515354</v>
      </c>
      <c r="F53" s="42">
        <f>IF(20519.51417="","-",20519.51417/2112289.07699*100)</f>
        <v>0.97143494200330716</v>
      </c>
      <c r="G53" s="42">
        <f>IF(OR(1881236.72041="",19857.43197="",17816.96458=""),"-",(17816.96458-19857.43197)/1881236.72041*100)</f>
        <v>-0.10846414849670268</v>
      </c>
      <c r="H53" s="42">
        <f>IF(OR(1650717.59844="",20519.51417="",17816.96458=""),"-",(20519.51417-17816.96458)/1650717.59844*100)</f>
        <v>0.16371968121949057</v>
      </c>
    </row>
    <row r="54" spans="1:8" s="7" customFormat="1" x14ac:dyDescent="0.25">
      <c r="A54" s="57" t="s">
        <v>291</v>
      </c>
      <c r="B54" s="64" t="s">
        <v>179</v>
      </c>
      <c r="C54" s="49">
        <v>30525.83929</v>
      </c>
      <c r="D54" s="42" t="s">
        <v>104</v>
      </c>
      <c r="E54" s="42">
        <f>IF(19693.15185="","-",19693.15185/1650717.59844*100)</f>
        <v>1.1930055067330041</v>
      </c>
      <c r="F54" s="42">
        <f>IF(30525.83929="","-",30525.83929/2112289.07699*100)</f>
        <v>1.4451544356560868</v>
      </c>
      <c r="G54" s="42">
        <f>IF(OR(1881236.72041="",24151.36886="",19693.15185=""),"-",(19693.15185-24151.36886)/1881236.72041*100)</f>
        <v>-0.23698330792885908</v>
      </c>
      <c r="H54" s="42">
        <f>IF(OR(1650717.59844="",30525.83929="",19693.15185=""),"-",(30525.83929-19693.15185)/1650717.59844*100)</f>
        <v>0.65624110691237325</v>
      </c>
    </row>
    <row r="55" spans="1:8" s="7" customFormat="1" ht="25.5" x14ac:dyDescent="0.25">
      <c r="A55" s="57" t="s">
        <v>292</v>
      </c>
      <c r="B55" s="64" t="s">
        <v>180</v>
      </c>
      <c r="C55" s="49">
        <v>33926.559730000001</v>
      </c>
      <c r="D55" s="42">
        <f>IF(OR(29510.36472="",33926.55973=""),"-",33926.55973/29510.36472*100)</f>
        <v>114.96489471377838</v>
      </c>
      <c r="E55" s="42">
        <f>IF(29510.36472="","-",29510.36472/1650717.59844*100)</f>
        <v>1.7877294546255869</v>
      </c>
      <c r="F55" s="42">
        <f>IF(33926.55973="","-",33926.55973/2112289.07699*100)</f>
        <v>1.6061513596588379</v>
      </c>
      <c r="G55" s="42">
        <f>IF(OR(1881236.72041="",34181.59182="",29510.36472=""),"-",(29510.36472-34181.59182)/1881236.72041*100)</f>
        <v>-0.24830618333783874</v>
      </c>
      <c r="H55" s="42">
        <f>IF(OR(1650717.59844="",33926.55973="",29510.36472=""),"-",(33926.55973-29510.36472)/1650717.59844*100)</f>
        <v>0.26753183065192349</v>
      </c>
    </row>
    <row r="56" spans="1:8" s="7" customFormat="1" ht="16.5" customHeight="1" x14ac:dyDescent="0.25">
      <c r="A56" s="57" t="s">
        <v>293</v>
      </c>
      <c r="B56" s="64" t="s">
        <v>181</v>
      </c>
      <c r="C56" s="49">
        <v>96772.636910000001</v>
      </c>
      <c r="D56" s="42">
        <f>IF(OR(76159.96153="",96772.63691=""),"-",96772.63691/76159.96153*100)</f>
        <v>127.06497609230081</v>
      </c>
      <c r="E56" s="42">
        <f>IF(76159.96153="","-",76159.96153/1650717.59844*100)</f>
        <v>4.6137486873572122</v>
      </c>
      <c r="F56" s="42">
        <f>IF(96772.63691="","-",96772.63691/2112289.07699*100)</f>
        <v>4.5814106584265666</v>
      </c>
      <c r="G56" s="42">
        <f>IF(OR(1881236.72041="",88203.43669="",76159.96153=""),"-",(76159.96153-88203.43669)/1881236.72041*100)</f>
        <v>-0.64018924515651732</v>
      </c>
      <c r="H56" s="42">
        <f>IF(OR(1650717.59844="",96772.63691="",76159.96153=""),"-",(96772.63691-76159.96153)/1650717.59844*100)</f>
        <v>1.2487099791920724</v>
      </c>
    </row>
    <row r="57" spans="1:8" s="7" customFormat="1" ht="16.5" customHeight="1" x14ac:dyDescent="0.25">
      <c r="A57" s="57" t="s">
        <v>294</v>
      </c>
      <c r="B57" s="64" t="s">
        <v>30</v>
      </c>
      <c r="C57" s="49">
        <v>44955.6656</v>
      </c>
      <c r="D57" s="42">
        <f>IF(OR(34859.87143="",44955.6656=""),"-",44955.6656/34859.87143*100)</f>
        <v>128.96107689402342</v>
      </c>
      <c r="E57" s="42">
        <f>IF(34859.87143="","-",34859.87143/1650717.59844*100)</f>
        <v>2.111801041131693</v>
      </c>
      <c r="F57" s="42">
        <f>IF(44955.6656="","-",44955.6656/2112289.07699*100)</f>
        <v>2.128291344670568</v>
      </c>
      <c r="G57" s="42">
        <f>IF(OR(1881236.72041="",36457.05686="",34859.87143=""),"-",(34859.87143-36457.05686)/1881236.72041*100)</f>
        <v>-8.4900821500651147E-2</v>
      </c>
      <c r="H57" s="42">
        <f>IF(OR(1650717.59844="",44955.6656="",34859.87143=""),"-",(44955.6656-34859.87143)/1650717.59844*100)</f>
        <v>0.61160032337093673</v>
      </c>
    </row>
    <row r="58" spans="1:8" s="7" customFormat="1" ht="16.5" customHeight="1" x14ac:dyDescent="0.25">
      <c r="A58" s="57" t="s">
        <v>295</v>
      </c>
      <c r="B58" s="64" t="s">
        <v>182</v>
      </c>
      <c r="C58" s="49">
        <v>44080.666660000003</v>
      </c>
      <c r="D58" s="42">
        <f>IF(OR(36718.05346="",44080.66666=""),"-",44080.66666/36718.05346*100)</f>
        <v>120.05175249287304</v>
      </c>
      <c r="E58" s="42">
        <f>IF(36718.05346="","-",36718.05346/1650717.59844*100)</f>
        <v>2.224369177059732</v>
      </c>
      <c r="F58" s="42">
        <f>IF(44080.66666="","-",44080.66666/2112289.07699*100)</f>
        <v>2.0868671404964467</v>
      </c>
      <c r="G58" s="42">
        <f>IF(OR(1881236.72041="",35454.11497="",36718.05346=""),"-",(36718.05346-35454.11497)/1881236.72041*100)</f>
        <v>6.7186573400743285E-2</v>
      </c>
      <c r="H58" s="42">
        <f>IF(OR(1650717.59844="",44080.66666="",36718.05346=""),"-",(44080.66666-36718.05346)/1650717.59844*100)</f>
        <v>0.44602500191177391</v>
      </c>
    </row>
    <row r="59" spans="1:8" s="7" customFormat="1" ht="15.75" customHeight="1" x14ac:dyDescent="0.25">
      <c r="A59" s="57" t="s">
        <v>296</v>
      </c>
      <c r="B59" s="64" t="s">
        <v>31</v>
      </c>
      <c r="C59" s="49">
        <v>23945.374889999999</v>
      </c>
      <c r="D59" s="42">
        <f>IF(OR(20295.2286="",23945.37489=""),"-",23945.37489/20295.2286*100)</f>
        <v>117.98524353650296</v>
      </c>
      <c r="E59" s="42">
        <f>IF(20295.2286="","-",20295.2286/1650717.59844*100)</f>
        <v>1.2294791440510402</v>
      </c>
      <c r="F59" s="42">
        <f>IF(23945.37489="","-",23945.37489/2112289.07699*100)</f>
        <v>1.1336220572669924</v>
      </c>
      <c r="G59" s="42">
        <f>IF(OR(1881236.72041="",29989.44004="",20295.2286=""),"-",(20295.2286-29989.44004)/1881236.72041*100)</f>
        <v>-0.51531055793378455</v>
      </c>
      <c r="H59" s="42">
        <f>IF(OR(1650717.59844="",23945.37489="",20295.2286=""),"-",(23945.37489-20295.2286)/1650717.59844*100)</f>
        <v>0.22112481828809163</v>
      </c>
    </row>
    <row r="60" spans="1:8" s="7" customFormat="1" x14ac:dyDescent="0.25">
      <c r="A60" s="57" t="s">
        <v>297</v>
      </c>
      <c r="B60" s="64" t="s">
        <v>32</v>
      </c>
      <c r="C60" s="49">
        <v>59664.001830000001</v>
      </c>
      <c r="D60" s="42">
        <f>IF(OR(40892.86308="",59664.00183=""),"-",59664.00183/40892.86308*100)</f>
        <v>145.9032147327944</v>
      </c>
      <c r="E60" s="42">
        <f>IF(40892.86308="","-",40892.86308/1650717.59844*100)</f>
        <v>2.4772779498228852</v>
      </c>
      <c r="F60" s="42">
        <f>IF(59664.00183="","-",59664.00183/2112289.07699*100)</f>
        <v>2.8246134717043967</v>
      </c>
      <c r="G60" s="42">
        <f>IF(OR(1881236.72041="",45452.04815="",40892.86308=""),"-",(40892.86308-45452.04815)/1881236.72041*100)</f>
        <v>-0.24235041877166646</v>
      </c>
      <c r="H60" s="42">
        <f>IF(OR(1650717.59844="",59664.00183="",40892.86308=""),"-",(59664.00183-40892.86308)/1650717.59844*100)</f>
        <v>1.1371502168353653</v>
      </c>
    </row>
    <row r="61" spans="1:8" s="7" customFormat="1" ht="25.5" x14ac:dyDescent="0.25">
      <c r="A61" s="55" t="s">
        <v>298</v>
      </c>
      <c r="B61" s="63" t="s">
        <v>183</v>
      </c>
      <c r="C61" s="48">
        <v>536268.22736999998</v>
      </c>
      <c r="D61" s="41" t="s">
        <v>239</v>
      </c>
      <c r="E61" s="41">
        <f>IF(354055.73384="","-",354055.73384/1650717.59844*100)</f>
        <v>21.44859509431523</v>
      </c>
      <c r="F61" s="41">
        <f>IF(536268.22737="","-",536268.22737/2112289.07699*100)</f>
        <v>25.388013090243273</v>
      </c>
      <c r="G61" s="41">
        <f>IF(1881236.72041="","-",(354055.73384-430462.43261)/1881236.72041*100)</f>
        <v>-4.0615143188012937</v>
      </c>
      <c r="H61" s="41">
        <f>IF(1650717.59844="","-",(536268.22737-354055.73384)/1650717.59844*100)</f>
        <v>11.038380744362254</v>
      </c>
    </row>
    <row r="62" spans="1:8" s="7" customFormat="1" ht="25.5" x14ac:dyDescent="0.25">
      <c r="A62" s="57" t="s">
        <v>299</v>
      </c>
      <c r="B62" s="64" t="s">
        <v>184</v>
      </c>
      <c r="C62" s="49">
        <v>9541.4094399999994</v>
      </c>
      <c r="D62" s="42" t="s">
        <v>222</v>
      </c>
      <c r="E62" s="42">
        <f>IF(5215.56273="","-",5215.56273/1650717.59844*100)</f>
        <v>0.31595729850635468</v>
      </c>
      <c r="F62" s="42">
        <f>IF(9541.40944="","-",9541.40944/2112289.07699*100)</f>
        <v>0.45170945321539296</v>
      </c>
      <c r="G62" s="42">
        <f>IF(OR(1881236.72041="",4785.42277="",5215.56273=""),"-",(5215.56273-4785.42277)/1881236.72041*100)</f>
        <v>2.2864743991721257E-2</v>
      </c>
      <c r="H62" s="42">
        <f>IF(OR(1650717.59844="",9541.40944="",5215.56273=""),"-",(9541.40944-5215.56273)/1650717.59844*100)</f>
        <v>0.26205855647798953</v>
      </c>
    </row>
    <row r="63" spans="1:8" s="7" customFormat="1" ht="27" customHeight="1" x14ac:dyDescent="0.25">
      <c r="A63" s="57" t="s">
        <v>300</v>
      </c>
      <c r="B63" s="64" t="s">
        <v>185</v>
      </c>
      <c r="C63" s="49">
        <v>56559.106090000001</v>
      </c>
      <c r="D63" s="42">
        <f>IF(OR(51279.96061="",56559.10609=""),"-",56559.10609/51279.96061*100)</f>
        <v>110.29475338358689</v>
      </c>
      <c r="E63" s="42">
        <f>IF(51279.96061="","-",51279.96061/1650717.59844*100)</f>
        <v>3.1065253474284029</v>
      </c>
      <c r="F63" s="42">
        <f>IF(56559.10609="","-",56559.10609/2112289.07699*100)</f>
        <v>2.6776214821219644</v>
      </c>
      <c r="G63" s="42">
        <f>IF(OR(1881236.72041="",65409.36388="",51279.96061=""),"-",(51279.96061-65409.36388)/1881236.72041*100)</f>
        <v>-0.75106992738907463</v>
      </c>
      <c r="H63" s="42">
        <f>IF(OR(1650717.59844="",56559.10609="",51279.96061=""),"-",(56559.10609-51279.96061)/1650717.59844*100)</f>
        <v>0.3198091233163699</v>
      </c>
    </row>
    <row r="64" spans="1:8" s="7" customFormat="1" ht="25.5" x14ac:dyDescent="0.25">
      <c r="A64" s="57" t="s">
        <v>301</v>
      </c>
      <c r="B64" s="64" t="s">
        <v>186</v>
      </c>
      <c r="C64" s="49">
        <v>5141.7121100000004</v>
      </c>
      <c r="D64" s="42">
        <f>IF(OR(4083.12155="",5141.71211=""),"-",5141.71211/4083.12155*100)</f>
        <v>125.92601143602988</v>
      </c>
      <c r="E64" s="42">
        <f>IF(4083.12155="","-",4083.12155/1650717.59844*100)</f>
        <v>0.24735433570580015</v>
      </c>
      <c r="F64" s="42">
        <f>IF(5141.71211="","-",5141.71211/2112289.07699*100)</f>
        <v>0.24341896031233146</v>
      </c>
      <c r="G64" s="42">
        <f>IF(OR(1881236.72041="",2897.1989="",4083.12155=""),"-",(4083.12155-2897.1989)/1881236.72041*100)</f>
        <v>6.3039522731702685E-2</v>
      </c>
      <c r="H64" s="42">
        <f>IF(OR(1650717.59844="",5141.71211="",4083.12155=""),"-",(5141.71211-4083.12155)/1650717.59844*100)</f>
        <v>6.4129113362601492E-2</v>
      </c>
    </row>
    <row r="65" spans="1:8" s="7" customFormat="1" ht="27.75" customHeight="1" x14ac:dyDescent="0.25">
      <c r="A65" s="57" t="s">
        <v>302</v>
      </c>
      <c r="B65" s="64" t="s">
        <v>187</v>
      </c>
      <c r="C65" s="49">
        <v>75100.532829999996</v>
      </c>
      <c r="D65" s="42">
        <f>IF(OR(54976.22906="",75100.53283=""),"-",75100.53283/54976.22906*100)</f>
        <v>136.60546405981523</v>
      </c>
      <c r="E65" s="42">
        <f>IF(54976.22906="","-",54976.22906/1650717.59844*100)</f>
        <v>3.3304442329781256</v>
      </c>
      <c r="F65" s="42">
        <f>IF(75100.53283="","-",75100.53283/2112289.07699*100)</f>
        <v>3.5554097991652656</v>
      </c>
      <c r="G65" s="42">
        <f>IF(OR(1881236.72041="",57597.63109="",54976.22906=""),"-",(54976.22906-57597.63109)/1881236.72041*100)</f>
        <v>-0.13934461312389712</v>
      </c>
      <c r="H65" s="42">
        <f>IF(OR(1650717.59844="",75100.53283="",54976.22906=""),"-",(75100.53283-54976.22906)/1650717.59844*100)</f>
        <v>1.219124566734997</v>
      </c>
    </row>
    <row r="66" spans="1:8" s="7" customFormat="1" ht="27" customHeight="1" x14ac:dyDescent="0.25">
      <c r="A66" s="57" t="s">
        <v>303</v>
      </c>
      <c r="B66" s="64" t="s">
        <v>188</v>
      </c>
      <c r="C66" s="49">
        <v>26412.948250000001</v>
      </c>
      <c r="D66" s="42" t="s">
        <v>95</v>
      </c>
      <c r="E66" s="42">
        <f>IF(12632.98899="","-",12632.98899/1650717.59844*100)</f>
        <v>0.76530285991611913</v>
      </c>
      <c r="F66" s="42">
        <f>IF(26412.94825="","-",26412.94825/2112289.07699*100)</f>
        <v>1.2504419275622209</v>
      </c>
      <c r="G66" s="42">
        <f>IF(OR(1881236.72041="",15095.28069="",12632.98899=""),"-",(12632.98899-15095.28069)/1881236.72041*100)</f>
        <v>-0.13088686146118622</v>
      </c>
      <c r="H66" s="42">
        <f>IF(OR(1650717.59844="",26412.94825="",12632.98899=""),"-",(26412.94825-12632.98899)/1650717.59844*100)</f>
        <v>0.83478599083348126</v>
      </c>
    </row>
    <row r="67" spans="1:8" s="7" customFormat="1" ht="41.25" customHeight="1" x14ac:dyDescent="0.25">
      <c r="A67" s="57" t="s">
        <v>304</v>
      </c>
      <c r="B67" s="64" t="s">
        <v>189</v>
      </c>
      <c r="C67" s="49">
        <v>56339.461779999998</v>
      </c>
      <c r="D67" s="42">
        <f>IF(OR(40173.45811="",56339.46178=""),"-",56339.46178/40173.45811*100)</f>
        <v>140.24050811293228</v>
      </c>
      <c r="E67" s="42">
        <f>IF(40173.45811="","-",40173.45811/1650717.59844*100)</f>
        <v>2.4336966024937072</v>
      </c>
      <c r="F67" s="42">
        <f>IF(56339.46178="","-",56339.46178/2112289.07699*100)</f>
        <v>2.6672230801043297</v>
      </c>
      <c r="G67" s="42">
        <f>IF(OR(1881236.72041="",44306.5749="",40173.45811=""),"-",(40173.45811-44306.5749)/1881236.72041*100)</f>
        <v>-0.21970211112502747</v>
      </c>
      <c r="H67" s="42">
        <f>IF(OR(1650717.59844="",56339.46178="",40173.45811=""),"-",(56339.46178-40173.45811)/1650717.59844*100)</f>
        <v>0.97933187877063732</v>
      </c>
    </row>
    <row r="68" spans="1:8" s="7" customFormat="1" ht="51" x14ac:dyDescent="0.25">
      <c r="A68" s="57" t="s">
        <v>305</v>
      </c>
      <c r="B68" s="64" t="s">
        <v>190</v>
      </c>
      <c r="C68" s="49">
        <v>172436.60725999999</v>
      </c>
      <c r="D68" s="42" t="s">
        <v>104</v>
      </c>
      <c r="E68" s="42">
        <f>IF(106219.45487="","-",106219.45487/1650717.59844*100)</f>
        <v>6.4347441967288654</v>
      </c>
      <c r="F68" s="42">
        <f>IF(172436.60726="","-",172436.60726/2112289.07699*100)</f>
        <v>8.1634947194690408</v>
      </c>
      <c r="G68" s="42">
        <f>IF(OR(1881236.72041="",131315.58141="",106219.45487=""),"-",(106219.45487-131315.58141)/1881236.72041*100)</f>
        <v>-1.3340227876548423</v>
      </c>
      <c r="H68" s="42">
        <f>IF(OR(1650717.59844="",172436.60726="",106219.45487=""),"-",(172436.60726-106219.45487)/1650717.59844*100)</f>
        <v>4.0114161533491908</v>
      </c>
    </row>
    <row r="69" spans="1:8" s="7" customFormat="1" ht="25.5" x14ac:dyDescent="0.25">
      <c r="A69" s="57" t="s">
        <v>306</v>
      </c>
      <c r="B69" s="64" t="s">
        <v>191</v>
      </c>
      <c r="C69" s="49">
        <v>134215.35861</v>
      </c>
      <c r="D69" s="42" t="s">
        <v>222</v>
      </c>
      <c r="E69" s="42">
        <f>IF(76055.30714="","-",76055.30714/1650717.59844*100)</f>
        <v>4.6074087543426918</v>
      </c>
      <c r="F69" s="42">
        <f>IF(134215.35861="","-",134215.35861/2112289.07699*100)</f>
        <v>6.3540241755762006</v>
      </c>
      <c r="G69" s="42">
        <f>IF(OR(1881236.72041="",106987.39551="",76055.30714=""),"-",(76055.30714-106987.39551)/1881236.72041*100)</f>
        <v>-1.644242217601334</v>
      </c>
      <c r="H69" s="42">
        <f>IF(OR(1650717.59844="",134215.35861="",76055.30714=""),"-",(134215.35861-76055.30714)/1650717.59844*100)</f>
        <v>3.5233192839867802</v>
      </c>
    </row>
    <row r="70" spans="1:8" s="7" customFormat="1" x14ac:dyDescent="0.25">
      <c r="A70" s="57" t="s">
        <v>307</v>
      </c>
      <c r="B70" s="64" t="s">
        <v>33</v>
      </c>
      <c r="C70" s="49">
        <v>521.09100000000001</v>
      </c>
      <c r="D70" s="42">
        <f>IF(OR(3419.65078="",521.091=""),"-",521.091/3419.65078*100)</f>
        <v>15.238134930257411</v>
      </c>
      <c r="E70" s="42">
        <f>IF(3419.65078="","-",3419.65078/1650717.59844*100)</f>
        <v>0.20716146621516113</v>
      </c>
      <c r="F70" s="42">
        <f>IF(521.091="","-",521.091/2112289.07699*100)</f>
        <v>2.4669492716524945E-2</v>
      </c>
      <c r="G70" s="42">
        <f>IF(OR(1881236.72041="",2067.98346="",3419.65078=""),"-",(3419.65078-2067.98346)/1881236.72041*100)</f>
        <v>7.1849932830644267E-2</v>
      </c>
      <c r="H70" s="42">
        <f>IF(OR(1650717.59844="",521.091="",3419.65078=""),"-",(521.091-3419.65078)/1650717.59844*100)</f>
        <v>-0.17559392246979527</v>
      </c>
    </row>
    <row r="71" spans="1:8" s="7" customFormat="1" x14ac:dyDescent="0.25">
      <c r="A71" s="55" t="s">
        <v>308</v>
      </c>
      <c r="B71" s="63" t="s">
        <v>34</v>
      </c>
      <c r="C71" s="48">
        <v>240981.38527</v>
      </c>
      <c r="D71" s="41" t="s">
        <v>239</v>
      </c>
      <c r="E71" s="41">
        <f>IF(157117.36526="","-",157117.36526/1650717.59844*100)</f>
        <v>9.5181250510979414</v>
      </c>
      <c r="F71" s="41">
        <f>IF(240981.38527="","-",240981.38527/2112289.07699*100)</f>
        <v>11.408541941304602</v>
      </c>
      <c r="G71" s="41">
        <f>IF(1881236.72041="","-",(157117.36526-189483.78371)/1881236.72041*100)</f>
        <v>-1.7204862152034754</v>
      </c>
      <c r="H71" s="41">
        <f>IF(1650717.59844="","-",(240981.38527-157117.36526)/1650717.59844*100)</f>
        <v>5.0804583466763278</v>
      </c>
    </row>
    <row r="72" spans="1:8" ht="38.25" x14ac:dyDescent="0.25">
      <c r="A72" s="57" t="s">
        <v>309</v>
      </c>
      <c r="B72" s="64" t="s">
        <v>217</v>
      </c>
      <c r="C72" s="49">
        <v>17944.950789999999</v>
      </c>
      <c r="D72" s="42" t="s">
        <v>103</v>
      </c>
      <c r="E72" s="42">
        <f>IF(10771.2474="","-",10771.2474/1650717.59844*100)</f>
        <v>0.65251908686133209</v>
      </c>
      <c r="F72" s="42">
        <f>IF(17944.95079="","-",17944.95079/2112289.07699*100)</f>
        <v>0.8495499496485327</v>
      </c>
      <c r="G72" s="42">
        <f>IF(OR(1881236.72041="",11797.63982="",10771.2474=""),"-",(10771.2474-11797.63982)/1881236.72041*100)</f>
        <v>-5.4559450645653269E-2</v>
      </c>
      <c r="H72" s="42">
        <f>IF(OR(1650717.59844="",17944.95079="",10771.2474=""),"-",(17944.95079-10771.2474)/1650717.59844*100)</f>
        <v>0.43458089965112506</v>
      </c>
    </row>
    <row r="73" spans="1:8" x14ac:dyDescent="0.25">
      <c r="A73" s="57" t="s">
        <v>310</v>
      </c>
      <c r="B73" s="64" t="s">
        <v>192</v>
      </c>
      <c r="C73" s="49">
        <v>21256.94182</v>
      </c>
      <c r="D73" s="42" t="s">
        <v>104</v>
      </c>
      <c r="E73" s="42">
        <f>IF(13553.26187="","-",13553.26187/1650717.59844*100)</f>
        <v>0.8210527277838694</v>
      </c>
      <c r="F73" s="42">
        <f>IF(21256.94182="","-",21256.94182/2112289.07699*100)</f>
        <v>1.0063462454812777</v>
      </c>
      <c r="G73" s="42">
        <f>IF(OR(1881236.72041="",15872.87412="",13553.26187=""),"-",(13553.26187-15872.87412)/1881236.72041*100)</f>
        <v>-0.12330251822293048</v>
      </c>
      <c r="H73" s="42">
        <f>IF(OR(1650717.59844="",21256.94182="",13553.26187=""),"-",(21256.94182-13553.26187)/1650717.59844*100)</f>
        <v>0.46668672807997635</v>
      </c>
    </row>
    <row r="74" spans="1:8" x14ac:dyDescent="0.25">
      <c r="A74" s="57" t="s">
        <v>311</v>
      </c>
      <c r="B74" s="64" t="s">
        <v>193</v>
      </c>
      <c r="C74" s="49">
        <v>3562.2526400000002</v>
      </c>
      <c r="D74" s="42">
        <f>IF(OR(2644.81431="",3562.25264=""),"-",3562.25264/2644.81431*100)</f>
        <v>134.68819442375144</v>
      </c>
      <c r="E74" s="42">
        <f>IF(2644.81431="","-",2644.81431/1650717.59844*100)</f>
        <v>0.16022209446966973</v>
      </c>
      <c r="F74" s="42">
        <f>IF(3562.25264="","-",3562.25264/2112289.07699*100)</f>
        <v>0.16864418221942376</v>
      </c>
      <c r="G74" s="42">
        <f>IF(OR(1881236.72041="",2995.70337="",2644.81431=""),"-",(2644.81431-2995.70337)/1881236.72041*100)</f>
        <v>-1.8652041829351842E-2</v>
      </c>
      <c r="H74" s="42">
        <f>IF(OR(1650717.59844="",3562.25264="",2644.81431=""),"-",(3562.25264-2644.81431)/1650717.59844*100)</f>
        <v>5.5578151639445725E-2</v>
      </c>
    </row>
    <row r="75" spans="1:8" x14ac:dyDescent="0.25">
      <c r="A75" s="57" t="s">
        <v>312</v>
      </c>
      <c r="B75" s="64" t="s">
        <v>194</v>
      </c>
      <c r="C75" s="49">
        <v>57473.663430000001</v>
      </c>
      <c r="D75" s="42" t="s">
        <v>103</v>
      </c>
      <c r="E75" s="42">
        <f>IF(34776.24282="","-",34776.24282/1650717.59844*100)</f>
        <v>2.1067348438560942</v>
      </c>
      <c r="F75" s="42">
        <f>IF(57473.66343="","-",57473.66343/2112289.07699*100)</f>
        <v>2.7209184602658478</v>
      </c>
      <c r="G75" s="42">
        <f>IF(OR(1881236.72041="",43352.70582="",34776.24282=""),"-",(34776.24282-43352.70582)/1881236.72041*100)</f>
        <v>-0.45589493905534834</v>
      </c>
      <c r="H75" s="42">
        <f>IF(OR(1650717.59844="",57473.66343="",34776.24282=""),"-",(57473.66343-34776.24282)/1650717.59844*100)</f>
        <v>1.3750032489779023</v>
      </c>
    </row>
    <row r="76" spans="1:8" x14ac:dyDescent="0.25">
      <c r="A76" s="57" t="s">
        <v>313</v>
      </c>
      <c r="B76" s="64" t="s">
        <v>195</v>
      </c>
      <c r="C76" s="49">
        <v>17048.943579999999</v>
      </c>
      <c r="D76" s="42">
        <f>IF(OR(12769.53307="",17048.94358=""),"-",17048.94358/12769.53307*100)</f>
        <v>133.51266241718577</v>
      </c>
      <c r="E76" s="42">
        <f>IF(12769.53307="","-",12769.53307/1650717.59844*100)</f>
        <v>0.77357466123022878</v>
      </c>
      <c r="F76" s="42">
        <f>IF(17048.94358="","-",17048.94358/2112289.07699*100)</f>
        <v>0.80713117185147054</v>
      </c>
      <c r="G76" s="42">
        <f>IF(OR(1881236.72041="",17614.79882="",12769.53307=""),"-",(12769.53307-17614.79882)/1881236.72041*100)</f>
        <v>-0.25755747256219913</v>
      </c>
      <c r="H76" s="42">
        <f>IF(OR(1650717.59844="",17048.94358="",12769.53307=""),"-",(17048.94358-12769.53307)/1650717.59844*100)</f>
        <v>0.25924546476297511</v>
      </c>
    </row>
    <row r="77" spans="1:8" ht="25.5" x14ac:dyDescent="0.25">
      <c r="A77" s="57" t="s">
        <v>314</v>
      </c>
      <c r="B77" s="64" t="s">
        <v>218</v>
      </c>
      <c r="C77" s="49">
        <v>29700.509440000002</v>
      </c>
      <c r="D77" s="42" t="s">
        <v>103</v>
      </c>
      <c r="E77" s="42">
        <f>IF(16972.56599="","-",16972.56599/1650717.59844*100)</f>
        <v>1.028193193435377</v>
      </c>
      <c r="F77" s="42">
        <f>IF(29700.50944="","-",29700.50944/2112289.07699*100)</f>
        <v>1.4060816657880493</v>
      </c>
      <c r="G77" s="42">
        <f>IF(OR(1881236.72041="",18727.5938="",16972.56599=""),"-",(16972.56599-18727.5938)/1881236.72041*100)</f>
        <v>-9.3291173352043955E-2</v>
      </c>
      <c r="H77" s="42">
        <f>IF(OR(1650717.59844="",29700.50944="",16972.56599=""),"-",(29700.50944-16972.56599)/1650717.59844*100)</f>
        <v>0.77105517394546841</v>
      </c>
    </row>
    <row r="78" spans="1:8" ht="25.5" x14ac:dyDescent="0.25">
      <c r="A78" s="57" t="s">
        <v>315</v>
      </c>
      <c r="B78" s="64" t="s">
        <v>196</v>
      </c>
      <c r="C78" s="49">
        <v>3972.6899600000002</v>
      </c>
      <c r="D78" s="42">
        <f>IF(OR(3665.34024="",3972.68996=""),"-",3972.68996/3665.34024*100)</f>
        <v>108.38529849550883</v>
      </c>
      <c r="E78" s="42">
        <f>IF(3665.34024="","-",3665.34024/1650717.59844*100)</f>
        <v>0.22204526343354586</v>
      </c>
      <c r="F78" s="42">
        <f>IF(3972.68996="","-",3972.68996/2112289.07699*100)</f>
        <v>0.18807510786644133</v>
      </c>
      <c r="G78" s="42">
        <f>IF(OR(1881236.72041="",3868.53376="",3665.34024=""),"-",(3665.34024-3868.53376)/1881236.72041*100)</f>
        <v>-1.0801060695631939E-2</v>
      </c>
      <c r="H78" s="42">
        <f>IF(OR(1650717.59844="",3972.68996="",3665.34024=""),"-",(3972.68996-3665.34024)/1650717.59844*100)</f>
        <v>1.8619158134041768E-2</v>
      </c>
    </row>
    <row r="79" spans="1:8" x14ac:dyDescent="0.25">
      <c r="A79" s="57" t="s">
        <v>316</v>
      </c>
      <c r="B79" s="64" t="s">
        <v>35</v>
      </c>
      <c r="C79" s="49">
        <v>90021.433609999993</v>
      </c>
      <c r="D79" s="42">
        <f>IF(OR(61964.35956="",90021.43361=""),"-",90021.43361/61964.35956*100)</f>
        <v>145.27937390014074</v>
      </c>
      <c r="E79" s="42">
        <f>IF(61964.35956="","-",61964.35956/1650717.59844*100)</f>
        <v>3.7537831800278263</v>
      </c>
      <c r="F79" s="42">
        <f>IF(90021.43361="","-",90021.43361/2112289.07699*100)</f>
        <v>4.261795158183558</v>
      </c>
      <c r="G79" s="42">
        <f>IF(OR(1881236.72041="",75253.9342="",61964.35956=""),"-",(61964.35956-75253.9342)/1881236.72041*100)</f>
        <v>-0.70642755884031716</v>
      </c>
      <c r="H79" s="42">
        <f>IF(OR(1650717.59844="",90021.43361="",61964.35956=""),"-",(90021.43361-61964.35956)/1650717.59844*100)</f>
        <v>1.699689521485392</v>
      </c>
    </row>
    <row r="80" spans="1:8" ht="15.75" customHeight="1" x14ac:dyDescent="0.25">
      <c r="A80" s="59" t="s">
        <v>321</v>
      </c>
      <c r="B80" s="65" t="s">
        <v>197</v>
      </c>
      <c r="C80" s="60">
        <v>77.369870000000006</v>
      </c>
      <c r="D80" s="62">
        <f>IF(126.38541="","-",77.36987/126.38541*100)</f>
        <v>61.217406344608925</v>
      </c>
      <c r="E80" s="62">
        <f>IF(126.38541="","-",126.38541/1650717.59844*100)</f>
        <v>7.6563919909401644E-3</v>
      </c>
      <c r="F80" s="62">
        <f>IF(77.36987="","-",77.36987/2112289.07699*100)</f>
        <v>3.6628447707664916E-3</v>
      </c>
      <c r="G80" s="62">
        <f>IF(1881236.72041="","-",(126.38541-129.57674)/1881236.72041*100)</f>
        <v>-1.696400014616174E-4</v>
      </c>
      <c r="H80" s="62">
        <f>IF(1650717.59844="","-",(77.36987-126.38541)/1650717.59844*100)</f>
        <v>-2.9693473945102303E-3</v>
      </c>
    </row>
    <row r="81" spans="1:5" x14ac:dyDescent="0.25">
      <c r="A81" s="78" t="s">
        <v>328</v>
      </c>
      <c r="B81" s="79"/>
      <c r="C81" s="79"/>
      <c r="D81" s="79"/>
      <c r="E81" s="79"/>
    </row>
    <row r="82" spans="1:5" x14ac:dyDescent="0.25">
      <c r="A82" s="108" t="s">
        <v>367</v>
      </c>
      <c r="B82" s="108"/>
      <c r="C82" s="108"/>
      <c r="D82" s="108"/>
      <c r="E82" s="108"/>
    </row>
  </sheetData>
  <mergeCells count="12">
    <mergeCell ref="A82:E82"/>
    <mergeCell ref="A4:A6"/>
    <mergeCell ref="B1:H1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0"/>
  <sheetViews>
    <sheetView zoomScale="99" zoomScaleNormal="99" workbookViewId="0">
      <selection activeCell="H22" sqref="H22"/>
    </sheetView>
  </sheetViews>
  <sheetFormatPr defaultRowHeight="15.75" x14ac:dyDescent="0.25"/>
  <cols>
    <col min="1" max="1" width="7" customWidth="1"/>
    <col min="2" max="2" width="36" customWidth="1"/>
    <col min="3" max="3" width="13" customWidth="1"/>
    <col min="4" max="4" width="13.125" customWidth="1"/>
    <col min="5" max="5" width="17.75" customWidth="1"/>
    <col min="7" max="7" width="12.125" bestFit="1" customWidth="1"/>
  </cols>
  <sheetData>
    <row r="1" spans="1:7" x14ac:dyDescent="0.25">
      <c r="B1" s="122" t="s">
        <v>150</v>
      </c>
      <c r="C1" s="122"/>
      <c r="D1" s="122"/>
      <c r="E1" s="122"/>
    </row>
    <row r="2" spans="1:7" x14ac:dyDescent="0.25">
      <c r="B2" s="122" t="s">
        <v>327</v>
      </c>
      <c r="C2" s="122"/>
      <c r="D2" s="122"/>
      <c r="E2" s="122"/>
    </row>
    <row r="3" spans="1:7" x14ac:dyDescent="0.25">
      <c r="B3" s="5"/>
    </row>
    <row r="4" spans="1:7" ht="20.25" customHeight="1" x14ac:dyDescent="0.25">
      <c r="A4" s="123" t="s">
        <v>322</v>
      </c>
      <c r="B4" s="123"/>
      <c r="C4" s="127" t="s">
        <v>331</v>
      </c>
      <c r="D4" s="128"/>
      <c r="E4" s="125" t="s">
        <v>333</v>
      </c>
      <c r="F4" s="1"/>
    </row>
    <row r="5" spans="1:7" ht="21.75" customHeight="1" x14ac:dyDescent="0.25">
      <c r="A5" s="124"/>
      <c r="B5" s="124"/>
      <c r="C5" s="18">
        <v>2020</v>
      </c>
      <c r="D5" s="17">
        <v>2021</v>
      </c>
      <c r="E5" s="126"/>
      <c r="F5" s="1"/>
    </row>
    <row r="6" spans="1:7" ht="28.5" x14ac:dyDescent="0.25">
      <c r="A6" s="80"/>
      <c r="B6" s="61" t="s">
        <v>368</v>
      </c>
      <c r="C6" s="47">
        <v>-825830.57213999995</v>
      </c>
      <c r="D6" s="47">
        <v>-1209294.66915</v>
      </c>
      <c r="E6" s="81">
        <f>IF(-825830.57214="","-",-1209294.66915/-825830.57214*100)</f>
        <v>146.43374923942545</v>
      </c>
      <c r="G6" s="15"/>
    </row>
    <row r="7" spans="1:7" x14ac:dyDescent="0.25">
      <c r="A7" s="80"/>
      <c r="B7" s="72" t="s">
        <v>133</v>
      </c>
      <c r="C7" s="36"/>
      <c r="D7" s="37"/>
      <c r="E7" s="34"/>
    </row>
    <row r="8" spans="1:7" x14ac:dyDescent="0.25">
      <c r="A8" s="55" t="s">
        <v>248</v>
      </c>
      <c r="B8" s="56" t="s">
        <v>198</v>
      </c>
      <c r="C8" s="48">
        <v>22288.88464</v>
      </c>
      <c r="D8" s="48">
        <v>-107147.56505</v>
      </c>
      <c r="E8" s="82" t="s">
        <v>22</v>
      </c>
    </row>
    <row r="9" spans="1:7" x14ac:dyDescent="0.25">
      <c r="A9" s="57" t="s">
        <v>249</v>
      </c>
      <c r="B9" s="58" t="s">
        <v>23</v>
      </c>
      <c r="C9" s="49">
        <v>2712.2733699999999</v>
      </c>
      <c r="D9" s="49">
        <v>2347.34942</v>
      </c>
      <c r="E9" s="83">
        <f>IF(OR(2712.27337="",2347.34942="",2712.27337=0,2347.34942=0),"-",2347.34942/2712.27337*100)</f>
        <v>86.54545835842498</v>
      </c>
    </row>
    <row r="10" spans="1:7" x14ac:dyDescent="0.25">
      <c r="A10" s="57" t="s">
        <v>250</v>
      </c>
      <c r="B10" s="58" t="s">
        <v>199</v>
      </c>
      <c r="C10" s="49">
        <v>-11075.32697</v>
      </c>
      <c r="D10" s="49">
        <v>-15210.10844</v>
      </c>
      <c r="E10" s="83">
        <f>IF(OR(-11075.32697="",-15210.10844="",-11075.32697=0,-15210.10844=0),"-",-15210.10844/-11075.32697*100)</f>
        <v>137.33326773286225</v>
      </c>
    </row>
    <row r="11" spans="1:7" x14ac:dyDescent="0.25">
      <c r="A11" s="57" t="s">
        <v>251</v>
      </c>
      <c r="B11" s="58" t="s">
        <v>200</v>
      </c>
      <c r="C11" s="49">
        <v>-24511.5455599999</v>
      </c>
      <c r="D11" s="49">
        <v>-27528.584299999999</v>
      </c>
      <c r="E11" s="83">
        <f>IF(OR(-24511.5455599999="",-27528.5843="",-24511.5455599999=0,-27528.5843=0),"-",-27528.5843/-24511.5455599999*100)</f>
        <v>112.3086434211785</v>
      </c>
    </row>
    <row r="12" spans="1:7" x14ac:dyDescent="0.25">
      <c r="A12" s="57" t="s">
        <v>252</v>
      </c>
      <c r="B12" s="58" t="s">
        <v>201</v>
      </c>
      <c r="C12" s="49">
        <v>-19317.74768</v>
      </c>
      <c r="D12" s="49">
        <v>-22774.356220000001</v>
      </c>
      <c r="E12" s="83">
        <f>IF(OR(-19317.74768="",-22774.35622="",-19317.74768=0,-22774.35622=0),"-",-22774.35622/-19317.74768*100)</f>
        <v>117.89343456213939</v>
      </c>
    </row>
    <row r="13" spans="1:7" x14ac:dyDescent="0.25">
      <c r="A13" s="57" t="s">
        <v>253</v>
      </c>
      <c r="B13" s="58" t="s">
        <v>202</v>
      </c>
      <c r="C13" s="49">
        <v>53983.847520000003</v>
      </c>
      <c r="D13" s="49">
        <v>-5572.32402</v>
      </c>
      <c r="E13" s="83" t="s">
        <v>22</v>
      </c>
    </row>
    <row r="14" spans="1:7" x14ac:dyDescent="0.25">
      <c r="A14" s="57" t="s">
        <v>254</v>
      </c>
      <c r="B14" s="58" t="s">
        <v>203</v>
      </c>
      <c r="C14" s="49">
        <v>57107.514300000003</v>
      </c>
      <c r="D14" s="49">
        <v>22398.28053</v>
      </c>
      <c r="E14" s="83">
        <f>IF(OR(57107.5143="",22398.28053="",57107.5143=0,22398.28053=0),"-",22398.28053/57107.5143*100)</f>
        <v>39.221249260362221</v>
      </c>
    </row>
    <row r="15" spans="1:7" x14ac:dyDescent="0.25">
      <c r="A15" s="57" t="s">
        <v>255</v>
      </c>
      <c r="B15" s="58" t="s">
        <v>161</v>
      </c>
      <c r="C15" s="49">
        <v>1515.4010499999999</v>
      </c>
      <c r="D15" s="49">
        <v>-4044.6971199999998</v>
      </c>
      <c r="E15" s="83" t="s">
        <v>22</v>
      </c>
    </row>
    <row r="16" spans="1:7" ht="25.5" x14ac:dyDescent="0.25">
      <c r="A16" s="57" t="s">
        <v>256</v>
      </c>
      <c r="B16" s="58" t="s">
        <v>204</v>
      </c>
      <c r="C16" s="49">
        <v>-12766.81258</v>
      </c>
      <c r="D16" s="49">
        <v>-16823.039270000001</v>
      </c>
      <c r="E16" s="83">
        <f>IF(OR(-12766.81258="",-16823.03927="",-12766.81258=0,-16823.03927=0),"-",-16823.03927/-12766.81258*100)</f>
        <v>131.77164750075778</v>
      </c>
    </row>
    <row r="17" spans="1:5" ht="25.5" x14ac:dyDescent="0.25">
      <c r="A17" s="57" t="s">
        <v>257</v>
      </c>
      <c r="B17" s="58" t="s">
        <v>162</v>
      </c>
      <c r="C17" s="49">
        <v>-386.28579999999999</v>
      </c>
      <c r="D17" s="49">
        <v>-8947.4325599999993</v>
      </c>
      <c r="E17" s="83" t="s">
        <v>369</v>
      </c>
    </row>
    <row r="18" spans="1:5" x14ac:dyDescent="0.25">
      <c r="A18" s="57" t="s">
        <v>258</v>
      </c>
      <c r="B18" s="58" t="s">
        <v>205</v>
      </c>
      <c r="C18" s="49">
        <v>-24972.433010000001</v>
      </c>
      <c r="D18" s="49">
        <v>-30992.65307</v>
      </c>
      <c r="E18" s="83">
        <f>IF(OR(-24972.43301="",-30992.65307="",-24972.43301=0,-30992.65307=0),"-",-30992.65307/-24972.43301*100)</f>
        <v>124.10746304771045</v>
      </c>
    </row>
    <row r="19" spans="1:5" x14ac:dyDescent="0.25">
      <c r="A19" s="55" t="s">
        <v>259</v>
      </c>
      <c r="B19" s="56" t="s">
        <v>206</v>
      </c>
      <c r="C19" s="48">
        <v>27190.060399999998</v>
      </c>
      <c r="D19" s="48">
        <v>32451.490409999999</v>
      </c>
      <c r="E19" s="82">
        <f>IF(27190.0604="","-",32451.49041/27190.0604*100)</f>
        <v>119.35056389209051</v>
      </c>
    </row>
    <row r="20" spans="1:5" x14ac:dyDescent="0.25">
      <c r="A20" s="57" t="s">
        <v>260</v>
      </c>
      <c r="B20" s="58" t="s">
        <v>207</v>
      </c>
      <c r="C20" s="49">
        <v>38976.25245</v>
      </c>
      <c r="D20" s="49">
        <v>40846.918720000001</v>
      </c>
      <c r="E20" s="83">
        <f>IF(OR(38976.25245="",40846.91872="",38976.25245=0,40846.91872=0),"-",40846.91872/38976.25245*100)</f>
        <v>104.79950265203088</v>
      </c>
    </row>
    <row r="21" spans="1:5" x14ac:dyDescent="0.25">
      <c r="A21" s="57" t="s">
        <v>261</v>
      </c>
      <c r="B21" s="58" t="s">
        <v>208</v>
      </c>
      <c r="C21" s="49">
        <v>-11786.19205</v>
      </c>
      <c r="D21" s="49">
        <v>-8395.4283099999993</v>
      </c>
      <c r="E21" s="83">
        <f>IF(OR(-11786.19205="",-8395.42831="",-11786.19205=0,-8395.42831=0),"-",-8395.42831/-11786.19205*100)</f>
        <v>71.231049641686425</v>
      </c>
    </row>
    <row r="22" spans="1:5" ht="25.5" x14ac:dyDescent="0.25">
      <c r="A22" s="55" t="s">
        <v>262</v>
      </c>
      <c r="B22" s="56" t="s">
        <v>24</v>
      </c>
      <c r="C22" s="48">
        <v>21085.207630000001</v>
      </c>
      <c r="D22" s="48">
        <v>29046.737840000002</v>
      </c>
      <c r="E22" s="82">
        <f>IF(21085.20763="","-",29046.73784/21085.20763*100)</f>
        <v>137.75884188435663</v>
      </c>
    </row>
    <row r="23" spans="1:5" x14ac:dyDescent="0.25">
      <c r="A23" s="57" t="s">
        <v>263</v>
      </c>
      <c r="B23" s="58" t="s">
        <v>215</v>
      </c>
      <c r="C23" s="49">
        <v>575.68205</v>
      </c>
      <c r="D23" s="49">
        <v>511.21309000000002</v>
      </c>
      <c r="E23" s="83">
        <f>IF(OR(575.68205="",511.21309="",575.68205=0,511.21309=0),"-",511.21309/575.68205*100)</f>
        <v>88.801290573503209</v>
      </c>
    </row>
    <row r="24" spans="1:5" x14ac:dyDescent="0.25">
      <c r="A24" s="57" t="s">
        <v>264</v>
      </c>
      <c r="B24" s="58" t="s">
        <v>209</v>
      </c>
      <c r="C24" s="49">
        <v>44989.243999999999</v>
      </c>
      <c r="D24" s="49">
        <v>44476.445050000002</v>
      </c>
      <c r="E24" s="83">
        <f>IF(OR(44989.244="",44476.44505="",44989.244=0,44476.44505=0),"-",44476.44505/44989.244*100)</f>
        <v>98.860174334114177</v>
      </c>
    </row>
    <row r="25" spans="1:5" ht="17.25" customHeight="1" x14ac:dyDescent="0.25">
      <c r="A25" s="57" t="s">
        <v>319</v>
      </c>
      <c r="B25" s="58" t="s">
        <v>210</v>
      </c>
      <c r="C25" s="49">
        <v>-382.06817999999998</v>
      </c>
      <c r="D25" s="49">
        <v>-682.47451000000001</v>
      </c>
      <c r="E25" s="83" t="s">
        <v>222</v>
      </c>
    </row>
    <row r="26" spans="1:5" x14ac:dyDescent="0.25">
      <c r="A26" s="57" t="s">
        <v>265</v>
      </c>
      <c r="B26" s="58" t="s">
        <v>211</v>
      </c>
      <c r="C26" s="49">
        <v>-8237.8535300000003</v>
      </c>
      <c r="D26" s="49">
        <v>-10412.02471</v>
      </c>
      <c r="E26" s="83">
        <f>IF(OR(-8237.85353="",-10412.02471="",-8237.85353=0,-10412.02471=0),"-",-10412.02471/-8237.85353*100)</f>
        <v>126.39244764527876</v>
      </c>
    </row>
    <row r="27" spans="1:5" x14ac:dyDescent="0.25">
      <c r="A27" s="57" t="s">
        <v>266</v>
      </c>
      <c r="B27" s="58" t="s">
        <v>163</v>
      </c>
      <c r="C27" s="49">
        <v>450.19159000000002</v>
      </c>
      <c r="D27" s="49">
        <v>1190.9257700000001</v>
      </c>
      <c r="E27" s="83" t="s">
        <v>317</v>
      </c>
    </row>
    <row r="28" spans="1:5" ht="38.25" x14ac:dyDescent="0.25">
      <c r="A28" s="57" t="s">
        <v>267</v>
      </c>
      <c r="B28" s="58" t="s">
        <v>164</v>
      </c>
      <c r="C28" s="49">
        <v>-2150.0285699999999</v>
      </c>
      <c r="D28" s="49">
        <v>-2911.0767599999999</v>
      </c>
      <c r="E28" s="83">
        <f>IF(OR(-2150.02857="",-2911.07676="",-2150.02857=0,-2911.07676=0),"-",-2911.07676/-2150.02857*100)</f>
        <v>135.3971198624584</v>
      </c>
    </row>
    <row r="29" spans="1:5" ht="25.5" x14ac:dyDescent="0.25">
      <c r="A29" s="57" t="s">
        <v>268</v>
      </c>
      <c r="B29" s="58" t="s">
        <v>165</v>
      </c>
      <c r="C29" s="49">
        <v>-1863.1347000000001</v>
      </c>
      <c r="D29" s="49">
        <v>-3991.5979699999998</v>
      </c>
      <c r="E29" s="83" t="s">
        <v>95</v>
      </c>
    </row>
    <row r="30" spans="1:5" x14ac:dyDescent="0.25">
      <c r="A30" s="57" t="s">
        <v>269</v>
      </c>
      <c r="B30" s="58" t="s">
        <v>166</v>
      </c>
      <c r="C30" s="49">
        <v>2285.5311999999999</v>
      </c>
      <c r="D30" s="49">
        <v>23340.605510000001</v>
      </c>
      <c r="E30" s="83" t="s">
        <v>370</v>
      </c>
    </row>
    <row r="31" spans="1:5" x14ac:dyDescent="0.25">
      <c r="A31" s="57" t="s">
        <v>270</v>
      </c>
      <c r="B31" s="58" t="s">
        <v>167</v>
      </c>
      <c r="C31" s="49">
        <v>-14582.356229999999</v>
      </c>
      <c r="D31" s="49">
        <v>-22475.27763</v>
      </c>
      <c r="E31" s="83" t="s">
        <v>239</v>
      </c>
    </row>
    <row r="32" spans="1:5" ht="15.75" customHeight="1" x14ac:dyDescent="0.25">
      <c r="A32" s="55" t="s">
        <v>271</v>
      </c>
      <c r="B32" s="56" t="s">
        <v>168</v>
      </c>
      <c r="C32" s="48">
        <v>-233112.21869000001</v>
      </c>
      <c r="D32" s="48">
        <v>-235891.11981</v>
      </c>
      <c r="E32" s="82">
        <f>IF(-233112.21869="","-",-235891.11981/-233112.21869*100)</f>
        <v>101.19208728552125</v>
      </c>
    </row>
    <row r="33" spans="1:5" x14ac:dyDescent="0.25">
      <c r="A33" s="57" t="s">
        <v>272</v>
      </c>
      <c r="B33" s="58" t="s">
        <v>212</v>
      </c>
      <c r="C33" s="49">
        <v>-3264.6587300000001</v>
      </c>
      <c r="D33" s="49">
        <v>-2082.60736</v>
      </c>
      <c r="E33" s="83">
        <f>IF(OR(-3264.65873="",-2082.60736="",-3264.65873=0,-2082.60736=0),"-",-2082.60736/-3264.65873*100)</f>
        <v>63.792498151866553</v>
      </c>
    </row>
    <row r="34" spans="1:5" x14ac:dyDescent="0.25">
      <c r="A34" s="57" t="s">
        <v>273</v>
      </c>
      <c r="B34" s="58" t="s">
        <v>169</v>
      </c>
      <c r="C34" s="49">
        <v>-124827.2264</v>
      </c>
      <c r="D34" s="49">
        <v>-136117.33684999999</v>
      </c>
      <c r="E34" s="83">
        <f>IF(OR(-124827.2264="",-136117.33685="",-124827.2264=0,-136117.33685=0),"-",-136117.33685/-124827.2264*100)</f>
        <v>109.04458969057089</v>
      </c>
    </row>
    <row r="35" spans="1:5" x14ac:dyDescent="0.25">
      <c r="A35" s="57" t="s">
        <v>320</v>
      </c>
      <c r="B35" s="58" t="s">
        <v>213</v>
      </c>
      <c r="C35" s="49">
        <v>-96912.874320000003</v>
      </c>
      <c r="D35" s="49">
        <v>-97691.749609999999</v>
      </c>
      <c r="E35" s="83">
        <f>IF(OR(-96912.87432="",-97691.74961="",-96912.87432=0,-97691.74961=0),"-",-97691.74961/-96912.87432*100)</f>
        <v>100.80368608966049</v>
      </c>
    </row>
    <row r="36" spans="1:5" ht="25.5" x14ac:dyDescent="0.25">
      <c r="A36" s="55" t="s">
        <v>274</v>
      </c>
      <c r="B36" s="56" t="s">
        <v>170</v>
      </c>
      <c r="C36" s="48">
        <v>41385.692110000004</v>
      </c>
      <c r="D36" s="48">
        <v>20107.076420000001</v>
      </c>
      <c r="E36" s="82">
        <f>IF(41385.69211="","-",20107.07642/41385.69211*100)</f>
        <v>48.584608338932526</v>
      </c>
    </row>
    <row r="37" spans="1:5" x14ac:dyDescent="0.25">
      <c r="A37" s="57" t="s">
        <v>275</v>
      </c>
      <c r="B37" s="58" t="s">
        <v>216</v>
      </c>
      <c r="C37" s="49">
        <v>-485.49497000000002</v>
      </c>
      <c r="D37" s="49">
        <v>-523.35927000000004</v>
      </c>
      <c r="E37" s="83">
        <f>IF(OR(-485.49497="",-523.35927="",-485.49497=0,-523.35927=0),"-",-523.35927/-485.49497*100)</f>
        <v>107.7991127281916</v>
      </c>
    </row>
    <row r="38" spans="1:5" ht="25.5" x14ac:dyDescent="0.25">
      <c r="A38" s="57" t="s">
        <v>276</v>
      </c>
      <c r="B38" s="58" t="s">
        <v>171</v>
      </c>
      <c r="C38" s="49">
        <v>42507.485009999997</v>
      </c>
      <c r="D38" s="49">
        <v>21233.894649999998</v>
      </c>
      <c r="E38" s="83">
        <f>IF(OR(42507.48501="",21233.89465="",42507.48501=0,21233.89465=0),"-",21233.89465/42507.48501*100)</f>
        <v>49.953307388109806</v>
      </c>
    </row>
    <row r="39" spans="1:5" ht="14.25" customHeight="1" x14ac:dyDescent="0.25">
      <c r="A39" s="57" t="s">
        <v>277</v>
      </c>
      <c r="B39" s="58" t="s">
        <v>214</v>
      </c>
      <c r="C39" s="49">
        <v>-636.29792999999995</v>
      </c>
      <c r="D39" s="49">
        <v>-603.45896000000005</v>
      </c>
      <c r="E39" s="83">
        <f>IF(OR(-636.29793="",-603.45896="",-636.29793=0,-603.45896=0),"-",-603.45896/-636.29793*100)</f>
        <v>94.839057546517566</v>
      </c>
    </row>
    <row r="40" spans="1:5" ht="25.5" x14ac:dyDescent="0.25">
      <c r="A40" s="55" t="s">
        <v>278</v>
      </c>
      <c r="B40" s="56" t="s">
        <v>172</v>
      </c>
      <c r="C40" s="48">
        <v>-260015.56756</v>
      </c>
      <c r="D40" s="48">
        <v>-293786.61265999998</v>
      </c>
      <c r="E40" s="82">
        <f>IF(-260015.56756="","-",-293786.61266/-260015.56756*100)</f>
        <v>112.98808583536335</v>
      </c>
    </row>
    <row r="41" spans="1:5" ht="15" customHeight="1" x14ac:dyDescent="0.25">
      <c r="A41" s="57" t="s">
        <v>279</v>
      </c>
      <c r="B41" s="58" t="s">
        <v>25</v>
      </c>
      <c r="C41" s="49">
        <v>9179.9012600000005</v>
      </c>
      <c r="D41" s="49">
        <v>7734.4891299999999</v>
      </c>
      <c r="E41" s="83">
        <f>IF(OR(9179.90126="",7734.48913="",9179.90126=0,7734.48913=0),"-",7734.48913/9179.90126*100)</f>
        <v>84.254600468327908</v>
      </c>
    </row>
    <row r="42" spans="1:5" x14ac:dyDescent="0.25">
      <c r="A42" s="57" t="s">
        <v>280</v>
      </c>
      <c r="B42" s="58" t="s">
        <v>26</v>
      </c>
      <c r="C42" s="49">
        <v>-5005.3802999999998</v>
      </c>
      <c r="D42" s="49">
        <v>-4531.1211000000003</v>
      </c>
      <c r="E42" s="83">
        <f>IF(OR(-5005.3803="",-4531.1211="",-5005.3803=0,-4531.1211=0),"-",-4531.1211/-5005.3803*100)</f>
        <v>90.525011655957499</v>
      </c>
    </row>
    <row r="43" spans="1:5" x14ac:dyDescent="0.25">
      <c r="A43" s="57" t="s">
        <v>281</v>
      </c>
      <c r="B43" s="58" t="s">
        <v>173</v>
      </c>
      <c r="C43" s="49">
        <v>-9092.0118700000003</v>
      </c>
      <c r="D43" s="49">
        <v>-12732.26136</v>
      </c>
      <c r="E43" s="83">
        <f>IF(OR(-9092.01187="",-12732.26136="",-9092.01187=0,-12732.26136=0),"-",-12732.26136/-9092.01187*100)</f>
        <v>140.03788756602228</v>
      </c>
    </row>
    <row r="44" spans="1:5" x14ac:dyDescent="0.25">
      <c r="A44" s="57" t="s">
        <v>282</v>
      </c>
      <c r="B44" s="58" t="s">
        <v>174</v>
      </c>
      <c r="C44" s="49">
        <v>-67493.608389999994</v>
      </c>
      <c r="D44" s="49">
        <v>-75707.757559999998</v>
      </c>
      <c r="E44" s="83">
        <f>IF(OR(-67493.60839="",-75707.75756="",-67493.60839=0,-75707.75756=0),"-",-75707.75756/-67493.60839*100)</f>
        <v>112.17026228992823</v>
      </c>
    </row>
    <row r="45" spans="1:5" ht="38.25" x14ac:dyDescent="0.25">
      <c r="A45" s="57" t="s">
        <v>283</v>
      </c>
      <c r="B45" s="58" t="s">
        <v>175</v>
      </c>
      <c r="C45" s="49">
        <v>-30881.366129999999</v>
      </c>
      <c r="D45" s="49">
        <v>-39682.761100000003</v>
      </c>
      <c r="E45" s="83">
        <f>IF(OR(-30881.36613="",-39682.7611="",-30881.36613=0,-39682.7611=0),"-",-39682.7611/-30881.36613*100)</f>
        <v>128.50066584797167</v>
      </c>
    </row>
    <row r="46" spans="1:5" x14ac:dyDescent="0.25">
      <c r="A46" s="57" t="s">
        <v>284</v>
      </c>
      <c r="B46" s="58" t="s">
        <v>176</v>
      </c>
      <c r="C46" s="49">
        <v>-42595.69728</v>
      </c>
      <c r="D46" s="49">
        <v>-30957.733609999999</v>
      </c>
      <c r="E46" s="83">
        <f>IF(OR(-42595.69728="",-30957.73361="",-42595.69728=0,-30957.73361=0),"-",-30957.73361/-42595.69728*100)</f>
        <v>72.678076864199184</v>
      </c>
    </row>
    <row r="47" spans="1:5" x14ac:dyDescent="0.25">
      <c r="A47" s="57" t="s">
        <v>285</v>
      </c>
      <c r="B47" s="58" t="s">
        <v>27</v>
      </c>
      <c r="C47" s="49">
        <v>-14096.220170000001</v>
      </c>
      <c r="D47" s="49">
        <v>-17492.09748</v>
      </c>
      <c r="E47" s="83">
        <f>IF(OR(-14096.22017="",-17492.09748="",-14096.22017=0,-17492.09748=0),"-",-17492.09748/-14096.22017*100)</f>
        <v>124.0906943070257</v>
      </c>
    </row>
    <row r="48" spans="1:5" x14ac:dyDescent="0.25">
      <c r="A48" s="57" t="s">
        <v>286</v>
      </c>
      <c r="B48" s="58" t="s">
        <v>28</v>
      </c>
      <c r="C48" s="49">
        <v>-30124.067459999998</v>
      </c>
      <c r="D48" s="49">
        <v>-44651.70349</v>
      </c>
      <c r="E48" s="83">
        <f>IF(OR(-30124.06746="",-44651.70349="",-30124.06746=0,-44651.70349=0),"-",-44651.70349/-30124.06746*100)</f>
        <v>148.22601081109119</v>
      </c>
    </row>
    <row r="49" spans="1:5" x14ac:dyDescent="0.25">
      <c r="A49" s="57" t="s">
        <v>287</v>
      </c>
      <c r="B49" s="58" t="s">
        <v>177</v>
      </c>
      <c r="C49" s="49">
        <v>-69907.11722</v>
      </c>
      <c r="D49" s="49">
        <v>-75765.666089999999</v>
      </c>
      <c r="E49" s="83">
        <f>IF(OR(-69907.11722="",-75765.66609="",-69907.11722=0,-75765.66609=0),"-",-75765.66609/-69907.11722*100)</f>
        <v>108.38047555524703</v>
      </c>
    </row>
    <row r="50" spans="1:5" ht="25.5" x14ac:dyDescent="0.25">
      <c r="A50" s="55" t="s">
        <v>288</v>
      </c>
      <c r="B50" s="56" t="s">
        <v>220</v>
      </c>
      <c r="C50" s="48">
        <v>-239619.76599000001</v>
      </c>
      <c r="D50" s="48">
        <v>-303975.33051</v>
      </c>
      <c r="E50" s="82">
        <f>IF(-239619.76599="","-",-303975.33051/-239619.76599*100)</f>
        <v>126.85736890448582</v>
      </c>
    </row>
    <row r="51" spans="1:5" x14ac:dyDescent="0.25">
      <c r="A51" s="57" t="s">
        <v>289</v>
      </c>
      <c r="B51" s="58" t="s">
        <v>178</v>
      </c>
      <c r="C51" s="49">
        <v>-13449.664650000001</v>
      </c>
      <c r="D51" s="49">
        <v>-19620.42324</v>
      </c>
      <c r="E51" s="83">
        <f>IF(OR(-13449.66465="",-19620.42324="",-13449.66465=0,-19620.42324=0),"-",-19620.42324/-13449.66465*100)</f>
        <v>145.8803899619906</v>
      </c>
    </row>
    <row r="52" spans="1:5" x14ac:dyDescent="0.25">
      <c r="A52" s="57" t="s">
        <v>290</v>
      </c>
      <c r="B52" s="58" t="s">
        <v>29</v>
      </c>
      <c r="C52" s="49">
        <v>-17379.734380000002</v>
      </c>
      <c r="D52" s="49">
        <v>-19855.020540000001</v>
      </c>
      <c r="E52" s="83">
        <f>IF(OR(-17379.73438="",-19855.02054="",-17379.73438=0,-19855.02054=0),"-",-19855.02054/-17379.73438*100)</f>
        <v>114.24237048667713</v>
      </c>
    </row>
    <row r="53" spans="1:5" x14ac:dyDescent="0.25">
      <c r="A53" s="57" t="s">
        <v>291</v>
      </c>
      <c r="B53" s="58" t="s">
        <v>179</v>
      </c>
      <c r="C53" s="49">
        <v>-14220.846970000001</v>
      </c>
      <c r="D53" s="49">
        <v>-22623.364720000001</v>
      </c>
      <c r="E53" s="83">
        <f>IF(OR(-14220.84697="",-22623.36472="",-14220.84697=0,-22623.36472=0),"-",-22623.36472/-14220.84697*100)</f>
        <v>159.08591638547108</v>
      </c>
    </row>
    <row r="54" spans="1:5" ht="25.5" x14ac:dyDescent="0.25">
      <c r="A54" s="57" t="s">
        <v>292</v>
      </c>
      <c r="B54" s="58" t="s">
        <v>180</v>
      </c>
      <c r="C54" s="49">
        <v>-26717.42828</v>
      </c>
      <c r="D54" s="49">
        <v>-30732.73878</v>
      </c>
      <c r="E54" s="83">
        <f>IF(OR(-26717.42828="",-30732.73878="",-26717.42828=0,-30732.73878=0),"-",-30732.73878/-26717.42828*100)</f>
        <v>115.02880613328253</v>
      </c>
    </row>
    <row r="55" spans="1:5" ht="25.5" x14ac:dyDescent="0.25">
      <c r="A55" s="57" t="s">
        <v>293</v>
      </c>
      <c r="B55" s="58" t="s">
        <v>181</v>
      </c>
      <c r="C55" s="49">
        <v>-58139.691079999997</v>
      </c>
      <c r="D55" s="49">
        <v>-69621.999880000003</v>
      </c>
      <c r="E55" s="83">
        <f>IF(OR(-58139.69108="",-69621.99988="",-58139.69108=0,-69621.99988=0),"-",-69621.99988/-58139.69108*100)</f>
        <v>119.74951807741874</v>
      </c>
    </row>
    <row r="56" spans="1:5" x14ac:dyDescent="0.25">
      <c r="A56" s="57" t="s">
        <v>294</v>
      </c>
      <c r="B56" s="58" t="s">
        <v>30</v>
      </c>
      <c r="C56" s="49">
        <v>-20501.886989999999</v>
      </c>
      <c r="D56" s="49">
        <v>-27997.25993</v>
      </c>
      <c r="E56" s="83">
        <f>IF(OR(-20501.88699="",-27997.25993="",-20501.88699=0,-27997.25993=0),"-",-27997.25993/-20501.88699*100)</f>
        <v>136.55942959619253</v>
      </c>
    </row>
    <row r="57" spans="1:5" x14ac:dyDescent="0.25">
      <c r="A57" s="57" t="s">
        <v>295</v>
      </c>
      <c r="B57" s="58" t="s">
        <v>182</v>
      </c>
      <c r="C57" s="49">
        <v>-36227.192410000003</v>
      </c>
      <c r="D57" s="49">
        <v>-41981.685660000003</v>
      </c>
      <c r="E57" s="83">
        <f>IF(OR(-36227.19241="",-41981.68566="",-36227.19241=0,-41981.68566=0),"-",-41981.68566/-36227.19241*100)</f>
        <v>115.88445824030116</v>
      </c>
    </row>
    <row r="58" spans="1:5" x14ac:dyDescent="0.25">
      <c r="A58" s="57" t="s">
        <v>296</v>
      </c>
      <c r="B58" s="58" t="s">
        <v>31</v>
      </c>
      <c r="C58" s="49">
        <v>-19647.0913</v>
      </c>
      <c r="D58" s="49">
        <v>-23439.10226</v>
      </c>
      <c r="E58" s="83">
        <f>IF(OR(-19647.0913="",-23439.10226="",-19647.0913=0,-23439.10226=0),"-",-23439.10226/-19647.0913*100)</f>
        <v>119.30062268301262</v>
      </c>
    </row>
    <row r="59" spans="1:5" x14ac:dyDescent="0.25">
      <c r="A59" s="57" t="s">
        <v>297</v>
      </c>
      <c r="B59" s="58" t="s">
        <v>32</v>
      </c>
      <c r="C59" s="49">
        <v>-33336.229930000001</v>
      </c>
      <c r="D59" s="49">
        <v>-48103.735500000003</v>
      </c>
      <c r="E59" s="83">
        <f>IF(OR(-33336.22993="",-48103.7355="",-33336.22993=0,-48103.7355=0),"-",-48103.7355/-33336.22993*100)</f>
        <v>144.29866724884329</v>
      </c>
    </row>
    <row r="60" spans="1:5" x14ac:dyDescent="0.25">
      <c r="A60" s="55" t="s">
        <v>298</v>
      </c>
      <c r="B60" s="56" t="s">
        <v>183</v>
      </c>
      <c r="C60" s="48">
        <v>-196149.98931</v>
      </c>
      <c r="D60" s="48">
        <v>-300925.02130000002</v>
      </c>
      <c r="E60" s="82" t="s">
        <v>239</v>
      </c>
    </row>
    <row r="61" spans="1:5" x14ac:dyDescent="0.25">
      <c r="A61" s="57" t="s">
        <v>299</v>
      </c>
      <c r="B61" s="58" t="s">
        <v>184</v>
      </c>
      <c r="C61" s="49">
        <v>-4546.6007799999998</v>
      </c>
      <c r="D61" s="49">
        <v>-8963.9419699999999</v>
      </c>
      <c r="E61" s="83" t="s">
        <v>20</v>
      </c>
    </row>
    <row r="62" spans="1:5" ht="16.5" customHeight="1" x14ac:dyDescent="0.25">
      <c r="A62" s="57" t="s">
        <v>300</v>
      </c>
      <c r="B62" s="58" t="s">
        <v>185</v>
      </c>
      <c r="C62" s="49">
        <v>-48989.554640000002</v>
      </c>
      <c r="D62" s="49">
        <v>-51787.08887</v>
      </c>
      <c r="E62" s="83">
        <f>IF(OR(-48989.55464="",-51787.08887="",-48989.55464=0,-51787.08887=0),"-",-51787.08887/-48989.55464*100)</f>
        <v>105.71047083517638</v>
      </c>
    </row>
    <row r="63" spans="1:5" x14ac:dyDescent="0.25">
      <c r="A63" s="57" t="s">
        <v>301</v>
      </c>
      <c r="B63" s="58" t="s">
        <v>186</v>
      </c>
      <c r="C63" s="49">
        <v>-3131.1051499999999</v>
      </c>
      <c r="D63" s="49">
        <v>-3425.2727</v>
      </c>
      <c r="E63" s="83">
        <f>IF(OR(-3131.10515="",-3425.2727="",-3131.10515=0,-3425.2727=0),"-",-3425.2727/-3131.10515*100)</f>
        <v>109.39500706324093</v>
      </c>
    </row>
    <row r="64" spans="1:5" ht="25.5" x14ac:dyDescent="0.25">
      <c r="A64" s="57" t="s">
        <v>302</v>
      </c>
      <c r="B64" s="58" t="s">
        <v>187</v>
      </c>
      <c r="C64" s="49">
        <v>-47896.410539999997</v>
      </c>
      <c r="D64" s="49">
        <v>-66921.856820000001</v>
      </c>
      <c r="E64" s="83">
        <f>IF(OR(-47896.41054="",-66921.85682="",-47896.41054=0,-66921.85682=0),"-",-66921.85682/-47896.41054*100)</f>
        <v>139.72207116462553</v>
      </c>
    </row>
    <row r="65" spans="1:5" ht="25.5" x14ac:dyDescent="0.25">
      <c r="A65" s="57" t="s">
        <v>303</v>
      </c>
      <c r="B65" s="58" t="s">
        <v>188</v>
      </c>
      <c r="C65" s="49">
        <v>-12208.85297</v>
      </c>
      <c r="D65" s="49">
        <v>-25678.75692</v>
      </c>
      <c r="E65" s="83" t="s">
        <v>95</v>
      </c>
    </row>
    <row r="66" spans="1:5" ht="27.75" customHeight="1" x14ac:dyDescent="0.25">
      <c r="A66" s="57" t="s">
        <v>304</v>
      </c>
      <c r="B66" s="58" t="s">
        <v>189</v>
      </c>
      <c r="C66" s="49">
        <v>-39573.184990000002</v>
      </c>
      <c r="D66" s="49">
        <v>-55289.569799999997</v>
      </c>
      <c r="E66" s="83">
        <f>IF(OR(-39573.18499="",-55289.5698="",-39573.18499=0,-55289.5698=0),"-",-55289.5698/-39573.18499*100)</f>
        <v>139.71473313045556</v>
      </c>
    </row>
    <row r="67" spans="1:5" ht="38.25" x14ac:dyDescent="0.25">
      <c r="A67" s="57" t="s">
        <v>305</v>
      </c>
      <c r="B67" s="58" t="s">
        <v>190</v>
      </c>
      <c r="C67" s="49">
        <v>31913.58913</v>
      </c>
      <c r="D67" s="49">
        <v>28840.880239999999</v>
      </c>
      <c r="E67" s="83">
        <f>IF(OR(31913.58913="",28840.88024="",31913.58913=0,28840.88024=0),"-",28840.88024/31913.58913*100)</f>
        <v>90.371785268390454</v>
      </c>
    </row>
    <row r="68" spans="1:5" ht="15" customHeight="1" x14ac:dyDescent="0.25">
      <c r="A68" s="57" t="s">
        <v>306</v>
      </c>
      <c r="B68" s="58" t="s">
        <v>191</v>
      </c>
      <c r="C68" s="49">
        <v>-68408.791119999994</v>
      </c>
      <c r="D68" s="49">
        <v>-117496.75693</v>
      </c>
      <c r="E68" s="83" t="s">
        <v>103</v>
      </c>
    </row>
    <row r="69" spans="1:5" x14ac:dyDescent="0.25">
      <c r="A69" s="57" t="s">
        <v>307</v>
      </c>
      <c r="B69" s="58" t="s">
        <v>33</v>
      </c>
      <c r="C69" s="49">
        <v>-3309.07825</v>
      </c>
      <c r="D69" s="49">
        <v>-202.65753000000001</v>
      </c>
      <c r="E69" s="83">
        <f>IF(OR(-3309.07825="",-202.65753="",-3309.07825=0,-202.65753=0),"-",-202.65753/-3309.07825*100)</f>
        <v>6.1242894452556387</v>
      </c>
    </row>
    <row r="70" spans="1:5" x14ac:dyDescent="0.25">
      <c r="A70" s="55" t="s">
        <v>308</v>
      </c>
      <c r="B70" s="56" t="s">
        <v>34</v>
      </c>
      <c r="C70" s="48">
        <v>-8943.7048300000006</v>
      </c>
      <c r="D70" s="48">
        <v>-49096.954619999997</v>
      </c>
      <c r="E70" s="82" t="s">
        <v>371</v>
      </c>
    </row>
    <row r="71" spans="1:5" ht="25.5" x14ac:dyDescent="0.25">
      <c r="A71" s="57" t="s">
        <v>309</v>
      </c>
      <c r="B71" s="58" t="s">
        <v>217</v>
      </c>
      <c r="C71" s="49">
        <v>-7643.6894599999996</v>
      </c>
      <c r="D71" s="49">
        <v>-12113.04574</v>
      </c>
      <c r="E71" s="83" t="s">
        <v>104</v>
      </c>
    </row>
    <row r="72" spans="1:5" x14ac:dyDescent="0.25">
      <c r="A72" s="57" t="s">
        <v>310</v>
      </c>
      <c r="B72" s="58" t="s">
        <v>192</v>
      </c>
      <c r="C72" s="49">
        <v>22843.980189999998</v>
      </c>
      <c r="D72" s="49">
        <v>35948.930569999997</v>
      </c>
      <c r="E72" s="83" t="s">
        <v>104</v>
      </c>
    </row>
    <row r="73" spans="1:5" x14ac:dyDescent="0.25">
      <c r="A73" s="57" t="s">
        <v>311</v>
      </c>
      <c r="B73" s="58" t="s">
        <v>193</v>
      </c>
      <c r="C73" s="49">
        <v>1258.6089199999999</v>
      </c>
      <c r="D73" s="49">
        <v>1435.2736500000001</v>
      </c>
      <c r="E73" s="83">
        <f>IF(OR(1258.60892="",1435.27365="",1258.60892=0,1435.27365=0),"-",1435.27365/1258.60892*100)</f>
        <v>114.03650706686554</v>
      </c>
    </row>
    <row r="74" spans="1:5" x14ac:dyDescent="0.25">
      <c r="A74" s="57" t="s">
        <v>312</v>
      </c>
      <c r="B74" s="58" t="s">
        <v>194</v>
      </c>
      <c r="C74" s="49">
        <v>33281.120949999997</v>
      </c>
      <c r="D74" s="49">
        <v>25314.191360000001</v>
      </c>
      <c r="E74" s="83">
        <f>IF(OR(33281.12095="",25314.19136="",33281.12095=0,25314.19136=0),"-",25314.19136/33281.12095*100)</f>
        <v>76.061714982589862</v>
      </c>
    </row>
    <row r="75" spans="1:5" x14ac:dyDescent="0.25">
      <c r="A75" s="57" t="s">
        <v>313</v>
      </c>
      <c r="B75" s="58" t="s">
        <v>195</v>
      </c>
      <c r="C75" s="49">
        <v>-2077.41104</v>
      </c>
      <c r="D75" s="49">
        <v>-5251.9371600000004</v>
      </c>
      <c r="E75" s="83" t="s">
        <v>230</v>
      </c>
    </row>
    <row r="76" spans="1:5" ht="25.5" x14ac:dyDescent="0.25">
      <c r="A76" s="57" t="s">
        <v>314</v>
      </c>
      <c r="B76" s="58" t="s">
        <v>218</v>
      </c>
      <c r="C76" s="49">
        <v>-11202.39119</v>
      </c>
      <c r="D76" s="49">
        <v>-20896.00819</v>
      </c>
      <c r="E76" s="83" t="s">
        <v>105</v>
      </c>
    </row>
    <row r="77" spans="1:5" ht="25.5" x14ac:dyDescent="0.25">
      <c r="A77" s="57" t="s">
        <v>315</v>
      </c>
      <c r="B77" s="58" t="s">
        <v>196</v>
      </c>
      <c r="C77" s="49">
        <v>-2620.1731</v>
      </c>
      <c r="D77" s="49">
        <v>-2969.8349600000001</v>
      </c>
      <c r="E77" s="83">
        <f>IF(OR(-2620.1731="",-2969.83496="",-2620.1731=0,-2969.83496=0),"-",-2969.83496/-2620.1731*100)</f>
        <v>113.34499083285759</v>
      </c>
    </row>
    <row r="78" spans="1:5" x14ac:dyDescent="0.25">
      <c r="A78" s="57" t="s">
        <v>316</v>
      </c>
      <c r="B78" s="58" t="s">
        <v>35</v>
      </c>
      <c r="C78" s="49">
        <v>-42783.750099999997</v>
      </c>
      <c r="D78" s="49">
        <v>-70564.524149999997</v>
      </c>
      <c r="E78" s="83" t="s">
        <v>104</v>
      </c>
    </row>
    <row r="79" spans="1:5" x14ac:dyDescent="0.25">
      <c r="A79" s="59" t="s">
        <v>321</v>
      </c>
      <c r="B79" s="84" t="s">
        <v>197</v>
      </c>
      <c r="C79" s="60">
        <v>60.829459999999997</v>
      </c>
      <c r="D79" s="60">
        <v>-77.369870000000006</v>
      </c>
      <c r="E79" s="85" t="s">
        <v>22</v>
      </c>
    </row>
    <row r="80" spans="1:5" x14ac:dyDescent="0.25">
      <c r="A80" s="141" t="s">
        <v>21</v>
      </c>
      <c r="B80" s="141"/>
    </row>
  </sheetData>
  <mergeCells count="7">
    <mergeCell ref="A80:B80"/>
    <mergeCell ref="A4:A5"/>
    <mergeCell ref="B1:E1"/>
    <mergeCell ref="B2:E2"/>
    <mergeCell ref="B4:B5"/>
    <mergeCell ref="E4:E5"/>
    <mergeCell ref="C4:D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Comerciala_Tari'!Заголовки_для_печати</vt:lpstr>
      <vt:lpstr>Balanta_Comerciala_Gr_Marf_CSCI!Заголовки_для_печати</vt:lpstr>
      <vt:lpstr>Export_Grupe_Marfuri_CSCI!Заголовки_для_печати</vt:lpstr>
      <vt:lpstr>Export_Tari!Заголовки_для_печати</vt:lpstr>
      <vt:lpstr>Import_Grupe_Marfuri_CSCI!Заголовки_для_печати</vt:lpstr>
      <vt:lpstr>Import_Tari!Заголовки_для_печати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Mariana Eni</cp:lastModifiedBy>
  <cp:lastPrinted>2021-06-11T16:02:13Z</cp:lastPrinted>
  <dcterms:created xsi:type="dcterms:W3CDTF">2016-09-01T07:59:47Z</dcterms:created>
  <dcterms:modified xsi:type="dcterms:W3CDTF">2021-06-14T10:33:09Z</dcterms:modified>
</cp:coreProperties>
</file>