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3_2021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D134" i="3" l="1"/>
  <c r="D133" i="3"/>
  <c r="D132" i="3"/>
  <c r="D131" i="3"/>
  <c r="D129" i="3"/>
  <c r="D121" i="3"/>
  <c r="D119" i="3"/>
  <c r="D118" i="3"/>
  <c r="D117" i="3"/>
  <c r="D116" i="3"/>
  <c r="D115" i="3"/>
  <c r="D112" i="3"/>
  <c r="D111" i="3"/>
  <c r="D109" i="3"/>
  <c r="D107" i="3"/>
  <c r="D105" i="3"/>
  <c r="D104" i="3"/>
  <c r="D103" i="3"/>
  <c r="D102" i="3"/>
  <c r="D98" i="3"/>
  <c r="D97" i="3"/>
  <c r="D95" i="3"/>
  <c r="D94" i="3"/>
  <c r="D93" i="3"/>
  <c r="D92" i="3"/>
  <c r="D88" i="3"/>
  <c r="D87" i="3"/>
  <c r="D84" i="3"/>
  <c r="D80" i="3"/>
  <c r="D78" i="3"/>
  <c r="D76" i="3"/>
  <c r="D73" i="3"/>
  <c r="D72" i="3"/>
  <c r="D70" i="3"/>
  <c r="D68" i="3"/>
  <c r="D67" i="3"/>
  <c r="D66" i="3"/>
  <c r="D62" i="3"/>
  <c r="D61" i="3"/>
  <c r="D60" i="3"/>
  <c r="D57" i="3"/>
  <c r="D56" i="3"/>
  <c r="D55" i="3"/>
  <c r="D54" i="3"/>
  <c r="D53" i="3"/>
  <c r="D52" i="3"/>
  <c r="D51" i="3"/>
  <c r="D50" i="3"/>
  <c r="D49" i="3"/>
  <c r="D48" i="3"/>
  <c r="D47" i="3"/>
  <c r="D44" i="3"/>
  <c r="D43" i="3"/>
  <c r="D40" i="3"/>
  <c r="D38" i="3"/>
  <c r="D37" i="3"/>
  <c r="D36" i="3"/>
  <c r="D35" i="3"/>
  <c r="D33" i="3"/>
  <c r="D32" i="3"/>
  <c r="D30" i="3"/>
  <c r="D27" i="3"/>
  <c r="D26" i="3"/>
  <c r="D25" i="3"/>
  <c r="D24" i="3"/>
  <c r="D23" i="3"/>
  <c r="D22" i="3"/>
  <c r="D20" i="3"/>
  <c r="D19" i="3"/>
  <c r="D18" i="3"/>
  <c r="D15" i="3"/>
  <c r="D14" i="3"/>
  <c r="D12" i="3"/>
  <c r="D11" i="3"/>
  <c r="D10" i="3"/>
  <c r="D9" i="3"/>
  <c r="D7" i="3"/>
  <c r="D5" i="3"/>
  <c r="E78" i="4" l="1"/>
  <c r="E77" i="4"/>
  <c r="E74" i="4"/>
  <c r="E73" i="4"/>
  <c r="E72" i="4"/>
  <c r="E71" i="4"/>
  <c r="E68" i="4"/>
  <c r="E67" i="4"/>
  <c r="E66" i="4"/>
  <c r="E64" i="4"/>
  <c r="E63" i="4"/>
  <c r="E62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28" i="4"/>
  <c r="E26" i="4"/>
  <c r="E24" i="4"/>
  <c r="E23" i="4"/>
  <c r="E21" i="4"/>
  <c r="E20" i="4"/>
  <c r="E19" i="4"/>
  <c r="E18" i="4"/>
  <c r="E16" i="4"/>
  <c r="E14" i="4"/>
  <c r="E12" i="4"/>
  <c r="E11" i="4"/>
  <c r="E10" i="4"/>
  <c r="E9" i="4"/>
  <c r="E6" i="4"/>
  <c r="H79" i="6" l="1"/>
  <c r="G79" i="6"/>
  <c r="F79" i="6"/>
  <c r="E79" i="6"/>
  <c r="D79" i="6"/>
  <c r="H78" i="6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D35" i="6"/>
  <c r="H34" i="6"/>
  <c r="G34" i="6"/>
  <c r="F34" i="6"/>
  <c r="E34" i="6"/>
  <c r="D34" i="6"/>
  <c r="H33" i="6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7" i="6"/>
  <c r="G7" i="6"/>
  <c r="D7" i="6"/>
  <c r="H76" i="5" l="1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H68" i="5"/>
  <c r="G68" i="5"/>
  <c r="F68" i="5"/>
  <c r="E68" i="5"/>
  <c r="D68" i="5"/>
  <c r="H67" i="5"/>
  <c r="G67" i="5"/>
  <c r="F67" i="5"/>
  <c r="E67" i="5"/>
  <c r="H66" i="5"/>
  <c r="G66" i="5"/>
  <c r="F66" i="5"/>
  <c r="E66" i="5"/>
  <c r="H65" i="5"/>
  <c r="G65" i="5"/>
  <c r="F65" i="5"/>
  <c r="E65" i="5"/>
  <c r="D65" i="5"/>
  <c r="H64" i="5"/>
  <c r="G64" i="5"/>
  <c r="F64" i="5"/>
  <c r="E64" i="5"/>
  <c r="H63" i="5"/>
  <c r="G63" i="5"/>
  <c r="F63" i="5"/>
  <c r="E63" i="5"/>
  <c r="H62" i="5"/>
  <c r="G62" i="5"/>
  <c r="F62" i="5"/>
  <c r="E62" i="5"/>
  <c r="D62" i="5"/>
  <c r="H61" i="5"/>
  <c r="G61" i="5"/>
  <c r="F61" i="5"/>
  <c r="E61" i="5"/>
  <c r="H60" i="5"/>
  <c r="G60" i="5"/>
  <c r="F60" i="5"/>
  <c r="E60" i="5"/>
  <c r="H59" i="5"/>
  <c r="G59" i="5"/>
  <c r="F59" i="5"/>
  <c r="E59" i="5"/>
  <c r="D59" i="5"/>
  <c r="H58" i="5"/>
  <c r="G58" i="5"/>
  <c r="F58" i="5"/>
  <c r="E58" i="5"/>
  <c r="D58" i="5"/>
  <c r="H57" i="5"/>
  <c r="G57" i="5"/>
  <c r="F57" i="5"/>
  <c r="E57" i="5"/>
  <c r="D57" i="5"/>
  <c r="H56" i="5"/>
  <c r="G56" i="5"/>
  <c r="F56" i="5"/>
  <c r="E56" i="5"/>
  <c r="D56" i="5"/>
  <c r="H55" i="5"/>
  <c r="G55" i="5"/>
  <c r="F55" i="5"/>
  <c r="E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D52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H48" i="5"/>
  <c r="G48" i="5"/>
  <c r="F48" i="5"/>
  <c r="E48" i="5"/>
  <c r="D48" i="5"/>
  <c r="H47" i="5"/>
  <c r="G47" i="5"/>
  <c r="F47" i="5"/>
  <c r="E47" i="5"/>
  <c r="H46" i="5"/>
  <c r="G46" i="5"/>
  <c r="F46" i="5"/>
  <c r="E46" i="5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D43" i="5"/>
  <c r="H42" i="5"/>
  <c r="G42" i="5"/>
  <c r="F42" i="5"/>
  <c r="E42" i="5"/>
  <c r="H41" i="5"/>
  <c r="G41" i="5"/>
  <c r="F41" i="5"/>
  <c r="E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H37" i="5"/>
  <c r="G37" i="5"/>
  <c r="F37" i="5"/>
  <c r="E37" i="5"/>
  <c r="D37" i="5"/>
  <c r="H36" i="5"/>
  <c r="G36" i="5"/>
  <c r="F36" i="5"/>
  <c r="E36" i="5"/>
  <c r="D36" i="5"/>
  <c r="H35" i="5"/>
  <c r="G35" i="5"/>
  <c r="F35" i="5"/>
  <c r="E35" i="5"/>
  <c r="D35" i="5"/>
  <c r="H34" i="5"/>
  <c r="G34" i="5"/>
  <c r="F34" i="5"/>
  <c r="E34" i="5"/>
  <c r="D34" i="5"/>
  <c r="H33" i="5"/>
  <c r="G33" i="5"/>
  <c r="F33" i="5"/>
  <c r="E33" i="5"/>
  <c r="H32" i="5"/>
  <c r="G32" i="5"/>
  <c r="F32" i="5"/>
  <c r="E32" i="5"/>
  <c r="H31" i="5"/>
  <c r="G31" i="5"/>
  <c r="F31" i="5"/>
  <c r="E31" i="5"/>
  <c r="H30" i="5"/>
  <c r="G30" i="5"/>
  <c r="F30" i="5"/>
  <c r="E30" i="5"/>
  <c r="D30" i="5"/>
  <c r="H29" i="5"/>
  <c r="G29" i="5"/>
  <c r="F29" i="5"/>
  <c r="E29" i="5"/>
  <c r="H28" i="5"/>
  <c r="G28" i="5"/>
  <c r="F28" i="5"/>
  <c r="E28" i="5"/>
  <c r="D28" i="5"/>
  <c r="H27" i="5"/>
  <c r="G27" i="5"/>
  <c r="F27" i="5"/>
  <c r="E27" i="5"/>
  <c r="H26" i="5"/>
  <c r="G26" i="5"/>
  <c r="F26" i="5"/>
  <c r="E26" i="5"/>
  <c r="H25" i="5"/>
  <c r="G25" i="5"/>
  <c r="F25" i="5"/>
  <c r="E25" i="5"/>
  <c r="D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D12" i="5"/>
  <c r="H11" i="5"/>
  <c r="G11" i="5"/>
  <c r="F11" i="5"/>
  <c r="E11" i="5"/>
  <c r="D11" i="5"/>
  <c r="H10" i="5"/>
  <c r="G10" i="5"/>
  <c r="F10" i="5"/>
  <c r="E10" i="5"/>
  <c r="H9" i="5"/>
  <c r="G9" i="5"/>
  <c r="F9" i="5"/>
  <c r="E9" i="5"/>
  <c r="D9" i="5"/>
  <c r="H8" i="5"/>
  <c r="G8" i="5"/>
  <c r="F8" i="5"/>
  <c r="E8" i="5"/>
  <c r="D8" i="5"/>
  <c r="H7" i="5"/>
  <c r="G7" i="5"/>
  <c r="D7" i="5"/>
  <c r="G117" i="2" l="1"/>
  <c r="F117" i="2"/>
  <c r="E117" i="2"/>
  <c r="D117" i="2"/>
  <c r="G116" i="2"/>
  <c r="F116" i="2"/>
  <c r="E116" i="2"/>
  <c r="D116" i="2"/>
  <c r="C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C110" i="2"/>
  <c r="G109" i="2"/>
  <c r="F109" i="2"/>
  <c r="E109" i="2"/>
  <c r="D109" i="2"/>
  <c r="C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G102" i="2"/>
  <c r="F102" i="2"/>
  <c r="E102" i="2"/>
  <c r="D102" i="2"/>
  <c r="C102" i="2"/>
  <c r="G101" i="2"/>
  <c r="F101" i="2"/>
  <c r="E101" i="2"/>
  <c r="D101" i="2"/>
  <c r="G100" i="2"/>
  <c r="F100" i="2"/>
  <c r="E100" i="2"/>
  <c r="D100" i="2"/>
  <c r="C100" i="2"/>
  <c r="G99" i="2"/>
  <c r="F99" i="2"/>
  <c r="E99" i="2"/>
  <c r="D99" i="2"/>
  <c r="C99" i="2"/>
  <c r="G98" i="2"/>
  <c r="F98" i="2"/>
  <c r="E98" i="2"/>
  <c r="D98" i="2"/>
  <c r="G97" i="2"/>
  <c r="F97" i="2"/>
  <c r="E97" i="2"/>
  <c r="D97" i="2"/>
  <c r="C97" i="2"/>
  <c r="G96" i="2"/>
  <c r="F96" i="2"/>
  <c r="E96" i="2"/>
  <c r="D96" i="2"/>
  <c r="G95" i="2"/>
  <c r="F95" i="2"/>
  <c r="E95" i="2"/>
  <c r="D95" i="2"/>
  <c r="G94" i="2"/>
  <c r="F94" i="2"/>
  <c r="E94" i="2"/>
  <c r="D94" i="2"/>
  <c r="C94" i="2"/>
  <c r="G93" i="2"/>
  <c r="F93" i="2"/>
  <c r="E93" i="2"/>
  <c r="D93" i="2"/>
  <c r="G92" i="2"/>
  <c r="F92" i="2"/>
  <c r="E92" i="2"/>
  <c r="D92" i="2"/>
  <c r="C92" i="2"/>
  <c r="G91" i="2"/>
  <c r="F91" i="2"/>
  <c r="E91" i="2"/>
  <c r="D91" i="2"/>
  <c r="G90" i="2"/>
  <c r="F90" i="2"/>
  <c r="E90" i="2"/>
  <c r="D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G81" i="2"/>
  <c r="F81" i="2"/>
  <c r="E81" i="2"/>
  <c r="D81" i="2"/>
  <c r="C81" i="2"/>
  <c r="G80" i="2"/>
  <c r="F80" i="2"/>
  <c r="E80" i="2"/>
  <c r="D80" i="2"/>
  <c r="G79" i="2"/>
  <c r="F79" i="2"/>
  <c r="E79" i="2"/>
  <c r="D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G74" i="2"/>
  <c r="F74" i="2"/>
  <c r="E74" i="2"/>
  <c r="D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G46" i="2"/>
  <c r="F46" i="2"/>
  <c r="E46" i="2"/>
  <c r="D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G34" i="2"/>
  <c r="F34" i="2"/>
  <c r="E34" i="2"/>
  <c r="D34" i="2"/>
  <c r="C34" i="2"/>
  <c r="G33" i="2"/>
  <c r="F33" i="2"/>
  <c r="E33" i="2"/>
  <c r="D33" i="2"/>
  <c r="G32" i="2"/>
  <c r="F32" i="2"/>
  <c r="E32" i="2"/>
  <c r="D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6" i="2"/>
  <c r="F6" i="2"/>
  <c r="C6" i="2"/>
  <c r="G107" i="1" l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G98" i="1"/>
  <c r="F98" i="1"/>
  <c r="E98" i="1"/>
  <c r="D98" i="1"/>
  <c r="C98" i="1"/>
  <c r="G97" i="1"/>
  <c r="F97" i="1"/>
  <c r="E97" i="1"/>
  <c r="D97" i="1"/>
  <c r="G96" i="1"/>
  <c r="F96" i="1"/>
  <c r="E96" i="1"/>
  <c r="D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G71" i="1"/>
  <c r="F71" i="1"/>
  <c r="E71" i="1"/>
  <c r="D71" i="1"/>
  <c r="G70" i="1"/>
  <c r="F70" i="1"/>
  <c r="E70" i="1"/>
  <c r="D70" i="1"/>
  <c r="C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C66" i="1"/>
  <c r="G65" i="1"/>
  <c r="F65" i="1"/>
  <c r="E65" i="1"/>
  <c r="D65" i="1"/>
  <c r="G64" i="1"/>
  <c r="F64" i="1"/>
  <c r="E64" i="1"/>
  <c r="D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G60" i="1"/>
  <c r="F60" i="1"/>
  <c r="E60" i="1"/>
  <c r="D60" i="1"/>
  <c r="C60" i="1"/>
  <c r="G59" i="1"/>
  <c r="F59" i="1"/>
  <c r="E59" i="1"/>
  <c r="D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G49" i="1"/>
  <c r="F49" i="1"/>
  <c r="E49" i="1"/>
  <c r="D49" i="1"/>
  <c r="C49" i="1"/>
  <c r="G48" i="1"/>
  <c r="F48" i="1"/>
  <c r="E48" i="1"/>
  <c r="D48" i="1"/>
  <c r="G47" i="1"/>
  <c r="F47" i="1"/>
  <c r="E47" i="1"/>
  <c r="D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6" i="1"/>
  <c r="F6" i="1"/>
  <c r="C6" i="1"/>
</calcChain>
</file>

<file path=xl/sharedStrings.xml><?xml version="1.0" encoding="utf-8"?>
<sst xmlns="http://schemas.openxmlformats.org/spreadsheetml/2006/main" count="1086" uniqueCount="392">
  <si>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</si>
  <si>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</si>
  <si>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</si>
  <si>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</si>
  <si>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</si>
  <si>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</si>
  <si>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</si>
  <si>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</si>
  <si>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</si>
  <si>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</si>
  <si>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</si>
  <si>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</si>
  <si>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</si>
  <si>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</si>
  <si>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</si>
  <si>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</si>
  <si>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</si>
  <si>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</si>
  <si>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</si>
  <si>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</si>
  <si>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</si>
  <si>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</si>
  <si>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</si>
  <si>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</si>
  <si>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</si>
  <si>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</si>
  <si>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</si>
  <si>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</si>
  <si>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</si>
  <si>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</si>
  <si>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</si>
  <si>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</si>
  <si>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</si>
  <si>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</si>
  <si>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</si>
  <si>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</si>
  <si>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</si>
  <si>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</si>
  <si>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</si>
  <si>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</si>
  <si>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</si>
  <si>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</si>
  <si>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</si>
  <si>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</si>
  <si>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</si>
  <si>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</si>
  <si>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</si>
  <si>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</si>
  <si>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</si>
  <si>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</si>
  <si>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</si>
  <si>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</si>
  <si>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</si>
  <si>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</si>
  <si>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</si>
  <si>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</si>
  <si>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</si>
  <si>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</si>
  <si>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</si>
  <si>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</si>
  <si>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</si>
  <si>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</si>
  <si>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</si>
  <si>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</si>
  <si>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</si>
  <si>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</si>
  <si>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</si>
  <si>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</si>
  <si>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</si>
  <si>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</si>
  <si>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</si>
  <si>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</si>
  <si>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</si>
  <si>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</si>
  <si>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</si>
  <si>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</si>
  <si>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</si>
  <si>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</si>
  <si>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</si>
  <si>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</si>
  <si>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</si>
  <si>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</si>
  <si>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</si>
  <si>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</si>
  <si>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</si>
  <si>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</si>
  <si>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</si>
  <si>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</si>
  <si>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</si>
  <si>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</si>
  <si>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</si>
  <si>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</si>
  <si>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</si>
  <si>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</si>
  <si>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</si>
  <si>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</si>
  <si>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</si>
  <si>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</si>
  <si>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</si>
  <si>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</si>
  <si>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</si>
  <si>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</si>
  <si>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</si>
  <si>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</si>
  <si>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</si>
  <si>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</si>
  <si>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</si>
  <si>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</si>
  <si>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</si>
  <si>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</si>
  <si>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</si>
  <si>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</si>
  <si>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</si>
  <si>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</si>
  <si>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</si>
  <si>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</si>
  <si>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</si>
  <si>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</si>
  <si>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</si>
  <si>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</si>
  <si>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</si>
  <si>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</si>
  <si>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Regatul Unit al Marii Britanii şi Irlandei de Nord</t>
  </si>
  <si>
    <t>Franţa</t>
  </si>
  <si>
    <t>Croaţia</t>
  </si>
  <si>
    <t>Federaţia Rusă</t>
  </si>
  <si>
    <t>Kârgâzstan</t>
  </si>
  <si>
    <t>Elveţia</t>
  </si>
  <si>
    <t>Siria</t>
  </si>
  <si>
    <t>IMPORT - total</t>
  </si>
  <si>
    <t>Etiopia</t>
  </si>
  <si>
    <t>Bahrain</t>
  </si>
  <si>
    <t>Senegal</t>
  </si>
  <si>
    <t xml:space="preserve">   din care:</t>
  </si>
  <si>
    <t xml:space="preserve">IMPORT - total      </t>
  </si>
  <si>
    <t>2020¹</t>
  </si>
  <si>
    <t>Burkina Faso</t>
  </si>
  <si>
    <t>Macedonia de Nord</t>
  </si>
  <si>
    <t>Cote D'Ivoire</t>
  </si>
  <si>
    <t>Insulele Feroe</t>
  </si>
  <si>
    <t>Laos</t>
  </si>
  <si>
    <t xml:space="preserve">     din care:</t>
  </si>
  <si>
    <t>Republica Yemen</t>
  </si>
  <si>
    <t>Zimbabwe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</si>
  <si>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</si>
  <si>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</si>
  <si>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</si>
  <si>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</si>
  <si>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</si>
  <si>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</si>
  <si>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</si>
  <si>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</si>
  <si>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</si>
  <si>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</si>
  <si>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</si>
  <si>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</si>
  <si>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</si>
  <si>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</si>
  <si>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</si>
  <si>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Sri Lanka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</si>
  <si>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</si>
  <si>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</si>
  <si>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</si>
  <si>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</si>
  <si>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</si>
  <si>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</si>
  <si>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</si>
  <si>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</si>
  <si>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</si>
  <si>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</si>
  <si>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</si>
  <si>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</si>
  <si>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</si>
  <si>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</si>
  <si>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</si>
  <si>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</si>
  <si>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</si>
  <si>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</si>
  <si>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</si>
  <si>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</si>
  <si>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</si>
  <si>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</si>
  <si>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</si>
  <si>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</si>
  <si>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</si>
  <si>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</si>
  <si>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</si>
  <si>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</si>
  <si>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</si>
  <si>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</si>
  <si>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</si>
  <si>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</si>
  <si>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</si>
  <si>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</si>
  <si>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</si>
  <si>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</si>
  <si>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</si>
  <si>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</si>
  <si>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</si>
  <si>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</si>
  <si>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</si>
  <si>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</si>
  <si>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</si>
  <si>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</si>
  <si>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</si>
  <si>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</si>
  <si>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</si>
  <si>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</si>
  <si>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</si>
  <si>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</si>
  <si>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</si>
  <si>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</si>
  <si>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</si>
  <si>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</si>
  <si>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</si>
  <si>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</si>
  <si>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</si>
  <si>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</si>
  <si>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</si>
  <si>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</si>
  <si>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</si>
  <si>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Mărfuri manufacturate, clasificate mai ales după materia primă</t>
  </si>
  <si>
    <t>de 2,2 ori</t>
  </si>
  <si>
    <t>de 1,8 ori</t>
  </si>
  <si>
    <t>Țările CSI - total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</si>
  <si>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</si>
  <si>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</si>
  <si>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</si>
  <si>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</si>
  <si>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</si>
  <si>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BALANŢA COMERCIALĂ – total, mii dolari SUA</t>
  </si>
  <si>
    <t>de 2,5 ori</t>
  </si>
  <si>
    <t>Ţările Uniunii Europene (UE 27) - total</t>
  </si>
  <si>
    <t>Bosnia şi Herţegovina</t>
  </si>
  <si>
    <t>de 2,4 ori</t>
  </si>
  <si>
    <t>Libia</t>
  </si>
  <si>
    <t>de 5,3 ori</t>
  </si>
  <si>
    <t>de 6,2 ori</t>
  </si>
  <si>
    <t>2021¹</t>
  </si>
  <si>
    <t>Statul Palestina</t>
  </si>
  <si>
    <t>Gambia</t>
  </si>
  <si>
    <t>de 2,3 ori</t>
  </si>
  <si>
    <t>de 4,1 ori</t>
  </si>
  <si>
    <t>de 3,8 ori</t>
  </si>
  <si>
    <t>Djibouti</t>
  </si>
  <si>
    <t>de 7,2 ori</t>
  </si>
  <si>
    <t>de 7,7 ori</t>
  </si>
  <si>
    <t>de 3,7 ori</t>
  </si>
  <si>
    <t>de 1,5 ori</t>
  </si>
  <si>
    <t>de 3,4 ori</t>
  </si>
  <si>
    <t>de 3,2 ori</t>
  </si>
  <si>
    <t>de 5,8 ori</t>
  </si>
  <si>
    <t>de 3,5 ori</t>
  </si>
  <si>
    <t>Ianuarie - martie 2021</t>
  </si>
  <si>
    <t>în % faţă de ianuarie - martie 2020¹</t>
  </si>
  <si>
    <t>ianuarie - martie</t>
  </si>
  <si>
    <t>în % faţă de ianuarie-martie 2020¹</t>
  </si>
  <si>
    <t>Ianuarie - martie</t>
  </si>
  <si>
    <t>Ianuarie - martie 2021 în % faţă de            ianuarie - martie 2020¹</t>
  </si>
  <si>
    <t>Bosnia şi Hertegovina</t>
  </si>
  <si>
    <t>Insulele Turks şi Caicos</t>
  </si>
  <si>
    <t>Kosovo</t>
  </si>
  <si>
    <t>Congo</t>
  </si>
  <si>
    <t>Panama</t>
  </si>
  <si>
    <t>Afganistan</t>
  </si>
  <si>
    <t xml:space="preserve">Ţări cu codul tarii de origine a marfii "EU" </t>
  </si>
  <si>
    <t>Tanzania</t>
  </si>
  <si>
    <t>Nicaragua</t>
  </si>
  <si>
    <t>Mauritius</t>
  </si>
  <si>
    <t>Republica Dominicană</t>
  </si>
  <si>
    <t>Barbados</t>
  </si>
  <si>
    <t>Paraguay</t>
  </si>
  <si>
    <t>Guatemala</t>
  </si>
  <si>
    <t>Andorra</t>
  </si>
  <si>
    <t>de 3,3 ori</t>
  </si>
  <si>
    <t>de 13,8 ori</t>
  </si>
  <si>
    <t>de 11,5 ori</t>
  </si>
  <si>
    <t>de 3,0 ori</t>
  </si>
  <si>
    <t>de 1356,5 ori</t>
  </si>
  <si>
    <t>de 3,6 ori</t>
  </si>
  <si>
    <t>de 17,6 ori</t>
  </si>
  <si>
    <t>de 44,5 ori</t>
  </si>
  <si>
    <t>de 89,3 ori</t>
  </si>
  <si>
    <t>de 70,8 ori</t>
  </si>
  <si>
    <t>de 31,2 ori</t>
  </si>
  <si>
    <t>de 74,2 ori</t>
  </si>
  <si>
    <t>de 10,6 ori</t>
  </si>
  <si>
    <t>de 604,5 ori</t>
  </si>
  <si>
    <t>de 37,6 ori</t>
  </si>
  <si>
    <t>de 39,5 ori</t>
  </si>
  <si>
    <t>de 25,7 ori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</si>
  <si>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</si>
  <si>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</si>
  <si>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</si>
  <si>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</si>
  <si>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</si>
  <si>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</si>
  <si>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</si>
  <si>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</si>
  <si>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</si>
  <si>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</si>
  <si>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</si>
  <si>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</si>
  <si>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</si>
  <si>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</si>
  <si>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</si>
  <si>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</si>
  <si>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</si>
  <si>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</si>
  <si>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</si>
  <si>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</si>
  <si>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</si>
  <si>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</si>
  <si>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</si>
  <si>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</si>
  <si>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</si>
  <si>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</si>
  <si>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</si>
  <si>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</si>
  <si>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</si>
  <si>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</si>
  <si>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</si>
  <si>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</si>
  <si>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</si>
  <si>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</si>
  <si>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</si>
  <si>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</si>
  <si>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</si>
  <si>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</si>
  <si>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</si>
  <si>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</si>
  <si>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</si>
  <si>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</si>
  <si>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</si>
  <si>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</si>
  <si>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</si>
  <si>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</si>
  <si>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</si>
  <si>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</si>
  <si>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</si>
  <si>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</si>
  <si>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</si>
  <si>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</si>
  <si>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</si>
  <si>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</si>
  <si>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</si>
  <si>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</si>
  <si>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</si>
  <si>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</si>
  <si>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</si>
  <si>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</si>
  <si>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</si>
  <si>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</si>
  <si>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</si>
  <si>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</si>
  <si>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</si>
  <si>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</si>
  <si>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</si>
  <si>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</si>
  <si>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</si>
  <si>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</si>
  <si>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de 6,1 ori</t>
  </si>
  <si>
    <t>de 7,4 ori</t>
  </si>
  <si>
    <t>de 11,2 ori</t>
  </si>
  <si>
    <t>de 7,3 ori</t>
  </si>
  <si>
    <t>de 2,6 ori</t>
  </si>
  <si>
    <t>de 2,8 ori</t>
  </si>
  <si>
    <t>de 327,7 ori</t>
  </si>
  <si>
    <t>23</t>
  </si>
  <si>
    <t>34</t>
  </si>
  <si>
    <t>9</t>
  </si>
  <si>
    <t>Cod CSCI</t>
  </si>
  <si>
    <t>BALANŢA COMERCIALĂ - total,                 mii dolari SUA</t>
  </si>
  <si>
    <t>de 4,8 ori</t>
  </si>
  <si>
    <t>Țările Uniunii Europene (UE-27) - total</t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</si>
  <si>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 mărfurilor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</si>
  <si>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 mărfurilor </t>
    </r>
  </si>
  <si>
    <t>de 8,2 ori</t>
  </si>
  <si>
    <t>de 6,6 ori</t>
  </si>
  <si>
    <t>de 10,7 ori</t>
  </si>
  <si>
    <t>de 3,1 ori</t>
  </si>
  <si>
    <t>de 5,4 ori</t>
  </si>
  <si>
    <t>conform Clasificării Standard de Comerţ Internaţional (CSCI)</t>
  </si>
  <si>
    <t>în % faţă de ianuarie - martie 2020 ¹</t>
  </si>
  <si>
    <r>
      <t xml:space="preserve">ianuarie - martie </t>
    </r>
    <r>
      <rPr>
        <b/>
        <vertAlign val="superscript"/>
        <sz val="10"/>
        <rFont val="Times New Roman"/>
        <family val="1"/>
        <charset val="204"/>
      </rPr>
      <t>1,2</t>
    </r>
  </si>
  <si>
    <t xml:space="preserve">  ¹ În preţuri curente</t>
  </si>
  <si>
    <r>
      <t xml:space="preserve">ianuarie - martie </t>
    </r>
    <r>
      <rPr>
        <b/>
        <vertAlign val="superscript"/>
        <sz val="10"/>
        <color indexed="8"/>
        <rFont val="Times New Roman"/>
        <family val="1"/>
        <charset val="204"/>
      </rPr>
      <t>1,2</t>
    </r>
  </si>
  <si>
    <r>
      <t xml:space="preserve"> </t>
    </r>
    <r>
      <rPr>
        <sz val="10"/>
        <color indexed="8"/>
        <rFont val="Times New Roman"/>
        <family val="1"/>
        <charset val="204"/>
      </rPr>
      <t>¹</t>
    </r>
    <r>
      <rPr>
        <b/>
        <sz val="10"/>
        <color indexed="8"/>
        <rFont val="Times New Roman"/>
        <family val="1"/>
        <charset val="204"/>
      </rPr>
      <t xml:space="preserve"> În preţuri curente</t>
    </r>
  </si>
  <si>
    <r>
      <rPr>
        <b/>
        <vertAlign val="superscript"/>
        <sz val="9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În preţuri curente</t>
    </r>
  </si>
  <si>
    <r>
      <rPr>
        <b/>
        <vertAlign val="superscript"/>
        <sz val="9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Faţă de perioada corespunzătoare din anul precedent</t>
    </r>
  </si>
  <si>
    <r>
      <t xml:space="preserve"> </t>
    </r>
    <r>
      <rPr>
        <b/>
        <vertAlign val="superscript"/>
        <sz val="9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Faţă de perioada corespunzătoare din anul precedent</t>
    </r>
  </si>
  <si>
    <r>
      <t xml:space="preserve">  </t>
    </r>
    <r>
      <rPr>
        <b/>
        <vertAlign val="superscript"/>
        <sz val="9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Faţă de perioada corespunzătoare din anul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</si>
</sst>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5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b/>
      <vertAlign val="superscript"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37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4" fillId="0" borderId="0" xfId="0" applyNumberFormat="1" applyFont="1" applyFill="1" applyAlignment="1" applyProtection="1">
      <alignment horizontal="right" vertical="top" wrapText="1"/>
    </xf>
    <xf numFmtId="4" fontId="22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/>
    <xf numFmtId="0" fontId="25" fillId="0" borderId="0" xfId="0" applyFont="1"/>
    <xf numFmtId="4" fontId="24" fillId="0" borderId="0" xfId="0" applyNumberFormat="1" applyFont="1" applyFill="1" applyAlignment="1" applyProtection="1">
      <alignment horizontal="right" vertical="top" inden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4" fontId="22" fillId="0" borderId="0" xfId="0" applyNumberFormat="1" applyFont="1" applyFill="1" applyBorder="1" applyAlignment="1" applyProtection="1">
      <alignment horizontal="right" vertical="top" indent="1"/>
    </xf>
    <xf numFmtId="4" fontId="24" fillId="0" borderId="0" xfId="0" applyNumberFormat="1" applyFont="1" applyFill="1" applyAlignment="1" applyProtection="1">
      <alignment horizontal="right" vertical="top" wrapText="1" indent="1"/>
    </xf>
    <xf numFmtId="4" fontId="24" fillId="0" borderId="0" xfId="0" applyNumberFormat="1" applyFont="1" applyFill="1" applyBorder="1" applyAlignment="1" applyProtection="1">
      <alignment horizontal="right" vertical="top" wrapText="1" inden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left" vertical="top" wrapText="1"/>
    </xf>
    <xf numFmtId="38" fontId="9" fillId="0" borderId="3" xfId="0" applyNumberFormat="1" applyFont="1" applyFill="1" applyBorder="1" applyAlignment="1" applyProtection="1">
      <alignment horizontal="left" vertical="top" wrapText="1"/>
    </xf>
    <xf numFmtId="38" fontId="11" fillId="0" borderId="0" xfId="0" applyNumberFormat="1" applyFont="1" applyFill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26" fillId="0" borderId="0" xfId="0" applyNumberFormat="1" applyFont="1" applyAlignment="1">
      <alignment horizontal="right" vertical="top" indent="2"/>
    </xf>
    <xf numFmtId="0" fontId="25" fillId="0" borderId="0" xfId="0" applyFont="1" applyAlignment="1">
      <alignment horizontal="right" vertical="top" indent="2"/>
    </xf>
    <xf numFmtId="0" fontId="29" fillId="0" borderId="5" xfId="0" applyNumberFormat="1" applyFont="1" applyFill="1" applyBorder="1" applyAlignment="1" applyProtection="1">
      <alignment horizontal="center" vertical="top"/>
    </xf>
    <xf numFmtId="4" fontId="27" fillId="0" borderId="5" xfId="0" applyNumberFormat="1" applyFont="1" applyFill="1" applyBorder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center" vertical="top"/>
    </xf>
    <xf numFmtId="4" fontId="11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Alignment="1" applyProtection="1">
      <alignment horizontal="center" vertical="top"/>
    </xf>
    <xf numFmtId="4" fontId="9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Border="1" applyAlignment="1" applyProtection="1">
      <alignment horizontal="left" vertical="top" wrapText="1"/>
    </xf>
    <xf numFmtId="38" fontId="9" fillId="0" borderId="0" xfId="0" applyNumberFormat="1" applyFont="1" applyFill="1" applyBorder="1" applyAlignment="1" applyProtection="1">
      <alignment horizontal="center" vertical="top"/>
    </xf>
    <xf numFmtId="4" fontId="9" fillId="0" borderId="0" xfId="0" applyNumberFormat="1" applyFont="1" applyFill="1" applyBorder="1" applyAlignment="1" applyProtection="1">
      <alignment horizontal="right" vertical="top"/>
    </xf>
    <xf numFmtId="38" fontId="9" fillId="0" borderId="3" xfId="0" applyNumberFormat="1" applyFont="1" applyFill="1" applyBorder="1" applyAlignment="1" applyProtection="1">
      <alignment horizontal="center" vertical="top"/>
    </xf>
    <xf numFmtId="4" fontId="9" fillId="0" borderId="3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0" fillId="0" borderId="0" xfId="0" applyAlignment="1">
      <alignment horizontal="center" vertical="top"/>
    </xf>
    <xf numFmtId="38" fontId="11" fillId="0" borderId="3" xfId="0" applyNumberFormat="1" applyFont="1" applyFill="1" applyBorder="1" applyAlignment="1" applyProtection="1">
      <alignment horizontal="center" vertical="top"/>
    </xf>
    <xf numFmtId="4" fontId="11" fillId="0" borderId="3" xfId="0" applyNumberFormat="1" applyFont="1" applyFill="1" applyBorder="1" applyAlignment="1" applyProtection="1">
      <alignment horizontal="right" vertical="top"/>
    </xf>
    <xf numFmtId="4" fontId="11" fillId="0" borderId="3" xfId="0" applyNumberFormat="1" applyFont="1" applyFill="1" applyBorder="1" applyAlignment="1" applyProtection="1">
      <alignment horizontal="right" vertical="top" indent="1"/>
    </xf>
    <xf numFmtId="4" fontId="27" fillId="0" borderId="5" xfId="0" applyNumberFormat="1" applyFont="1" applyFill="1" applyBorder="1" applyAlignment="1" applyProtection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4" fontId="11" fillId="0" borderId="3" xfId="0" applyNumberFormat="1" applyFont="1" applyFill="1" applyBorder="1" applyAlignment="1" applyProtection="1">
      <alignment horizontal="right" vertical="top" indent="2"/>
    </xf>
    <xf numFmtId="0" fontId="27" fillId="0" borderId="5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0" fontId="11" fillId="0" borderId="0" xfId="0" applyNumberFormat="1" applyFont="1" applyFill="1" applyAlignment="1" applyProtection="1">
      <alignment horizontal="left" vertical="top" wrapText="1" indent="1"/>
    </xf>
    <xf numFmtId="38" fontId="9" fillId="0" borderId="0" xfId="0" applyNumberFormat="1" applyFont="1" applyFill="1" applyAlignment="1" applyProtection="1">
      <alignment horizontal="left" vertical="top" wrapText="1" indent="1"/>
    </xf>
    <xf numFmtId="38" fontId="9" fillId="0" borderId="3" xfId="0" applyNumberFormat="1" applyFont="1" applyFill="1" applyBorder="1" applyAlignment="1" applyProtection="1">
      <alignment horizontal="left" vertical="top" wrapText="1" indent="1"/>
    </xf>
    <xf numFmtId="38" fontId="9" fillId="0" borderId="0" xfId="0" applyNumberFormat="1" applyFont="1" applyFill="1" applyBorder="1" applyAlignment="1" applyProtection="1">
      <alignment horizontal="left" vertical="top" wrapText="1" indent="1"/>
    </xf>
    <xf numFmtId="4" fontId="24" fillId="0" borderId="0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Alignment="1">
      <alignment horizontal="right" vertical="top"/>
    </xf>
    <xf numFmtId="4" fontId="27" fillId="0" borderId="0" xfId="0" applyNumberFormat="1" applyFont="1" applyFill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wrapText="1" indent="1"/>
    </xf>
    <xf numFmtId="4" fontId="30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9" fillId="0" borderId="3" xfId="0" applyNumberFormat="1" applyFont="1" applyBorder="1" applyAlignment="1">
      <alignment horizontal="right" vertical="top" indent="1"/>
    </xf>
    <xf numFmtId="4" fontId="27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indent="1"/>
    </xf>
    <xf numFmtId="0" fontId="27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4" fontId="11" fillId="0" borderId="0" xfId="0" applyNumberFormat="1" applyFont="1" applyFill="1" applyAlignment="1" applyProtection="1">
      <alignment horizontal="left" vertical="top" wrapText="1" indent="1"/>
    </xf>
    <xf numFmtId="4" fontId="9" fillId="0" borderId="0" xfId="0" applyNumberFormat="1" applyFont="1" applyFill="1" applyAlignment="1" applyProtection="1">
      <alignment horizontal="left" vertical="top" wrapText="1" indent="1"/>
    </xf>
    <xf numFmtId="165" fontId="12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left" vertical="top" wrapText="1" indent="1"/>
    </xf>
    <xf numFmtId="0" fontId="9" fillId="0" borderId="3" xfId="0" applyFont="1" applyBorder="1" applyAlignment="1">
      <alignment horizontal="left" vertical="top" wrapText="1" indent="1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38" fontId="23" fillId="0" borderId="5" xfId="0" applyNumberFormat="1" applyFont="1" applyFill="1" applyBorder="1" applyAlignment="1" applyProtection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left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9"/>
  <sheetViews>
    <sheetView tabSelected="1" zoomScaleNormal="100" workbookViewId="0">
      <selection activeCell="H11" sqref="H11"/>
    </sheetView>
  </sheetViews>
  <sheetFormatPr defaultRowHeight="15.75" x14ac:dyDescent="0.25"/>
  <cols>
    <col min="1" max="1" width="29.375" style="9" customWidth="1"/>
    <col min="2" max="2" width="12.375" style="9" customWidth="1"/>
    <col min="3" max="3" width="10.5" style="9" customWidth="1"/>
    <col min="4" max="4" width="9.25" style="9" customWidth="1"/>
    <col min="5" max="5" width="9" style="9" customWidth="1"/>
    <col min="6" max="6" width="9.75" style="9" customWidth="1"/>
    <col min="7" max="7" width="9.625" style="9" customWidth="1"/>
  </cols>
  <sheetData>
    <row r="1" spans="1:7" x14ac:dyDescent="0.25">
      <c r="A1" s="102" t="s">
        <v>146</v>
      </c>
      <c r="B1" s="102"/>
      <c r="C1" s="102"/>
      <c r="D1" s="102"/>
      <c r="E1" s="102"/>
      <c r="F1" s="102"/>
      <c r="G1" s="102"/>
    </row>
    <row r="3" spans="1:7" ht="54" customHeight="1" x14ac:dyDescent="0.25">
      <c r="A3" s="103"/>
      <c r="B3" s="106" t="s">
        <v>253</v>
      </c>
      <c r="C3" s="107"/>
      <c r="D3" s="106" t="s">
        <v>108</v>
      </c>
      <c r="E3" s="107"/>
      <c r="F3" s="108" t="s">
        <v>1</v>
      </c>
      <c r="G3" s="109"/>
    </row>
    <row r="4" spans="1:7" ht="22.5" customHeight="1" x14ac:dyDescent="0.25">
      <c r="A4" s="104"/>
      <c r="B4" s="110" t="s">
        <v>99</v>
      </c>
      <c r="C4" s="112" t="s">
        <v>383</v>
      </c>
      <c r="D4" s="114" t="s">
        <v>255</v>
      </c>
      <c r="E4" s="114"/>
      <c r="F4" s="114" t="s">
        <v>384</v>
      </c>
      <c r="G4" s="106"/>
    </row>
    <row r="5" spans="1:7" ht="38.25" customHeight="1" x14ac:dyDescent="0.25">
      <c r="A5" s="105"/>
      <c r="B5" s="111"/>
      <c r="C5" s="113"/>
      <c r="D5" s="23">
        <v>2020</v>
      </c>
      <c r="E5" s="23">
        <v>2021</v>
      </c>
      <c r="F5" s="23">
        <v>2020</v>
      </c>
      <c r="G5" s="19">
        <v>2021</v>
      </c>
    </row>
    <row r="6" spans="1:7" ht="15.75" customHeight="1" x14ac:dyDescent="0.25">
      <c r="A6" s="76" t="s">
        <v>100</v>
      </c>
      <c r="B6" s="63">
        <v>712715.47793000005</v>
      </c>
      <c r="C6" s="63">
        <f>IF(675027.19329="","-",712715.47793/675027.19329*100)</f>
        <v>105.58322464852297</v>
      </c>
      <c r="D6" s="63">
        <v>100</v>
      </c>
      <c r="E6" s="63">
        <v>100</v>
      </c>
      <c r="F6" s="63">
        <f>IF(732895.97599="","-",(675027.19329-732895.97599)/732895.97599*100)</f>
        <v>-7.8959067310787878</v>
      </c>
      <c r="G6" s="63">
        <f>IF(675027.19329="","-",(712715.47793-675027.19329)/675027.19329*100)</f>
        <v>5.5832246485229717</v>
      </c>
    </row>
    <row r="7" spans="1:7" x14ac:dyDescent="0.25">
      <c r="A7" s="77" t="s">
        <v>133</v>
      </c>
      <c r="B7" s="42"/>
      <c r="C7" s="42"/>
      <c r="D7" s="42"/>
      <c r="E7" s="42"/>
      <c r="F7" s="42"/>
      <c r="G7" s="42"/>
    </row>
    <row r="8" spans="1:7" x14ac:dyDescent="0.25">
      <c r="A8" s="78" t="s">
        <v>154</v>
      </c>
      <c r="B8" s="64">
        <v>439251.64598999999</v>
      </c>
      <c r="C8" s="64">
        <f>IF(447439.39698="","-",439251.64599/447439.39698*100)</f>
        <v>98.170087156995251</v>
      </c>
      <c r="D8" s="64">
        <f>IF(447439.39698="","-",447439.39698/675027.19329*100)</f>
        <v>66.284647704225833</v>
      </c>
      <c r="E8" s="64">
        <f>IF(439251.64599="","-",439251.64599/712715.47793*100)</f>
        <v>61.63071514396681</v>
      </c>
      <c r="F8" s="64">
        <f>IF(732895.97599="","-",(447439.39698-458888.68047)/732895.97599*100)</f>
        <v>-1.5621976194553731</v>
      </c>
      <c r="G8" s="64">
        <f>IF(675027.19329="","-",(439251.64599-447439.39698)/675027.19329*100)</f>
        <v>-1.2129512812800818</v>
      </c>
    </row>
    <row r="9" spans="1:7" ht="15.75" customHeight="1" x14ac:dyDescent="0.25">
      <c r="A9" s="79" t="s">
        <v>2</v>
      </c>
      <c r="B9" s="65">
        <v>183117.44490999999</v>
      </c>
      <c r="C9" s="65">
        <f>IF(OR(178021.20428="",183117.44491=""),"-",183117.44491/178021.20428*100)</f>
        <v>102.86271551223997</v>
      </c>
      <c r="D9" s="65">
        <f>IF(178021.20428="","-",178021.20428/675027.19329*100)</f>
        <v>26.372449295316002</v>
      </c>
      <c r="E9" s="65">
        <f>IF(183117.44491="","-",183117.44491/712715.47793*100)</f>
        <v>25.692923835728038</v>
      </c>
      <c r="F9" s="65">
        <f>IF(OR(732895.97599="",195467.66512="",178021.20428=""),"-",(178021.20428-195467.66512)/732895.97599*100)</f>
        <v>-2.3804825529889437</v>
      </c>
      <c r="G9" s="65">
        <f>IF(OR(675027.19329="",183117.44491="",178021.20428=""),"-",(183117.44491-178021.20428)/675027.19329*100)</f>
        <v>0.75496819693463502</v>
      </c>
    </row>
    <row r="10" spans="1:7" ht="15.75" customHeight="1" x14ac:dyDescent="0.25">
      <c r="A10" s="79" t="s">
        <v>4</v>
      </c>
      <c r="B10" s="65">
        <v>71513.725479999994</v>
      </c>
      <c r="C10" s="65">
        <f>IF(OR(63115.10894="",71513.72548=""),"-",71513.72548/63115.10894*100)</f>
        <v>113.30682412032924</v>
      </c>
      <c r="D10" s="65">
        <f>IF(63115.10894="","-",63115.10894/675027.19329*100)</f>
        <v>9.3500098318090981</v>
      </c>
      <c r="E10" s="65">
        <f>IF(71513.72548="","-",71513.72548/712715.47793*100)</f>
        <v>10.033979574528585</v>
      </c>
      <c r="F10" s="65">
        <f>IF(OR(732895.97599="",63543.1922="",63115.10894=""),"-",(63115.10894-63543.1922)/732895.97599*100)</f>
        <v>-5.8409825408270555E-2</v>
      </c>
      <c r="G10" s="65">
        <f>IF(OR(675027.19329="",71513.72548="",63115.10894=""),"-",(71513.72548-63115.10894)/675027.19329*100)</f>
        <v>1.2441893635523282</v>
      </c>
    </row>
    <row r="11" spans="1:7" ht="13.5" customHeight="1" x14ac:dyDescent="0.25">
      <c r="A11" s="79" t="s">
        <v>3</v>
      </c>
      <c r="B11" s="65">
        <v>40789.952310000001</v>
      </c>
      <c r="C11" s="65">
        <f>IF(OR(61335.42841="",40789.95231=""),"-",40789.95231/61335.42841*100)</f>
        <v>66.503085357678358</v>
      </c>
      <c r="D11" s="65">
        <f>IF(61335.42841="","-",61335.42841/675027.19329*100)</f>
        <v>9.0863640783208499</v>
      </c>
      <c r="E11" s="65">
        <f>IF(40789.95231="","-",40789.95231/712715.47793*100)</f>
        <v>5.7231747552992278</v>
      </c>
      <c r="F11" s="65">
        <f>IF(OR(732895.97599="",82672.20664="",61335.42841=""),"-",(61335.42841-82672.20664)/732895.97599*100)</f>
        <v>-2.9112969546842122</v>
      </c>
      <c r="G11" s="65">
        <f>IF(OR(675027.19329="",40789.95231="",61335.42841=""),"-",(40789.95231-61335.42841)/675027.19329*100)</f>
        <v>-3.0436516194057104</v>
      </c>
    </row>
    <row r="12" spans="1:7" ht="15.75" customHeight="1" x14ac:dyDescent="0.25">
      <c r="A12" s="79" t="s">
        <v>5</v>
      </c>
      <c r="B12" s="65">
        <v>27729.113969999999</v>
      </c>
      <c r="C12" s="65">
        <f>IF(OR(28958.32919="",27729.11397=""),"-",27729.11397/28958.32919*100)</f>
        <v>95.755227409927784</v>
      </c>
      <c r="D12" s="65">
        <f>IF(28958.32919="","-",28958.32919/675027.19329*100)</f>
        <v>4.2899500165112823</v>
      </c>
      <c r="E12" s="65">
        <f>IF(27729.11397="","-",27729.11397/712715.47793*100)</f>
        <v>3.8906288454035001</v>
      </c>
      <c r="F12" s="65">
        <f>IF(OR(732895.97599="",26644.24486="",28958.32919=""),"-",(28958.32919-26644.24486)/732895.97599*100)</f>
        <v>0.31574526342215531</v>
      </c>
      <c r="G12" s="65">
        <f>IF(OR(675027.19329="",27729.11397="",28958.32919=""),"-",(27729.11397-28958.32919)/675027.19329*100)</f>
        <v>-0.18209862242866945</v>
      </c>
    </row>
    <row r="13" spans="1:7" s="14" customFormat="1" x14ac:dyDescent="0.25">
      <c r="A13" s="79" t="s">
        <v>7</v>
      </c>
      <c r="B13" s="65">
        <v>20472.491979999999</v>
      </c>
      <c r="C13" s="65">
        <f>IF(OR(23528.61888="",20472.49198=""),"-",20472.49198/23528.61888*100)</f>
        <v>87.011022977647883</v>
      </c>
      <c r="D13" s="65">
        <f>IF(23528.61888="","-",23528.61888/675027.19329*100)</f>
        <v>3.4855808942043343</v>
      </c>
      <c r="E13" s="65">
        <f>IF(20472.49198="","-",20472.49198/712715.47793*100)</f>
        <v>2.8724635024708589</v>
      </c>
      <c r="F13" s="65">
        <f>IF(OR(732895.97599="",12186.97096="",23528.61888=""),"-",(23528.61888-12186.97096)/732895.97599*100)</f>
        <v>1.5475112828501536</v>
      </c>
      <c r="G13" s="65">
        <f>IF(OR(675027.19329="",20472.49198="",23528.61888=""),"-",(20472.49198-23528.61888)/675027.19329*100)</f>
        <v>-0.45274130144369656</v>
      </c>
    </row>
    <row r="14" spans="1:7" s="14" customFormat="1" x14ac:dyDescent="0.25">
      <c r="A14" s="79" t="s">
        <v>40</v>
      </c>
      <c r="B14" s="65">
        <v>15302.890659999999</v>
      </c>
      <c r="C14" s="65">
        <f>IF(OR(10436.39706="",15302.89066=""),"-",15302.89066/10436.39706*100)</f>
        <v>146.63001581888838</v>
      </c>
      <c r="D14" s="65">
        <f>IF(10436.39706="","-",10436.39706/675027.19329*100)</f>
        <v>1.5460706122273797</v>
      </c>
      <c r="E14" s="65">
        <f>IF(15302.89066="","-",15302.89066/712715.47793*100)</f>
        <v>2.1471247831526661</v>
      </c>
      <c r="F14" s="65">
        <f>IF(OR(732895.97599="",11551.20424="",10436.39706=""),"-",(10436.39706-11551.20424)/732895.97599*100)</f>
        <v>-0.15210987868968881</v>
      </c>
      <c r="G14" s="65">
        <f>IF(OR(675027.19329="",15302.89066="",10436.39706=""),"-",(15302.89066-10436.39706)/675027.19329*100)</f>
        <v>0.72093297105281129</v>
      </c>
    </row>
    <row r="15" spans="1:7" s="14" customFormat="1" x14ac:dyDescent="0.25">
      <c r="A15" s="79" t="s">
        <v>6</v>
      </c>
      <c r="B15" s="65">
        <v>11553.76432</v>
      </c>
      <c r="C15" s="65">
        <f>IF(OR(13375.19576="",11553.76432=""),"-",11553.76432/13375.19576*100)</f>
        <v>86.382020325659894</v>
      </c>
      <c r="D15" s="65">
        <f>IF(13375.19576="","-",13375.19576/675027.19329*100)</f>
        <v>1.9814306583429524</v>
      </c>
      <c r="E15" s="65">
        <f>IF(11553.76432="","-",11553.76432/712715.47793*100)</f>
        <v>1.6210906985711291</v>
      </c>
      <c r="F15" s="65">
        <f>IF(OR(732895.97599="",11506.16893="",13375.19576=""),"-",(13375.19576-11506.16893)/732895.97599*100)</f>
        <v>0.25501938763892223</v>
      </c>
      <c r="G15" s="65">
        <f>IF(OR(675027.19329="",11553.76432="",13375.19576=""),"-",(11553.76432-13375.19576)/675027.19329*100)</f>
        <v>-0.26983082431428668</v>
      </c>
    </row>
    <row r="16" spans="1:7" s="14" customFormat="1" x14ac:dyDescent="0.25">
      <c r="A16" s="79" t="s">
        <v>42</v>
      </c>
      <c r="B16" s="65">
        <v>11066.79888</v>
      </c>
      <c r="C16" s="65" t="s">
        <v>234</v>
      </c>
      <c r="D16" s="65">
        <f>IF(4596.19342="","-",4596.19342/675027.19329*100)</f>
        <v>0.68089011312251224</v>
      </c>
      <c r="E16" s="65">
        <f>IF(11066.79888="","-",11066.79888/712715.47793*100)</f>
        <v>1.5527653352137436</v>
      </c>
      <c r="F16" s="65">
        <f>IF(OR(732895.97599="",1761.70275="",4596.19342=""),"-",(4596.19342-1761.70275)/732895.97599*100)</f>
        <v>0.38675211255883263</v>
      </c>
      <c r="G16" s="65">
        <f>IF(OR(675027.19329="",11066.79888="",4596.19342=""),"-",(11066.79888-4596.19342)/675027.19329*100)</f>
        <v>0.95856959902060557</v>
      </c>
    </row>
    <row r="17" spans="1:7" s="14" customFormat="1" x14ac:dyDescent="0.25">
      <c r="A17" s="79" t="s">
        <v>10</v>
      </c>
      <c r="B17" s="65">
        <v>9873.4118400000007</v>
      </c>
      <c r="C17" s="65">
        <f>IF(OR(9664.45686="",9873.41184=""),"-",9873.41184/9664.45686*100)</f>
        <v>102.16209749835853</v>
      </c>
      <c r="D17" s="65">
        <f>IF(9664.45686="","-",9664.45686/675027.19329*100)</f>
        <v>1.4317137081391669</v>
      </c>
      <c r="E17" s="65">
        <f>IF(9873.41184="","-",9873.41184/712715.47793*100)</f>
        <v>1.3853230560778877</v>
      </c>
      <c r="F17" s="65">
        <f>IF(OR(732895.97599="",10645.42028="",9664.45686=""),"-",(9664.45686-10645.42028)/732895.97599*100)</f>
        <v>-0.13384756529395719</v>
      </c>
      <c r="G17" s="65">
        <f>IF(OR(675027.19329="",9873.41184="",9664.45686=""),"-",(9873.41184-9664.45686)/675027.19329*100)</f>
        <v>3.0955046267333232E-2</v>
      </c>
    </row>
    <row r="18" spans="1:7" s="14" customFormat="1" x14ac:dyDescent="0.25">
      <c r="A18" s="79" t="s">
        <v>123</v>
      </c>
      <c r="B18" s="65">
        <v>9685.2837099999997</v>
      </c>
      <c r="C18" s="65">
        <f>IF(OR(12317.34528="",9685.28371=""),"-",9685.28371/12317.34528*100)</f>
        <v>78.631259332530462</v>
      </c>
      <c r="D18" s="65">
        <f>IF(12317.34528="","-",12317.34528/675027.19329*100)</f>
        <v>1.8247183820798041</v>
      </c>
      <c r="E18" s="65">
        <f>IF(9685.28371="","-",9685.28371/712715.47793*100)</f>
        <v>1.3589270908118609</v>
      </c>
      <c r="F18" s="65">
        <f>IF(OR(732895.97599="",11035.70534="",12317.34528=""),"-",(12317.34528-11035.70534)/732895.97599*100)</f>
        <v>0.17487337657554372</v>
      </c>
      <c r="G18" s="65">
        <f>IF(OR(675027.19329="",9685.28371="",12317.34528=""),"-",(9685.28371-12317.34528)/675027.19329*100)</f>
        <v>-0.38991933897827935</v>
      </c>
    </row>
    <row r="19" spans="1:7" s="16" customFormat="1" x14ac:dyDescent="0.25">
      <c r="A19" s="79" t="s">
        <v>51</v>
      </c>
      <c r="B19" s="65">
        <v>8688.6569199999994</v>
      </c>
      <c r="C19" s="65" t="s">
        <v>105</v>
      </c>
      <c r="D19" s="65">
        <f>IF(4561.07244="","-",4561.07244/675027.19329*100)</f>
        <v>0.67568721458018466</v>
      </c>
      <c r="E19" s="65">
        <f>IF(8688.65692="","-",8688.65692/712715.47793*100)</f>
        <v>1.2190919362710071</v>
      </c>
      <c r="F19" s="65">
        <f>IF(OR(732895.97599="",23.61769="",4561.07244=""),"-",(4561.07244-23.61769)/732895.97599*100)</f>
        <v>0.61911306633533914</v>
      </c>
      <c r="G19" s="65">
        <f>IF(OR(675027.19329="",8688.65692="",4561.07244=""),"-",(8688.65692-4561.07244)/675027.19329*100)</f>
        <v>0.61146936316486122</v>
      </c>
    </row>
    <row r="20" spans="1:7" s="14" customFormat="1" x14ac:dyDescent="0.25">
      <c r="A20" s="79" t="s">
        <v>9</v>
      </c>
      <c r="B20" s="65">
        <v>8239.9726599999995</v>
      </c>
      <c r="C20" s="65">
        <f>IF(OR(12213.68945="",8239.97266=""),"-",8239.97266/12213.68945*100)</f>
        <v>67.465057906806365</v>
      </c>
      <c r="D20" s="65">
        <f>IF(12213.68945="","-",12213.68945/675027.19329*100)</f>
        <v>1.8093625814497889</v>
      </c>
      <c r="E20" s="65">
        <f>IF(8239.97266="","-",8239.97266/712715.47793*100)</f>
        <v>1.1561377457287796</v>
      </c>
      <c r="F20" s="65">
        <f>IF(OR(732895.97599="",8266.52526="",12213.68945=""),"-",(12213.68945-8266.52526)/732895.97599*100)</f>
        <v>0.5385708639849125</v>
      </c>
      <c r="G20" s="65">
        <f>IF(OR(675027.19329="",8239.97266="",12213.68945=""),"-",(8239.97266-12213.68945)/675027.19329*100)</f>
        <v>-0.58867506813060244</v>
      </c>
    </row>
    <row r="21" spans="1:7" s="14" customFormat="1" x14ac:dyDescent="0.25">
      <c r="A21" s="79" t="s">
        <v>8</v>
      </c>
      <c r="B21" s="65">
        <v>5574.4679500000002</v>
      </c>
      <c r="C21" s="65">
        <f>IF(OR(6825.43429="",5574.46795=""),"-",5574.46795/6825.43429*100)</f>
        <v>81.671989109428523</v>
      </c>
      <c r="D21" s="65">
        <f>IF(6825.43429="","-",6825.43429/675027.19329*100)</f>
        <v>1.0111347154377097</v>
      </c>
      <c r="E21" s="65">
        <f>IF(5574.46795="","-",5574.46795/712715.47793*100)</f>
        <v>0.78214492635832744</v>
      </c>
      <c r="F21" s="65">
        <f>IF(OR(732895.97599="",7371.5039="",6825.43429=""),"-",(6825.43429-7371.5039)/732895.97599*100)</f>
        <v>-7.4508474311428124E-2</v>
      </c>
      <c r="G21" s="65">
        <f>IF(OR(675027.19329="",5574.46795="",6825.43429=""),"-",(5574.46795-6825.43429)/675027.19329*100)</f>
        <v>-0.18532088076377234</v>
      </c>
    </row>
    <row r="22" spans="1:7" s="14" customFormat="1" x14ac:dyDescent="0.25">
      <c r="A22" s="79" t="s">
        <v>41</v>
      </c>
      <c r="B22" s="65">
        <v>5436.71065</v>
      </c>
      <c r="C22" s="65" t="s">
        <v>105</v>
      </c>
      <c r="D22" s="65">
        <f>IF(2862.76423="","-",2862.76423/675027.19329*100)</f>
        <v>0.42409613397161638</v>
      </c>
      <c r="E22" s="65">
        <f>IF(5436.71065="","-",5436.71065/712715.47793*100)</f>
        <v>0.76281641389216071</v>
      </c>
      <c r="F22" s="65">
        <f>IF(OR(732895.97599="",3914.98227="",2862.76423=""),"-",(2862.76423-3914.98227)/732895.97599*100)</f>
        <v>-0.14356990275170467</v>
      </c>
      <c r="G22" s="65">
        <f>IF(OR(675027.19329="",5436.71065="",2862.76423=""),"-",(5436.71065-2862.76423)/675027.19329*100)</f>
        <v>0.38131003396395036</v>
      </c>
    </row>
    <row r="23" spans="1:7" s="14" customFormat="1" x14ac:dyDescent="0.25">
      <c r="A23" s="79" t="s">
        <v>44</v>
      </c>
      <c r="B23" s="65">
        <v>3656.1184400000002</v>
      </c>
      <c r="C23" s="65">
        <f>IF(OR(3219.2327="",3656.11844=""),"-",3656.11844/3219.2327*100)</f>
        <v>113.57111401111204</v>
      </c>
      <c r="D23" s="65">
        <f>IF(3219.2327="","-",3219.2327/675027.19329*100)</f>
        <v>0.47690415023280081</v>
      </c>
      <c r="E23" s="65">
        <f>IF(3656.11844="","-",3656.11844/712715.47793*100)</f>
        <v>0.51298429081669095</v>
      </c>
      <c r="F23" s="65">
        <f>IF(OR(732895.97599="",2426.6358="",3219.2327=""),"-",(3219.2327-2426.6358)/732895.97599*100)</f>
        <v>0.10814589327351071</v>
      </c>
      <c r="G23" s="65">
        <f>IF(OR(675027.19329="",3656.11844="",3219.2327=""),"-",(3656.11844-3219.2327)/675027.19329*100)</f>
        <v>6.4721205951818392E-2</v>
      </c>
    </row>
    <row r="24" spans="1:7" s="14" customFormat="1" x14ac:dyDescent="0.25">
      <c r="A24" s="79" t="s">
        <v>43</v>
      </c>
      <c r="B24" s="65">
        <v>1664.0542700000001</v>
      </c>
      <c r="C24" s="65">
        <f>IF(OR(1869.70988="",1664.05427=""),"-",1664.05427/1869.70988*100)</f>
        <v>89.000667312085866</v>
      </c>
      <c r="D24" s="65">
        <f>IF(1869.70988="","-",1869.70988/675027.19329*100)</f>
        <v>0.27698289766479817</v>
      </c>
      <c r="E24" s="65">
        <f>IF(1664.05427="","-",1664.05427/712715.47793*100)</f>
        <v>0.23348086600182361</v>
      </c>
      <c r="F24" s="65">
        <f>IF(OR(732895.97599="",2302.55879="",1869.70988=""),"-",(1869.70988-2302.55879)/732895.97599*100)</f>
        <v>-5.9060074578156228E-2</v>
      </c>
      <c r="G24" s="65">
        <f>IF(OR(675027.19329="",1664.05427="",1869.70988=""),"-",(1664.05427-1869.70988)/675027.19329*100)</f>
        <v>-3.0466270402775886E-2</v>
      </c>
    </row>
    <row r="25" spans="1:7" s="14" customFormat="1" x14ac:dyDescent="0.25">
      <c r="A25" s="79" t="s">
        <v>45</v>
      </c>
      <c r="B25" s="65">
        <v>1527.0780500000001</v>
      </c>
      <c r="C25" s="65">
        <f>IF(OR(1175.69137="",1527.07805=""),"-",1527.07805/1175.69137*100)</f>
        <v>129.88766346052196</v>
      </c>
      <c r="D25" s="65">
        <f>IF(1175.69137="","-",1175.69137/675027.19329*100)</f>
        <v>0.17416948260555609</v>
      </c>
      <c r="E25" s="65">
        <f>IF(1527.07805="","-",1527.07805/712715.47793*100)</f>
        <v>0.21426194565539988</v>
      </c>
      <c r="F25" s="65">
        <f>IF(OR(732895.97599="",1828.3637="",1175.69137=""),"-",(1175.69137-1828.3637)/732895.97599*100)</f>
        <v>-8.9053883686339902E-2</v>
      </c>
      <c r="G25" s="65">
        <f>IF(OR(675027.19329="",1527.07805="",1175.69137=""),"-",(1527.07805-1175.69137)/675027.19329*100)</f>
        <v>5.2055188812080946E-2</v>
      </c>
    </row>
    <row r="26" spans="1:7" s="9" customFormat="1" x14ac:dyDescent="0.25">
      <c r="A26" s="79" t="s">
        <v>47</v>
      </c>
      <c r="B26" s="65">
        <v>1293.5790999999999</v>
      </c>
      <c r="C26" s="65">
        <f>IF(OR(6523.30974="",1293.5791=""),"-",1293.5791/6523.30974*100)</f>
        <v>19.830103912864331</v>
      </c>
      <c r="D26" s="65">
        <f>IF(6523.30974="","-",6523.30974/675027.19329*100)</f>
        <v>0.96637732595722337</v>
      </c>
      <c r="E26" s="65">
        <f>IF(1293.5791="","-",1293.5791/712715.47793*100)</f>
        <v>0.18150007121454009</v>
      </c>
      <c r="F26" s="65">
        <f>IF(OR(732895.97599="",4205.43552="",6523.30974=""),"-",(6523.30974-4205.43552)/732895.97599*100)</f>
        <v>0.31626237500744936</v>
      </c>
      <c r="G26" s="65">
        <f>IF(OR(675027.19329="",1293.5791="",6523.30974=""),"-",(1293.5791-6523.30974)/675027.19329*100)</f>
        <v>-0.77474369802954635</v>
      </c>
    </row>
    <row r="27" spans="1:7" s="9" customFormat="1" x14ac:dyDescent="0.25">
      <c r="A27" s="79" t="s">
        <v>46</v>
      </c>
      <c r="B27" s="65">
        <v>716.61697000000004</v>
      </c>
      <c r="C27" s="65">
        <f>IF(OR(1782.1733="",716.61697=""),"-",716.61697/1782.1733*100)</f>
        <v>40.210285385826403</v>
      </c>
      <c r="D27" s="65">
        <f>IF(1782.1733="","-",1782.1733/675027.19329*100)</f>
        <v>0.26401503787038644</v>
      </c>
      <c r="E27" s="65">
        <f>IF(716.61697="","-",716.61697/712715.47793*100)</f>
        <v>0.10054741228313596</v>
      </c>
      <c r="F27" s="65">
        <f>IF(OR(732895.97599="",713.74335="",1782.1733=""),"-",(1782.1733-713.74335)/732895.97599*100)</f>
        <v>0.14578193700091735</v>
      </c>
      <c r="G27" s="65">
        <f>IF(OR(675027.19329="",716.61697="",1782.1733=""),"-",(716.61697-1782.1733)/675027.19329*100)</f>
        <v>-0.15785383768120639</v>
      </c>
    </row>
    <row r="28" spans="1:7" s="14" customFormat="1" x14ac:dyDescent="0.25">
      <c r="A28" s="79" t="s">
        <v>48</v>
      </c>
      <c r="B28" s="65">
        <v>583.86955999999998</v>
      </c>
      <c r="C28" s="65" t="s">
        <v>223</v>
      </c>
      <c r="D28" s="65">
        <f>IF(319.10219="","-",319.10219/675027.19329*100)</f>
        <v>4.7272494082013936E-2</v>
      </c>
      <c r="E28" s="65">
        <f>IF(583.86956="","-",583.86956/712715.47793*100)</f>
        <v>8.1921829689426948E-2</v>
      </c>
      <c r="F28" s="65">
        <f>IF(OR(732895.97599="",161.77087="",319.10219=""),"-",(319.10219-161.77087)/732895.97599*100)</f>
        <v>2.1467073794132378E-2</v>
      </c>
      <c r="G28" s="65">
        <f>IF(OR(675027.19329="",583.86956="",319.10219=""),"-",(583.86956-319.10219)/675027.19329*100)</f>
        <v>3.9223215395154117E-2</v>
      </c>
    </row>
    <row r="29" spans="1:7" s="14" customFormat="1" x14ac:dyDescent="0.25">
      <c r="A29" s="79" t="s">
        <v>49</v>
      </c>
      <c r="B29" s="65">
        <v>375.45645999999999</v>
      </c>
      <c r="C29" s="65">
        <f>IF(OR(317.9774="",375.45646=""),"-",375.45646/317.9774*100)</f>
        <v>118.07646077991707</v>
      </c>
      <c r="D29" s="65">
        <f>IF(317.9774="","-",317.9774/675027.19329*100)</f>
        <v>4.710586523932718E-2</v>
      </c>
      <c r="E29" s="65">
        <f>IF(375.45646="","-",375.45646/712715.47793*100)</f>
        <v>5.2679711838231717E-2</v>
      </c>
      <c r="F29" s="65">
        <f>IF(OR(732895.97599="",294.94685="",317.9774=""),"-",(317.9774-294.94685)/732895.97599*100)</f>
        <v>3.1424036636154553E-3</v>
      </c>
      <c r="G29" s="65">
        <f>IF(OR(675027.19329="",375.45646="",317.9774=""),"-",(375.45646-317.9774)/675027.19329*100)</f>
        <v>8.515073255027563E-3</v>
      </c>
    </row>
    <row r="30" spans="1:7" s="9" customFormat="1" x14ac:dyDescent="0.25">
      <c r="A30" s="79" t="s">
        <v>50</v>
      </c>
      <c r="B30" s="65">
        <v>138.03147999999999</v>
      </c>
      <c r="C30" s="65">
        <f>IF(OR(108.71315="",138.03148=""),"-",138.03148/108.71315*100)</f>
        <v>126.96852220729507</v>
      </c>
      <c r="D30" s="65">
        <f>IF(108.71315="","-",108.71315/675027.19329*100)</f>
        <v>1.610500303997316E-2</v>
      </c>
      <c r="E30" s="65">
        <f>IF(138.03148="","-",138.03148/712715.47793*100)</f>
        <v>1.9366982235449203E-2</v>
      </c>
      <c r="F30" s="65">
        <f>IF(OR(732895.97599="",152.67728="",108.71315=""),"-",(108.71315-152.67728)/732895.97599*100)</f>
        <v>-5.9986862311002601E-3</v>
      </c>
      <c r="G30" s="65">
        <f>IF(OR(675027.19329="",138.03148="",108.71315=""),"-",(138.03148-108.71315)/675027.19329*100)</f>
        <v>4.3432813213207062E-3</v>
      </c>
    </row>
    <row r="31" spans="1:7" s="9" customFormat="1" x14ac:dyDescent="0.25">
      <c r="A31" s="79" t="s">
        <v>53</v>
      </c>
      <c r="B31" s="65">
        <v>130.33957000000001</v>
      </c>
      <c r="C31" s="65">
        <f>IF(OR(95.5496="",130.33957=""),"-",130.33957/95.5496*100)</f>
        <v>136.41037743747751</v>
      </c>
      <c r="D31" s="65">
        <f>IF(95.5496="","-",95.5496/675027.19329*100)</f>
        <v>1.4154926045912748E-2</v>
      </c>
      <c r="E31" s="65">
        <f>IF(130.33957="","-",130.33957/712715.47793*100)</f>
        <v>1.8287742308972475E-2</v>
      </c>
      <c r="F31" s="65">
        <f>IF(OR(732895.97599="",6.11559="",95.5496=""),"-",(95.5496-6.11559)/732895.97599*100)</f>
        <v>1.2202824538529092E-2</v>
      </c>
      <c r="G31" s="65">
        <f>IF(OR(675027.19329="",130.33957="",95.5496=""),"-",(130.33957-95.5496)/675027.19329*100)</f>
        <v>5.1538619993126431E-3</v>
      </c>
    </row>
    <row r="32" spans="1:7" s="9" customFormat="1" x14ac:dyDescent="0.25">
      <c r="A32" s="79" t="s">
        <v>124</v>
      </c>
      <c r="B32" s="65">
        <v>117.0098</v>
      </c>
      <c r="C32" s="65">
        <f>IF(OR(153.94229="",117.0098=""),"-",117.0098/153.94229*100)</f>
        <v>76.008873195273367</v>
      </c>
      <c r="D32" s="65">
        <f>IF(153.94229="","-",153.94229/675027.19329*100)</f>
        <v>2.2805346440889905E-2</v>
      </c>
      <c r="E32" s="65">
        <f>IF(117.0098="","-",117.0098/712715.47793*100)</f>
        <v>1.6417463016215317E-2</v>
      </c>
      <c r="F32" s="65">
        <f>IF(OR(732895.97599="",158.95636="",153.94229=""),"-",(153.94229-158.95636)/732895.97599*100)</f>
        <v>-6.841448396857333E-4</v>
      </c>
      <c r="G32" s="65">
        <f>IF(OR(675027.19329="",117.0098="",153.94229=""),"-",(117.0098-153.94229)/675027.19329*100)</f>
        <v>-5.4712595828911095E-3</v>
      </c>
    </row>
    <row r="33" spans="1:7" s="9" customFormat="1" x14ac:dyDescent="0.25">
      <c r="A33" s="79" t="s">
        <v>54</v>
      </c>
      <c r="B33" s="65">
        <v>3.6461399999999999</v>
      </c>
      <c r="C33" s="65">
        <f>IF(OR(25.65794="",3.64614=""),"-",3.64614/25.65794*100)</f>
        <v>14.210571854170679</v>
      </c>
      <c r="D33" s="65">
        <f>IF(25.65794="","-",25.65794/675027.19329*100)</f>
        <v>3.8010231669255187E-3</v>
      </c>
      <c r="E33" s="65">
        <f>IF(3.64614="","-",3.64614/712715.47793*100)</f>
        <v>5.1158423142286648E-4</v>
      </c>
      <c r="F33" s="65">
        <f>IF(OR(732895.97599="",39.75135="",25.65794=""),"-",(25.65794-39.75135)/732895.97599*100)</f>
        <v>-1.9229754919806385E-3</v>
      </c>
      <c r="G33" s="65">
        <f>IF(OR(675027.19329="",3.64614="",25.65794=""),"-",(3.64614-25.65794)/675027.19329*100)</f>
        <v>-3.2608760385958941E-3</v>
      </c>
    </row>
    <row r="34" spans="1:7" s="9" customFormat="1" x14ac:dyDescent="0.25">
      <c r="A34" s="79" t="s">
        <v>52</v>
      </c>
      <c r="B34" s="65">
        <v>1.15991</v>
      </c>
      <c r="C34" s="65">
        <f>IF(OR(34.72929="",1.15991=""),"-",1.15991/34.72929*100)</f>
        <v>3.3398609646209296</v>
      </c>
      <c r="D34" s="65">
        <f>IF(34.72929="","-",34.72929/675027.19329*100)</f>
        <v>5.1448727318278379E-3</v>
      </c>
      <c r="E34" s="65">
        <f>IF(1.15991="","-",1.15991/712715.47793*100)</f>
        <v>1.6274516773072262E-4</v>
      </c>
      <c r="F34" s="65">
        <f>IF(OR(732895.97599="",6.61457="",34.72929=""),"-",(34.72929-6.61457)/732895.97599*100)</f>
        <v>3.8361132986195591E-3</v>
      </c>
      <c r="G34" s="65">
        <f>IF(OR(675027.19329="",1.15991="",34.72929=""),"-",(1.15991-34.72929)/675027.19329*100)</f>
        <v>-4.9730411357780929E-3</v>
      </c>
    </row>
    <row r="35" spans="1:7" s="9" customFormat="1" x14ac:dyDescent="0.25">
      <c r="A35" s="78" t="s">
        <v>156</v>
      </c>
      <c r="B35" s="64">
        <v>112019.90213</v>
      </c>
      <c r="C35" s="64">
        <f>IF(94861.11251="","-",112019.90213/94861.11251*100)</f>
        <v>118.08832846883506</v>
      </c>
      <c r="D35" s="64">
        <f>IF(94861.11251="","-",94861.11251/675027.19329*100)</f>
        <v>14.05293200821415</v>
      </c>
      <c r="E35" s="64">
        <f>IF(112019.90213="","-",112019.90213/712715.47793*100)</f>
        <v>15.71733820841788</v>
      </c>
      <c r="F35" s="64">
        <f>IF(732895.97599="","-",(94861.11251-102132.10469)/732895.97599*100)</f>
        <v>-0.99209061288381206</v>
      </c>
      <c r="G35" s="64">
        <f>IF(675027.19329="","-",(112019.90213-94861.11251)/675027.19329*100)</f>
        <v>2.541940501147836</v>
      </c>
    </row>
    <row r="36" spans="1:7" s="9" customFormat="1" x14ac:dyDescent="0.25">
      <c r="A36" s="79" t="s">
        <v>125</v>
      </c>
      <c r="B36" s="65">
        <v>66014.197520000002</v>
      </c>
      <c r="C36" s="65">
        <f>IF(OR(52975.1584="",66014.19752=""),"-",66014.19752/52975.1584*100)</f>
        <v>124.61349718210563</v>
      </c>
      <c r="D36" s="65">
        <f>IF(52975.1584="","-",52975.1584/675027.19329*100)</f>
        <v>7.8478554533196743</v>
      </c>
      <c r="E36" s="65">
        <f>IF(66014.19752="","-",66014.19752/712715.47793*100)</f>
        <v>9.2623493615896528</v>
      </c>
      <c r="F36" s="65">
        <f>IF(OR(732895.97599="",58097.61756="",52975.1584=""),"-",(52975.1584-58097.61756)/732895.97599*100)</f>
        <v>-0.69893399988730354</v>
      </c>
      <c r="G36" s="65">
        <f>IF(OR(675027.19329="",66014.19752="",52975.1584=""),"-",(66014.19752-52975.1584)/675027.19329*100)</f>
        <v>1.9316316808585623</v>
      </c>
    </row>
    <row r="37" spans="1:7" s="9" customFormat="1" x14ac:dyDescent="0.25">
      <c r="A37" s="79" t="s">
        <v>12</v>
      </c>
      <c r="B37" s="65">
        <v>22770.441490000001</v>
      </c>
      <c r="C37" s="65">
        <f>IF(OR(17734.785="",22770.44149=""),"-",22770.44149/17734.785*100)</f>
        <v>128.39423477645769</v>
      </c>
      <c r="D37" s="65">
        <f>IF(17734.785="","-",17734.785/675027.19329*100)</f>
        <v>2.62726971243378</v>
      </c>
      <c r="E37" s="65">
        <f>IF(22770.44149="","-",22770.44149/712715.47793*100)</f>
        <v>3.1948852235023888</v>
      </c>
      <c r="F37" s="65">
        <f>IF(OR(732895.97599="",16629.23875="",17734.785=""),"-",(17734.785-16629.23875)/732895.97599*100)</f>
        <v>0.15084627098772393</v>
      </c>
      <c r="G37" s="65">
        <f>IF(OR(675027.19329="",22770.44149="",17734.785=""),"-",(22770.44149-17734.785)/675027.19329*100)</f>
        <v>0.74599313035921222</v>
      </c>
    </row>
    <row r="38" spans="1:7" s="9" customFormat="1" ht="14.25" customHeight="1" x14ac:dyDescent="0.25">
      <c r="A38" s="79" t="s">
        <v>11</v>
      </c>
      <c r="B38" s="65">
        <v>16631.032449999999</v>
      </c>
      <c r="C38" s="65">
        <f>IF(OR(18678.45545="",16631.03245=""),"-",16631.03245/18678.45545*100)</f>
        <v>89.038585093501382</v>
      </c>
      <c r="D38" s="65">
        <f>IF(18678.45545="","-",18678.45545/675027.19329*100)</f>
        <v>2.7670671101357405</v>
      </c>
      <c r="E38" s="65">
        <f>IF(16631.03245="","-",16631.03245/712715.47793*100)</f>
        <v>2.3334742916349893</v>
      </c>
      <c r="F38" s="65">
        <f>IF(OR(732895.97599="",23522.68107="",18678.45545=""),"-",(18678.45545-23522.68107)/732895.97599*100)</f>
        <v>-0.66097042127382277</v>
      </c>
      <c r="G38" s="65">
        <f>IF(OR(675027.19329="",16631.03245="",18678.45545=""),"-",(16631.03245-18678.45545)/675027.19329*100)</f>
        <v>-0.30330970668323942</v>
      </c>
    </row>
    <row r="39" spans="1:7" s="15" customFormat="1" ht="14.25" customHeight="1" x14ac:dyDescent="0.2">
      <c r="A39" s="79" t="s">
        <v>13</v>
      </c>
      <c r="B39" s="65">
        <v>3161.3130999999998</v>
      </c>
      <c r="C39" s="65">
        <f>IF(OR(3219.43806="",3161.3131=""),"-",3161.3131/3219.43806*100)</f>
        <v>98.194561941657597</v>
      </c>
      <c r="D39" s="65">
        <f>IF(3219.43806="","-",3219.43806/675027.19329*100)</f>
        <v>0.47693457271089368</v>
      </c>
      <c r="E39" s="65">
        <f>IF(3161.3131="","-",3161.3131/712715.47793*100)</f>
        <v>0.44355892328614355</v>
      </c>
      <c r="F39" s="65">
        <f>IF(OR(732895.97599="",1542.96693="",3219.43806=""),"-",(3219.43806-1542.96693)/732895.97599*100)</f>
        <v>0.22874612290446997</v>
      </c>
      <c r="G39" s="65">
        <f>IF(OR(675027.19329="",3161.3131="",3219.43806=""),"-",(3161.3131-3219.43806)/675027.19329*100)</f>
        <v>-8.610758289115162E-3</v>
      </c>
    </row>
    <row r="40" spans="1:7" s="15" customFormat="1" ht="14.25" customHeight="1" x14ac:dyDescent="0.2">
      <c r="A40" s="79" t="s">
        <v>15</v>
      </c>
      <c r="B40" s="65">
        <v>1796.9248500000001</v>
      </c>
      <c r="C40" s="65" t="s">
        <v>20</v>
      </c>
      <c r="D40" s="65">
        <f>IF(878.53868="","-",878.53868/675027.19329*100)</f>
        <v>0.13014863530432158</v>
      </c>
      <c r="E40" s="65">
        <f>IF(1796.92485="","-",1796.92485/712715.47793*100)</f>
        <v>0.25212373038662794</v>
      </c>
      <c r="F40" s="65">
        <f>IF(OR(732895.97599="",650.73855="",878.53868=""),"-",(878.53868-650.73855)/732895.97599*100)</f>
        <v>3.1082191397256109E-2</v>
      </c>
      <c r="G40" s="65">
        <f>IF(OR(675027.19329="",1796.92485="",878.53868=""),"-",(1796.92485-878.53868)/675027.19329*100)</f>
        <v>0.13605172934202817</v>
      </c>
    </row>
    <row r="41" spans="1:7" s="15" customFormat="1" ht="14.25" customHeight="1" x14ac:dyDescent="0.2">
      <c r="A41" s="79" t="s">
        <v>14</v>
      </c>
      <c r="B41" s="65">
        <v>778.18115</v>
      </c>
      <c r="C41" s="65">
        <f>IF(OR(806.54305="",778.18115=""),"-",778.18115/806.54305*100)</f>
        <v>96.483523105183295</v>
      </c>
      <c r="D41" s="65">
        <f>IF(806.54305="","-",806.54305/675027.19329*100)</f>
        <v>0.1194830457227964</v>
      </c>
      <c r="E41" s="65">
        <f>IF(778.18115="","-",778.18115/712715.47793*100)</f>
        <v>0.10918538660899262</v>
      </c>
      <c r="F41" s="65">
        <f>IF(OR(732895.97599="",1142.55061="",806.54305=""),"-",(806.54305-1142.55061)/732895.97599*100)</f>
        <v>-4.5846555446851671E-2</v>
      </c>
      <c r="G41" s="65">
        <f>IF(OR(675027.19329="",778.18115="",806.54305=""),"-",(778.18115-806.54305)/675027.19329*100)</f>
        <v>-4.2015936960654223E-3</v>
      </c>
    </row>
    <row r="42" spans="1:7" s="13" customFormat="1" ht="14.25" customHeight="1" x14ac:dyDescent="0.2">
      <c r="A42" s="79" t="s">
        <v>16</v>
      </c>
      <c r="B42" s="65">
        <v>326.42347000000001</v>
      </c>
      <c r="C42" s="65" t="str">
        <f>IF(OR(""="",326.42347=""),"-",326.42347/""*100)</f>
        <v>-</v>
      </c>
      <c r="D42" s="65" t="str">
        <f>IF(""="","-",""/675027.19329*100)</f>
        <v>-</v>
      </c>
      <c r="E42" s="65">
        <f>IF(326.42347="","-",326.42347/712715.47793*100)</f>
        <v>4.5799969287612402E-2</v>
      </c>
      <c r="F42" s="65" t="str">
        <f>IF(OR(732895.97599="",73.00304="",""=""),"-",(""-73.00304)/732895.97599*100)</f>
        <v>-</v>
      </c>
      <c r="G42" s="65" t="str">
        <f>IF(OR(675027.19329="",326.42347="",""=""),"-",(326.42347-"")/675027.19329*100)</f>
        <v>-</v>
      </c>
    </row>
    <row r="43" spans="1:7" s="15" customFormat="1" ht="14.25" customHeight="1" x14ac:dyDescent="0.2">
      <c r="A43" s="79" t="s">
        <v>126</v>
      </c>
      <c r="B43" s="65">
        <v>267.06992000000002</v>
      </c>
      <c r="C43" s="65">
        <f>IF(OR(196.8437="",267.06992=""),"-",267.06992/196.8437*100)</f>
        <v>135.67613289122284</v>
      </c>
      <c r="D43" s="65">
        <f>IF(196.8437="","-",196.8437/675027.19329*100)</f>
        <v>2.916085484506304E-2</v>
      </c>
      <c r="E43" s="65">
        <f>IF(267.06992="","-",267.06992/712715.47793*100)</f>
        <v>3.7472165018174408E-2</v>
      </c>
      <c r="F43" s="65">
        <f>IF(OR(732895.97599="",152.79547="",196.8437=""),"-",(196.8437-152.79547)/732895.97599*100)</f>
        <v>6.0101612565820715E-3</v>
      </c>
      <c r="G43" s="65">
        <f>IF(OR(675027.19329="",267.06992="",196.8437=""),"-",(267.06992-196.8437)/675027.19329*100)</f>
        <v>1.0403465326741284E-2</v>
      </c>
    </row>
    <row r="44" spans="1:7" s="13" customFormat="1" ht="14.25" customHeight="1" x14ac:dyDescent="0.2">
      <c r="A44" s="79" t="s">
        <v>17</v>
      </c>
      <c r="B44" s="65">
        <v>159.66695999999999</v>
      </c>
      <c r="C44" s="65">
        <f>IF(OR(260.32668="",159.66696=""),"-",159.66696/260.32668*100)</f>
        <v>61.33330629038867</v>
      </c>
      <c r="D44" s="65">
        <f>IF(260.32668="","-",260.32668/675027.19329*100)</f>
        <v>3.8565361897674025E-2</v>
      </c>
      <c r="E44" s="65">
        <f>IF(159.66696="","-",159.66696/712715.47793*100)</f>
        <v>2.2402622777848779E-2</v>
      </c>
      <c r="F44" s="65">
        <f>IF(OR(732895.97599="",246.59265="",260.32668=""),"-",(260.32668-246.59265)/732895.97599*100)</f>
        <v>1.873939883685132E-3</v>
      </c>
      <c r="G44" s="65">
        <f>IF(OR(675027.19329="",159.66696="",260.32668=""),"-",(159.66696-260.32668)/675027.19329*100)</f>
        <v>-1.4911950362976765E-2</v>
      </c>
    </row>
    <row r="45" spans="1:7" s="13" customFormat="1" ht="14.25" customHeight="1" x14ac:dyDescent="0.2">
      <c r="A45" s="79" t="s">
        <v>18</v>
      </c>
      <c r="B45" s="65">
        <v>114.65122</v>
      </c>
      <c r="C45" s="65">
        <f>IF(OR(111.02349="",114.65122=""),"-",114.65122/111.02349*100)</f>
        <v>103.26753374443551</v>
      </c>
      <c r="D45" s="65">
        <f>IF(111.02349="","-",111.02349/675027.19329*100)</f>
        <v>1.6447261844205873E-2</v>
      </c>
      <c r="E45" s="65">
        <f>IF(114.65122="","-",114.65122/712715.47793*100)</f>
        <v>1.6086534325449372E-2</v>
      </c>
      <c r="F45" s="65">
        <f>IF(OR(732895.97599="",73.92006="",111.02349=""),"-",(111.02349-73.92006)/732895.97599*100)</f>
        <v>5.0625779395064175E-3</v>
      </c>
      <c r="G45" s="65">
        <f>IF(OR(675027.19329="",114.65122="",111.02349=""),"-",(114.65122-111.02349)/675027.19329*100)</f>
        <v>5.3741983079509551E-4</v>
      </c>
    </row>
    <row r="46" spans="1:7" s="13" customFormat="1" ht="14.25" customHeight="1" x14ac:dyDescent="0.2">
      <c r="A46" s="78" t="s">
        <v>157</v>
      </c>
      <c r="B46" s="64">
        <v>161443.92981</v>
      </c>
      <c r="C46" s="64">
        <f>IF(132726.6838="","-",161443.92981/132726.6838*100)</f>
        <v>121.63637724368428</v>
      </c>
      <c r="D46" s="64">
        <f>IF(132726.6838="","-",132726.6838/675027.19329*100)</f>
        <v>19.662420287560028</v>
      </c>
      <c r="E46" s="64">
        <f>IF(161443.92981="","-",161443.92981/712715.47793*100)</f>
        <v>22.651946647615297</v>
      </c>
      <c r="F46" s="64">
        <f>IF(732895.97599="","-",(132726.6838-171875.19083)/732895.97599*100)</f>
        <v>-5.3416184987396047</v>
      </c>
      <c r="G46" s="64">
        <f>IF(675027.19329="","-",(161443.92981-132726.6838)/675027.19329*100)</f>
        <v>4.2542354286552007</v>
      </c>
    </row>
    <row r="47" spans="1:7" s="13" customFormat="1" ht="14.25" customHeight="1" x14ac:dyDescent="0.2">
      <c r="A47" s="79" t="s">
        <v>56</v>
      </c>
      <c r="B47" s="65">
        <v>68420.726110000003</v>
      </c>
      <c r="C47" s="65" t="s">
        <v>104</v>
      </c>
      <c r="D47" s="65">
        <f>IF(42676.6489="","-",42676.6489/675027.19329*100)</f>
        <v>6.3222118048310376</v>
      </c>
      <c r="E47" s="65">
        <f>IF(68420.72611="","-",68420.72611/712715.47793*100)</f>
        <v>9.6000056444291229</v>
      </c>
      <c r="F47" s="65">
        <f>IF(OR(732895.97599="",73034.48793="",42676.6489=""),"-",(42676.6489-73034.48793)/732895.97599*100)</f>
        <v>-4.1421757008547448</v>
      </c>
      <c r="G47" s="65">
        <f>IF(OR(675027.19329="",68420.72611="",42676.6489=""),"-",(68420.72611-42676.6489)/675027.19329*100)</f>
        <v>3.8137837209974492</v>
      </c>
    </row>
    <row r="48" spans="1:7" s="9" customFormat="1" ht="25.5" x14ac:dyDescent="0.25">
      <c r="A48" s="79" t="s">
        <v>122</v>
      </c>
      <c r="B48" s="65">
        <v>37514.383990000002</v>
      </c>
      <c r="C48" s="65" t="s">
        <v>274</v>
      </c>
      <c r="D48" s="65">
        <f>IF(11270.10205="","-",11270.10205/675027.19329*100)</f>
        <v>1.669577486955881</v>
      </c>
      <c r="E48" s="65">
        <f>IF(37514.38399="","-",37514.38399/712715.47793*100)</f>
        <v>5.2635848598316128</v>
      </c>
      <c r="F48" s="65">
        <f>IF(OR(732895.97599="",11893.0369="",11270.10205=""),"-",(11270.10205-11893.0369)/732895.97599*100)</f>
        <v>-8.4996352880575693E-2</v>
      </c>
      <c r="G48" s="65">
        <f>IF(OR(675027.19329="",37514.38399="",11270.10205=""),"-",(37514.38399-11270.10205)/675027.19329*100)</f>
        <v>3.8878851401657735</v>
      </c>
    </row>
    <row r="49" spans="1:7" s="9" customFormat="1" x14ac:dyDescent="0.25">
      <c r="A49" s="79" t="s">
        <v>127</v>
      </c>
      <c r="B49" s="65">
        <v>10079.563609999999</v>
      </c>
      <c r="C49" s="65">
        <f>IF(OR(26700.50397="",10079.56361=""),"-",10079.56361/26700.50397*100)</f>
        <v>37.750462018713719</v>
      </c>
      <c r="D49" s="65">
        <f>IF(26700.50397="","-",26700.50397/675027.19329*100)</f>
        <v>3.9554708662720697</v>
      </c>
      <c r="E49" s="65">
        <f>IF(10079.56361="","-",10079.56361/712715.47793*100)</f>
        <v>1.4142478902345337</v>
      </c>
      <c r="F49" s="65">
        <f>IF(OR(732895.97599="",22115.30565="",26700.50397=""),"-",(26700.50397-22115.30565)/732895.97599*100)</f>
        <v>0.62562743830136214</v>
      </c>
      <c r="G49" s="65">
        <f>IF(OR(675027.19329="",10079.56361="",26700.50397=""),"-",(10079.56361-26700.50397)/675027.19329*100)</f>
        <v>-2.4622623392387455</v>
      </c>
    </row>
    <row r="50" spans="1:7" s="14" customFormat="1" x14ac:dyDescent="0.25">
      <c r="A50" s="79" t="s">
        <v>60</v>
      </c>
      <c r="B50" s="65">
        <v>7299.7195499999998</v>
      </c>
      <c r="C50" s="65" t="s">
        <v>105</v>
      </c>
      <c r="D50" s="65">
        <f>IF(3780.46236="","-",3780.46236/675027.19329*100)</f>
        <v>0.56004593556809013</v>
      </c>
      <c r="E50" s="65">
        <f>IF(7299.71955="","-",7299.71955/712715.47793*100)</f>
        <v>1.0242122945331837</v>
      </c>
      <c r="F50" s="65">
        <f>IF(OR(732895.97599="",2196.03758="",3780.46236=""),"-",(3780.46236-2196.03758)/732895.97599*100)</f>
        <v>0.21618685760414363</v>
      </c>
      <c r="G50" s="65">
        <f>IF(OR(675027.19329="",7299.71955="",3780.46236=""),"-",(7299.71955-3780.46236)/675027.19329*100)</f>
        <v>0.52135043224667299</v>
      </c>
    </row>
    <row r="51" spans="1:7" s="16" customFormat="1" x14ac:dyDescent="0.25">
      <c r="A51" s="79" t="s">
        <v>58</v>
      </c>
      <c r="B51" s="65">
        <v>5007.5942599999998</v>
      </c>
      <c r="C51" s="65">
        <f>IF(OR(5282.45118="",5007.59426=""),"-",5007.59426/5282.45118*100)</f>
        <v>94.796792045317119</v>
      </c>
      <c r="D51" s="65">
        <f>IF(5282.45118="","-",5282.45118/675027.19329*100)</f>
        <v>0.7825538337580118</v>
      </c>
      <c r="E51" s="65">
        <f>IF(5007.59426="","-",5007.59426/712715.47793*100)</f>
        <v>0.70260776074963049</v>
      </c>
      <c r="F51" s="65">
        <f>IF(OR(732895.97599="",4364.47359="",5282.45118=""),"-",(5282.45118-4364.47359)/732895.97599*100)</f>
        <v>0.12525346298429202</v>
      </c>
      <c r="G51" s="65">
        <f>IF(OR(675027.19329="",5007.59426="",5282.45118=""),"-",(5007.59426-5282.45118)/675027.19329*100)</f>
        <v>-4.0717903327772795E-2</v>
      </c>
    </row>
    <row r="52" spans="1:7" s="9" customFormat="1" x14ac:dyDescent="0.25">
      <c r="A52" s="79" t="s">
        <v>19</v>
      </c>
      <c r="B52" s="65">
        <v>4115.85934</v>
      </c>
      <c r="C52" s="65">
        <f>IF(OR(6056.64251="",4115.85934=""),"-",4115.85934/6056.64251*100)</f>
        <v>67.956121451850393</v>
      </c>
      <c r="D52" s="65">
        <f>IF(6056.64251="","-",6056.64251/675027.19329*100)</f>
        <v>0.89724422515197721</v>
      </c>
      <c r="E52" s="65">
        <f>IF(4115.85934="","-",4115.85934/712715.47793*100)</f>
        <v>0.57748982131748261</v>
      </c>
      <c r="F52" s="65">
        <f>IF(OR(732895.97599="",5141.47692="",6056.64251=""),"-",(6056.64251-5141.47692)/732895.97599*100)</f>
        <v>0.1248697796114638</v>
      </c>
      <c r="G52" s="65">
        <f>IF(OR(675027.19329="",4115.85934="",6056.64251=""),"-",(4115.85934-6056.64251)/675027.19329*100)</f>
        <v>-0.28751184978798555</v>
      </c>
    </row>
    <row r="53" spans="1:7" s="16" customFormat="1" x14ac:dyDescent="0.25">
      <c r="A53" s="79" t="s">
        <v>59</v>
      </c>
      <c r="B53" s="65">
        <v>3107.9015399999998</v>
      </c>
      <c r="C53" s="65">
        <f>IF(OR(2759.07641="",3107.90154=""),"-",3107.90154/2759.07641*100)</f>
        <v>112.64282238562578</v>
      </c>
      <c r="D53" s="65">
        <f>IF(2759.07641="","-",2759.07641/675027.19329*100)</f>
        <v>0.40873559427326167</v>
      </c>
      <c r="E53" s="65">
        <f>IF(3107.90154="","-",3107.90154/712715.47793*100)</f>
        <v>0.43606483039017779</v>
      </c>
      <c r="F53" s="65">
        <f>IF(OR(732895.97599="",3604.66763="",2759.07641=""),"-",(2759.07641-3604.66763)/732895.97599*100)</f>
        <v>-0.11537670388458204</v>
      </c>
      <c r="G53" s="65">
        <f>IF(OR(675027.19329="",3107.90154="",2759.07641=""),"-",(3107.90154-2759.07641)/675027.19329*100)</f>
        <v>5.167571521080043E-2</v>
      </c>
    </row>
    <row r="54" spans="1:7" s="14" customFormat="1" x14ac:dyDescent="0.25">
      <c r="A54" s="79" t="s">
        <v>68</v>
      </c>
      <c r="B54" s="65">
        <v>2736.4778299999998</v>
      </c>
      <c r="C54" s="65" t="s">
        <v>223</v>
      </c>
      <c r="D54" s="65">
        <f>IF(1491.27139="","-",1491.27139/675027.19329*100)</f>
        <v>0.22092019474529995</v>
      </c>
      <c r="E54" s="65">
        <f>IF(2736.47783="","-",2736.47783/712715.47793*100)</f>
        <v>0.38395094743105401</v>
      </c>
      <c r="F54" s="65">
        <f>IF(OR(732895.97599="",3180.02586="",1491.27139=""),"-",(1491.27139-3180.02586)/732895.97599*100)</f>
        <v>-0.23042212337416931</v>
      </c>
      <c r="G54" s="65">
        <f>IF(OR(675027.19329="",2736.47783="",1491.27139=""),"-",(2736.47783-1491.27139)/675027.19329*100)</f>
        <v>0.18446759662096218</v>
      </c>
    </row>
    <row r="55" spans="1:7" s="9" customFormat="1" x14ac:dyDescent="0.25">
      <c r="A55" s="79" t="s">
        <v>66</v>
      </c>
      <c r="B55" s="65">
        <v>2279.1307900000002</v>
      </c>
      <c r="C55" s="65">
        <f>IF(OR(1860.21414="",2279.13079=""),"-",2279.13079/1860.21414*100)</f>
        <v>122.51980785394956</v>
      </c>
      <c r="D55" s="65">
        <f>IF(1860.21414="","-",1860.21414/675027.19329*100)</f>
        <v>0.27557617804010887</v>
      </c>
      <c r="E55" s="65">
        <f>IF(2279.13079="","-",2279.13079/712715.47793*100)</f>
        <v>0.31978129570294628</v>
      </c>
      <c r="F55" s="65">
        <f>IF(OR(732895.97599="",3394.77986="",1860.21414=""),"-",(1860.21414-3394.77986)/732895.97599*100)</f>
        <v>-0.20938383758037424</v>
      </c>
      <c r="G55" s="65">
        <f>IF(OR(675027.19329="",2279.13079="",1860.21414=""),"-",(2279.13079-1860.21414)/675027.19329*100)</f>
        <v>6.2059225785890439E-2</v>
      </c>
    </row>
    <row r="56" spans="1:7" s="9" customFormat="1" x14ac:dyDescent="0.25">
      <c r="A56" s="79" t="s">
        <v>235</v>
      </c>
      <c r="B56" s="65">
        <v>2085.5038500000001</v>
      </c>
      <c r="C56" s="65" t="str">
        <f>IF(OR(""="",2085.50385=""),"-",2085.50385/""*100)</f>
        <v>-</v>
      </c>
      <c r="D56" s="65" t="str">
        <f>IF(""="","-",""/675027.19329*100)</f>
        <v>-</v>
      </c>
      <c r="E56" s="65">
        <f>IF(2085.50385="","-",2085.50385/712715.47793*100)</f>
        <v>0.29261380095983119</v>
      </c>
      <c r="F56" s="65" t="str">
        <f>IF(OR(732895.97599="",66.1902="",""=""),"-",(""-66.1902)/732895.97599*100)</f>
        <v>-</v>
      </c>
      <c r="G56" s="65" t="str">
        <f>IF(OR(675027.19329="",2085.50385="",""=""),"-",(2085.50385-"")/675027.19329*100)</f>
        <v>-</v>
      </c>
    </row>
    <row r="57" spans="1:7" s="16" customFormat="1" x14ac:dyDescent="0.25">
      <c r="A57" s="79" t="s">
        <v>57</v>
      </c>
      <c r="B57" s="65">
        <v>1463.6411499999999</v>
      </c>
      <c r="C57" s="65">
        <f>IF(OR(2040.73996="",1463.64115=""),"-",1463.64115/2040.73996*100)</f>
        <v>71.72110012487822</v>
      </c>
      <c r="D57" s="65">
        <f>IF(2040.73996="","-",2040.73996/675027.19329*100)</f>
        <v>0.30231966656834713</v>
      </c>
      <c r="E57" s="65">
        <f>IF(1463.64115="","-",1463.64115/712715.47793*100)</f>
        <v>0.20536121289956785</v>
      </c>
      <c r="F57" s="65">
        <f>IF(OR(732895.97599="",3310.99055="",2040.73996=""),"-",(2040.73996-3310.99055)/732895.97599*100)</f>
        <v>-0.17331935658183117</v>
      </c>
      <c r="G57" s="65">
        <f>IF(OR(675027.19329="",1463.64115="",2040.73996=""),"-",(1463.64115-2040.73996)/675027.19329*100)</f>
        <v>-8.5492675811664892E-2</v>
      </c>
    </row>
    <row r="58" spans="1:7" s="9" customFormat="1" x14ac:dyDescent="0.25">
      <c r="A58" s="79" t="s">
        <v>62</v>
      </c>
      <c r="B58" s="65">
        <v>1320.0323100000001</v>
      </c>
      <c r="C58" s="65">
        <f>IF(OR(1753.14007="",1320.03231=""),"-",1320.03231/1753.14007*100)</f>
        <v>75.295313397291764</v>
      </c>
      <c r="D58" s="65">
        <f>IF(1753.14007="","-",1753.14007/675027.19329*100)</f>
        <v>0.25971399188459499</v>
      </c>
      <c r="E58" s="65">
        <f>IF(1320.03231="","-",1320.03231/712715.47793*100)</f>
        <v>0.18521167995872373</v>
      </c>
      <c r="F58" s="65">
        <f>IF(OR(732895.97599="",2703.56814="",1753.14007=""),"-",(1753.14007-2703.56814)/732895.97599*100)</f>
        <v>-0.12968116910672847</v>
      </c>
      <c r="G58" s="65">
        <f>IF(OR(675027.19329="",1320.03231="",1753.14007=""),"-",(1320.03231-1753.14007)/675027.19329*100)</f>
        <v>-6.4161527758472309E-2</v>
      </c>
    </row>
    <row r="59" spans="1:7" s="14" customFormat="1" x14ac:dyDescent="0.25">
      <c r="A59" s="79" t="s">
        <v>63</v>
      </c>
      <c r="B59" s="65">
        <v>1175.8523700000001</v>
      </c>
      <c r="C59" s="65" t="s">
        <v>275</v>
      </c>
      <c r="D59" s="65">
        <f>IF(85.11492="","-",85.11492/675027.19329*100)</f>
        <v>1.2609109802697027E-2</v>
      </c>
      <c r="E59" s="65">
        <f>IF(1175.85237="","-",1175.85237/712715.47793*100)</f>
        <v>0.16498201686528932</v>
      </c>
      <c r="F59" s="65">
        <f>IF(OR(732895.97599="",976.63325="",85.11492=""),"-",(85.11492-976.63325)/732895.97599*100)</f>
        <v>-0.12164322894469874</v>
      </c>
      <c r="G59" s="65">
        <f>IF(OR(675027.19329="",1175.85237="",85.11492=""),"-",(1175.85237-85.11492)/675027.19329*100)</f>
        <v>0.16158422369384545</v>
      </c>
    </row>
    <row r="60" spans="1:7" s="9" customFormat="1" x14ac:dyDescent="0.25">
      <c r="A60" s="79" t="s">
        <v>37</v>
      </c>
      <c r="B60" s="65">
        <v>747.14044999999999</v>
      </c>
      <c r="C60" s="65">
        <f>IF(OR(1254.81922="",747.14045=""),"-",747.14045/1254.81922*100)</f>
        <v>59.541680434254104</v>
      </c>
      <c r="D60" s="65">
        <f>IF(1254.81922="","-",1254.81922/675027.19329*100)</f>
        <v>0.18589165480640338</v>
      </c>
      <c r="E60" s="65">
        <f>IF(747.14045="","-",747.14045/712715.47793*100)</f>
        <v>0.10483011427926095</v>
      </c>
      <c r="F60" s="65">
        <f>IF(OR(732895.97599="",877.03737="",1254.81922=""),"-",(1254.81922-877.03737)/732895.97599*100)</f>
        <v>5.1546448933587098E-2</v>
      </c>
      <c r="G60" s="65">
        <f>IF(OR(675027.19329="",747.14045="",1254.81922=""),"-",(747.14045-1254.81922)/675027.19329*100)</f>
        <v>-7.5208639747627926E-2</v>
      </c>
    </row>
    <row r="61" spans="1:7" s="14" customFormat="1" x14ac:dyDescent="0.25">
      <c r="A61" s="79" t="s">
        <v>137</v>
      </c>
      <c r="B61" s="65">
        <v>668.61054999999999</v>
      </c>
      <c r="C61" s="65" t="s">
        <v>252</v>
      </c>
      <c r="D61" s="65">
        <f>IF(191.86344="","-",191.86344/675027.19329*100)</f>
        <v>2.8423068271498968E-2</v>
      </c>
      <c r="E61" s="65">
        <f>IF(668.61055="","-",668.61055/712715.47793*100)</f>
        <v>9.3811706172272594E-2</v>
      </c>
      <c r="F61" s="65">
        <f>IF(OR(732895.97599="",265.58045="",191.86344=""),"-",(191.86344-265.58045)/732895.97599*100)</f>
        <v>-1.0058318290044183E-2</v>
      </c>
      <c r="G61" s="65">
        <f>IF(OR(675027.19329="",668.61055="",191.86344=""),"-",(668.61055-191.86344)/675027.19329*100)</f>
        <v>7.0626356202983909E-2</v>
      </c>
    </row>
    <row r="62" spans="1:7" s="9" customFormat="1" x14ac:dyDescent="0.25">
      <c r="A62" s="79" t="s">
        <v>77</v>
      </c>
      <c r="B62" s="65">
        <v>561.86896000000002</v>
      </c>
      <c r="C62" s="65">
        <f>IF(OR(402.9711="",561.86896=""),"-",561.86896/402.9711*100)</f>
        <v>139.43157710317195</v>
      </c>
      <c r="D62" s="65">
        <f>IF(402.9711="","-",402.9711/675027.19329*100)</f>
        <v>5.9697017246959798E-2</v>
      </c>
      <c r="E62" s="65">
        <f>IF(561.86896="","-",561.86896/712715.47793*100)</f>
        <v>7.8834959727812223E-2</v>
      </c>
      <c r="F62" s="65">
        <f>IF(OR(732895.97599="",266.06521="",402.9711=""),"-",(402.9711-266.06521)/732895.97599*100)</f>
        <v>1.8680125759329865E-2</v>
      </c>
      <c r="G62" s="65">
        <f>IF(OR(675027.19329="",561.86896="",402.9711=""),"-",(561.86896-402.9711)/675027.19329*100)</f>
        <v>2.3539475384028799E-2</v>
      </c>
    </row>
    <row r="63" spans="1:7" s="14" customFormat="1" x14ac:dyDescent="0.25">
      <c r="A63" s="79" t="s">
        <v>259</v>
      </c>
      <c r="B63" s="65">
        <v>546.33928000000003</v>
      </c>
      <c r="C63" s="65">
        <f>IF(OR(559.55631="",546.33928=""),"-",546.33928/559.55631*100)</f>
        <v>97.637944606504391</v>
      </c>
      <c r="D63" s="65">
        <f>IF(559.55631="","-",559.55631/675027.19329*100)</f>
        <v>8.2893891618320004E-2</v>
      </c>
      <c r="E63" s="65">
        <f>IF(546.33928="","-",546.33928/712715.47793*100)</f>
        <v>7.6656014485160268E-2</v>
      </c>
      <c r="F63" s="65">
        <f>IF(OR(732895.97599="",357.91323="",559.55631=""),"-",(559.55631-357.91323)/732895.97599*100)</f>
        <v>2.7513192404640983E-2</v>
      </c>
      <c r="G63" s="65">
        <f>IF(OR(675027.19329="",546.33928="",559.55631=""),"-",(546.33928-559.55631)/675027.19329*100)</f>
        <v>-1.957999637848934E-3</v>
      </c>
    </row>
    <row r="64" spans="1:7" s="9" customFormat="1" x14ac:dyDescent="0.25">
      <c r="A64" s="79" t="s">
        <v>109</v>
      </c>
      <c r="B64" s="65">
        <v>488.06799999999998</v>
      </c>
      <c r="C64" s="65" t="s">
        <v>242</v>
      </c>
      <c r="D64" s="65">
        <f>IF(117.96236="","-",117.96236/675027.19329*100)</f>
        <v>1.7475201173017325E-2</v>
      </c>
      <c r="E64" s="65">
        <f>IF(488.068="","-",488.068/712715.47793*100)</f>
        <v>6.848006183583065E-2</v>
      </c>
      <c r="F64" s="65">
        <f>IF(OR(732895.97599="",442.60447="",117.96236=""),"-",(117.96236-442.60447)/732895.97599*100)</f>
        <v>-4.4295796488918036E-2</v>
      </c>
      <c r="G64" s="65">
        <f>IF(OR(675027.19329="",488.068="",117.96236=""),"-",(488.068-117.96236)/675027.19329*100)</f>
        <v>5.4828256354555197E-2</v>
      </c>
    </row>
    <row r="65" spans="1:7" s="9" customFormat="1" x14ac:dyDescent="0.25">
      <c r="A65" s="79" t="s">
        <v>39</v>
      </c>
      <c r="B65" s="65">
        <v>453.64695</v>
      </c>
      <c r="C65" s="65" t="s">
        <v>248</v>
      </c>
      <c r="D65" s="65">
        <f>IF(296.70533="","-",296.70533/675027.19329*100)</f>
        <v>4.395457441557199E-2</v>
      </c>
      <c r="E65" s="65">
        <f>IF(453.64695="","-",453.64695/712715.47793*100)</f>
        <v>6.3650497856110169E-2</v>
      </c>
      <c r="F65" s="65">
        <f>IF(OR(732895.97599="",827.78213="",296.70533=""),"-",(296.70533-827.78213)/732895.97599*100)</f>
        <v>-7.2462780175947691E-2</v>
      </c>
      <c r="G65" s="65">
        <f>IF(OR(675027.19329="",453.64695="",296.70533=""),"-",(453.64695-296.70533)/675027.19329*100)</f>
        <v>2.3249673725748106E-2</v>
      </c>
    </row>
    <row r="66" spans="1:7" s="14" customFormat="1" x14ac:dyDescent="0.25">
      <c r="A66" s="79" t="s">
        <v>76</v>
      </c>
      <c r="B66" s="65">
        <v>450.21154999999999</v>
      </c>
      <c r="C66" s="65">
        <f>IF(OR(429.15921="",450.21155=""),"-",450.21155/429.15921*100)</f>
        <v>104.90548484325899</v>
      </c>
      <c r="D66" s="65">
        <f>IF(429.15921="","-",429.15921/675027.19329*100)</f>
        <v>6.357658095347693E-2</v>
      </c>
      <c r="E66" s="65">
        <f>IF(450.21155="","-",450.21155/712715.47793*100)</f>
        <v>6.3168482226257747E-2</v>
      </c>
      <c r="F66" s="65">
        <f>IF(OR(732895.97599="",348.54405="",429.15921=""),"-",(429.15921-348.54405)/732895.97599*100)</f>
        <v>1.0999536447325221E-2</v>
      </c>
      <c r="G66" s="65">
        <f>IF(OR(675027.19329="",450.21155="",429.15921=""),"-",(450.21155-429.15921)/675027.19329*100)</f>
        <v>3.1187395425350917E-3</v>
      </c>
    </row>
    <row r="67" spans="1:7" s="16" customFormat="1" x14ac:dyDescent="0.25">
      <c r="A67" s="79" t="s">
        <v>138</v>
      </c>
      <c r="B67" s="65">
        <v>290.49284</v>
      </c>
      <c r="C67" s="65" t="s">
        <v>276</v>
      </c>
      <c r="D67" s="65">
        <f>IF(25.28671="","-",25.28671/675027.19329*100)</f>
        <v>3.746028345429414E-3</v>
      </c>
      <c r="E67" s="65">
        <f>IF(290.49284="","-",290.49284/712715.47793*100)</f>
        <v>4.0758598486411848E-2</v>
      </c>
      <c r="F67" s="65">
        <f>IF(OR(732895.97599="",71.237="",25.28671=""),"-",(25.28671-71.237)/732895.97599*100)</f>
        <v>-6.2696878554872795E-3</v>
      </c>
      <c r="G67" s="65">
        <f>IF(OR(675027.19329="",290.49284="",25.28671=""),"-",(290.49284-25.28671)/675027.19329*100)</f>
        <v>3.9288214258068298E-2</v>
      </c>
    </row>
    <row r="68" spans="1:7" s="9" customFormat="1" x14ac:dyDescent="0.25">
      <c r="A68" s="79" t="s">
        <v>36</v>
      </c>
      <c r="B68" s="65">
        <v>279.68351999999999</v>
      </c>
      <c r="C68" s="65" t="s">
        <v>277</v>
      </c>
      <c r="D68" s="65">
        <f>IF(94.11463="","-",94.11463/675027.19329*100)</f>
        <v>1.3942346461821312E-2</v>
      </c>
      <c r="E68" s="65">
        <f>IF(279.68352="","-",279.68352/712715.47793*100)</f>
        <v>3.9241959612313811E-2</v>
      </c>
      <c r="F68" s="65">
        <f>IF(OR(732895.97599="",94.36692="",94.11463=""),"-",(94.11463-94.36692)/732895.97599*100)</f>
        <v>-3.4423711995306455E-5</v>
      </c>
      <c r="G68" s="65">
        <f>IF(OR(675027.19329="",279.68352="",94.11463=""),"-",(279.68352-94.11463)/675027.19329*100)</f>
        <v>2.7490579912130639E-2</v>
      </c>
    </row>
    <row r="69" spans="1:7" s="9" customFormat="1" x14ac:dyDescent="0.25">
      <c r="A69" s="79" t="s">
        <v>158</v>
      </c>
      <c r="B69" s="65">
        <v>269.14800000000002</v>
      </c>
      <c r="C69" s="65" t="s">
        <v>246</v>
      </c>
      <c r="D69" s="65">
        <f>IF(35.0448="","-",35.0448/675027.19329*100)</f>
        <v>5.1916130710521358E-3</v>
      </c>
      <c r="E69" s="65">
        <f>IF(269.148="","-",269.148/712715.47793*100)</f>
        <v>3.7763737190289366E-2</v>
      </c>
      <c r="F69" s="65" t="str">
        <f>IF(OR(732895.97599="",""="",35.0448=""),"-",(35.0448-"")/732895.97599*100)</f>
        <v>-</v>
      </c>
      <c r="G69" s="65">
        <f>IF(OR(675027.19329="",269.148="",35.0448=""),"-",(269.148-35.0448)/675027.19329*100)</f>
        <v>3.4680558402248901E-2</v>
      </c>
    </row>
    <row r="70" spans="1:7" s="9" customFormat="1" x14ac:dyDescent="0.25">
      <c r="A70" s="79" t="s">
        <v>161</v>
      </c>
      <c r="B70" s="65">
        <v>244.67058</v>
      </c>
      <c r="C70" s="65" t="str">
        <f>IF(OR(""="",244.67058=""),"-",244.67058/""*100)</f>
        <v>-</v>
      </c>
      <c r="D70" s="65" t="str">
        <f>IF(""="","-",""/675027.19329*100)</f>
        <v>-</v>
      </c>
      <c r="E70" s="65">
        <f>IF(244.67058="","-",244.67058/712715.47793*100)</f>
        <v>3.432934846744419E-2</v>
      </c>
      <c r="F70" s="65" t="str">
        <f>IF(OR(732895.97599="",116.11269="",""=""),"-",(""-116.11269)/732895.97599*100)</f>
        <v>-</v>
      </c>
      <c r="G70" s="65" t="str">
        <f>IF(OR(675027.19329="",244.67058="",""=""),"-",(244.67058-"")/675027.19329*100)</f>
        <v>-</v>
      </c>
    </row>
    <row r="71" spans="1:7" s="9" customFormat="1" x14ac:dyDescent="0.25">
      <c r="A71" s="79" t="s">
        <v>101</v>
      </c>
      <c r="B71" s="65">
        <v>221.38569000000001</v>
      </c>
      <c r="C71" s="65" t="s">
        <v>250</v>
      </c>
      <c r="D71" s="65">
        <f>IF(68.48415="","-",68.48415/675027.19329*100)</f>
        <v>1.0145391279159678E-2</v>
      </c>
      <c r="E71" s="65">
        <f>IF(221.38569="","-",221.38569/712715.47793*100)</f>
        <v>3.1062281773785696E-2</v>
      </c>
      <c r="F71" s="65">
        <f>IF(OR(732895.97599="",114.50702="",68.48415=""),"-",(68.48415-114.50702)/732895.97599*100)</f>
        <v>-6.2795910344346003E-3</v>
      </c>
      <c r="G71" s="65">
        <f>IF(OR(675027.19329="",221.38569="",68.48415=""),"-",(221.38569-68.48415)/675027.19329*100)</f>
        <v>2.2651167467013678E-2</v>
      </c>
    </row>
    <row r="72" spans="1:7" s="9" customFormat="1" x14ac:dyDescent="0.25">
      <c r="A72" s="79" t="s">
        <v>91</v>
      </c>
      <c r="B72" s="65">
        <v>196.14367999999999</v>
      </c>
      <c r="C72" s="65" t="s">
        <v>278</v>
      </c>
      <c r="D72" s="65">
        <f>IF(0.1446="","-",0.1446/675027.19329*100)</f>
        <v>2.1421359233727652E-5</v>
      </c>
      <c r="E72" s="65">
        <f>IF(196.14368="","-",196.14368/712715.47793*100)</f>
        <v>2.7520614617445475E-2</v>
      </c>
      <c r="F72" s="65">
        <f>IF(OR(732895.97599="",1152.32054="",0.1446=""),"-",(0.1446-1152.32054)/732895.97599*100)</f>
        <v>-0.15720865958414279</v>
      </c>
      <c r="G72" s="65">
        <f>IF(OR(675027.19329="",196.14368="",0.1446=""),"-",(196.14368-0.1446)/675027.19329*100)</f>
        <v>2.9035730996957984E-2</v>
      </c>
    </row>
    <row r="73" spans="1:7" s="9" customFormat="1" x14ac:dyDescent="0.25">
      <c r="A73" s="79" t="s">
        <v>83</v>
      </c>
      <c r="B73" s="65">
        <v>187.66982999999999</v>
      </c>
      <c r="C73" s="65">
        <f>IF(OR(130.39804="",187.66983=""),"-",187.66983/130.39804*100)</f>
        <v>143.92074451425802</v>
      </c>
      <c r="D73" s="65">
        <f>IF(130.39804="","-",130.39804/675027.19329*100)</f>
        <v>1.9317449918492307E-2</v>
      </c>
      <c r="E73" s="65">
        <f>IF(187.66983="","-",187.66983/712715.47793*100)</f>
        <v>2.6331661905963567E-2</v>
      </c>
      <c r="F73" s="65">
        <f>IF(OR(732895.97599="",541.71295="",130.39804=""),"-",(130.39804-541.71295)/732895.97599*100)</f>
        <v>-5.6121867696761939E-2</v>
      </c>
      <c r="G73" s="65">
        <f>IF(OR(675027.19329="",187.66983="",130.39804=""),"-",(187.66983-130.39804)/675027.19329*100)</f>
        <v>8.4843678253707505E-3</v>
      </c>
    </row>
    <row r="74" spans="1:7" s="9" customFormat="1" x14ac:dyDescent="0.25">
      <c r="A74" s="79" t="s">
        <v>38</v>
      </c>
      <c r="B74" s="65">
        <v>184.96720999999999</v>
      </c>
      <c r="C74" s="65">
        <f>IF(OR(188.48417="",184.96721=""),"-",184.96721/188.48417*100)</f>
        <v>98.134082029275987</v>
      </c>
      <c r="D74" s="65">
        <f>IF(188.48417="","-",188.48417/675027.19329*100)</f>
        <v>2.7922455846756518E-2</v>
      </c>
      <c r="E74" s="65">
        <f>IF(184.96721="","-",184.96721/712715.47793*100)</f>
        <v>2.5952461497990183E-2</v>
      </c>
      <c r="F74" s="65">
        <f>IF(OR(732895.97599="",287.97278="",188.48417=""),"-",(188.48417-287.97278)/732895.97599*100)</f>
        <v>-1.3574724552909466E-2</v>
      </c>
      <c r="G74" s="65">
        <f>IF(OR(675027.19329="",184.96721="",188.48417=""),"-",(184.96721-188.48417)/675027.19329*100)</f>
        <v>-5.2101012151210954E-4</v>
      </c>
    </row>
    <row r="75" spans="1:7" s="9" customFormat="1" x14ac:dyDescent="0.25">
      <c r="A75" s="79" t="s">
        <v>75</v>
      </c>
      <c r="B75" s="65">
        <v>183.91844</v>
      </c>
      <c r="C75" s="65">
        <f>IF(OR(136.8668="",183.91844=""),"-",183.91844/136.8668*100)</f>
        <v>134.37768691896062</v>
      </c>
      <c r="D75" s="65">
        <f>IF(136.8668="","-",136.8668/675027.19329*100)</f>
        <v>2.0275746127045337E-2</v>
      </c>
      <c r="E75" s="65">
        <f>IF(183.91844="","-",183.91844/712715.47793*100)</f>
        <v>2.580531021076881E-2</v>
      </c>
      <c r="F75" s="65">
        <f>IF(OR(732895.97599="",389.2113="",136.8668=""),"-",(136.8668-389.2113)/732895.97599*100)</f>
        <v>-3.443114824844435E-2</v>
      </c>
      <c r="G75" s="65">
        <f>IF(OR(675027.19329="",183.91844="",136.8668=""),"-",(183.91844-136.8668)/675027.19329*100)</f>
        <v>6.9703325240389287E-3</v>
      </c>
    </row>
    <row r="76" spans="1:7" s="9" customFormat="1" x14ac:dyDescent="0.25">
      <c r="A76" s="79" t="s">
        <v>142</v>
      </c>
      <c r="B76" s="65">
        <v>182.67859999999999</v>
      </c>
      <c r="C76" s="65" t="s">
        <v>279</v>
      </c>
      <c r="D76" s="65">
        <f>IF(50.18097="","-",50.18097/675027.19329*100)</f>
        <v>7.4339182923022834E-3</v>
      </c>
      <c r="E76" s="65">
        <f>IF(182.6786="","-",182.6786/712715.47793*100)</f>
        <v>2.5631350189078105E-2</v>
      </c>
      <c r="F76" s="65" t="str">
        <f>IF(OR(732895.97599="",""="",50.18097=""),"-",(50.18097-"")/732895.97599*100)</f>
        <v>-</v>
      </c>
      <c r="G76" s="65">
        <f>IF(OR(675027.19329="",182.6786="",50.18097=""),"-",(182.6786-50.18097)/675027.19329*100)</f>
        <v>1.962848775828167E-2</v>
      </c>
    </row>
    <row r="77" spans="1:7" x14ac:dyDescent="0.25">
      <c r="A77" s="79" t="s">
        <v>88</v>
      </c>
      <c r="B77" s="65">
        <v>180.64213000000001</v>
      </c>
      <c r="C77" s="65" t="s">
        <v>280</v>
      </c>
      <c r="D77" s="65">
        <f>IF(10.25096="","-",10.25096/675027.19329*100)</f>
        <v>1.5185995618988435E-3</v>
      </c>
      <c r="E77" s="65">
        <f>IF(180.64213="","-",180.64213/712715.47793*100)</f>
        <v>2.534561625133416E-2</v>
      </c>
      <c r="F77" s="65" t="str">
        <f>IF(OR(732895.97599="",""="",10.25096=""),"-",(10.25096-"")/732895.97599*100)</f>
        <v>-</v>
      </c>
      <c r="G77" s="65">
        <f>IF(OR(675027.19329="",180.64213="",10.25096=""),"-",(180.64213-10.25096)/675027.19329*100)</f>
        <v>2.5242119383299851E-2</v>
      </c>
    </row>
    <row r="78" spans="1:7" x14ac:dyDescent="0.25">
      <c r="A78" s="79" t="s">
        <v>153</v>
      </c>
      <c r="B78" s="65">
        <v>168.98978</v>
      </c>
      <c r="C78" s="65" t="s">
        <v>243</v>
      </c>
      <c r="D78" s="65">
        <f>IF(45.00481="","-",45.00481/675027.19329*100)</f>
        <v>6.6671106656684539E-3</v>
      </c>
      <c r="E78" s="65">
        <f>IF(168.98978="","-",168.98978/712715.47793*100)</f>
        <v>2.3710693149363238E-2</v>
      </c>
      <c r="F78" s="65">
        <f>IF(OR(732895.97599="",43.09867="",45.00481=""),"-",(45.00481-43.09867)/732895.97599*100)</f>
        <v>2.6008329455284239E-4</v>
      </c>
      <c r="G78" s="65">
        <f>IF(OR(675027.19329="",168.98978="",45.00481=""),"-",(168.98978-45.00481)/675027.19329*100)</f>
        <v>1.8367403747945685E-2</v>
      </c>
    </row>
    <row r="79" spans="1:7" x14ac:dyDescent="0.25">
      <c r="A79" s="79" t="s">
        <v>136</v>
      </c>
      <c r="B79" s="65">
        <v>164.81958</v>
      </c>
      <c r="C79" s="65">
        <f>IF(OR(224.1376="",164.81958=""),"-",164.81958/224.1376*100)</f>
        <v>73.534998143997271</v>
      </c>
      <c r="D79" s="65">
        <f>IF(224.1376="","-",224.1376/675027.19329*100)</f>
        <v>3.3204232692846156E-2</v>
      </c>
      <c r="E79" s="65">
        <f>IF(164.81958="","-",164.81958/712715.47793*100)</f>
        <v>2.3125578874574112E-2</v>
      </c>
      <c r="F79" s="65" t="str">
        <f>IF(OR(732895.97599="",""="",224.1376=""),"-",(224.1376-"")/732895.97599*100)</f>
        <v>-</v>
      </c>
      <c r="G79" s="65">
        <f>IF(OR(675027.19329="",164.81958="",224.1376=""),"-",(164.81958-224.1376)/675027.19329*100)</f>
        <v>-8.7875007984332034E-3</v>
      </c>
    </row>
    <row r="80" spans="1:7" x14ac:dyDescent="0.25">
      <c r="A80" s="79" t="s">
        <v>239</v>
      </c>
      <c r="B80" s="65">
        <v>162.96404999999999</v>
      </c>
      <c r="C80" s="65" t="str">
        <f>IF(OR(""="",162.96405=""),"-",162.96405/""*100)</f>
        <v>-</v>
      </c>
      <c r="D80" s="65" t="str">
        <f>IF(""="","-",""/675027.19329*100)</f>
        <v>-</v>
      </c>
      <c r="E80" s="65">
        <f>IF(162.96405="","-",162.96405/712715.47793*100)</f>
        <v>2.2865232346757823E-2</v>
      </c>
      <c r="F80" s="65" t="str">
        <f>IF(OR(732895.97599="",223.62437="",""=""),"-",(""-223.62437)/732895.97599*100)</f>
        <v>-</v>
      </c>
      <c r="G80" s="65" t="str">
        <f>IF(OR(675027.19329="",162.96405="",""=""),"-",(162.96405-"")/675027.19329*100)</f>
        <v>-</v>
      </c>
    </row>
    <row r="81" spans="1:7" x14ac:dyDescent="0.25">
      <c r="A81" s="79" t="s">
        <v>102</v>
      </c>
      <c r="B81" s="65">
        <v>144.21203</v>
      </c>
      <c r="C81" s="65" t="s">
        <v>105</v>
      </c>
      <c r="D81" s="65">
        <f>IF(74.84361="","-",74.84361/675027.19329*100)</f>
        <v>1.1087495547434378E-2</v>
      </c>
      <c r="E81" s="65">
        <f>IF(144.21203="","-",144.21203/712715.47793*100)</f>
        <v>2.0234165591414856E-2</v>
      </c>
      <c r="F81" s="65">
        <f>IF(OR(732895.97599="",62.58987="",74.84361=""),"-",(74.84361-62.58987)/732895.97599*100)</f>
        <v>1.6719616973537863E-3</v>
      </c>
      <c r="G81" s="65">
        <f>IF(OR(675027.19329="",144.21203="",74.84361=""),"-",(144.21203-74.84361)/675027.19329*100)</f>
        <v>1.0276388964703304E-2</v>
      </c>
    </row>
    <row r="82" spans="1:7" x14ac:dyDescent="0.25">
      <c r="A82" s="79" t="s">
        <v>131</v>
      </c>
      <c r="B82" s="65">
        <v>140.52190999999999</v>
      </c>
      <c r="C82" s="65">
        <f>IF(OR(185.52352="",140.52191=""),"-",140.52191/185.52352*100)</f>
        <v>75.743447515441716</v>
      </c>
      <c r="D82" s="65">
        <f>IF(185.52352="","-",185.52352/675027.19329*100)</f>
        <v>2.748385870142224E-2</v>
      </c>
      <c r="E82" s="65">
        <f>IF(140.52191="","-",140.52191/712715.47793*100)</f>
        <v>1.971641059460778E-2</v>
      </c>
      <c r="F82" s="65">
        <f>IF(OR(732895.97599="",89.84425="",185.52352=""),"-",(185.52352-89.84425)/732895.97599*100)</f>
        <v>1.3054959112138106E-2</v>
      </c>
      <c r="G82" s="65">
        <f>IF(OR(675027.19329="",140.52191="",185.52352=""),"-",(140.52191-185.52352)/675027.19329*100)</f>
        <v>-6.6666366106923275E-3</v>
      </c>
    </row>
    <row r="83" spans="1:7" x14ac:dyDescent="0.25">
      <c r="A83" s="79" t="s">
        <v>96</v>
      </c>
      <c r="B83" s="65">
        <v>119.72808000000001</v>
      </c>
      <c r="C83" s="65">
        <f>IF(OR(144.76891="",119.72808=""),"-",119.72808/144.76891*100)</f>
        <v>82.702895255618074</v>
      </c>
      <c r="D83" s="65">
        <f>IF(144.76891="","-",144.76891/675027.19329*100)</f>
        <v>2.144638192935814E-2</v>
      </c>
      <c r="E83" s="65">
        <f>IF(119.72808="","-",119.72808/712715.47793*100)</f>
        <v>1.6798860654427827E-2</v>
      </c>
      <c r="F83" s="65">
        <f>IF(OR(732895.97599="",237.80074="",144.76891=""),"-",(144.76891-237.80074)/732895.97599*100)</f>
        <v>-1.2693729130431106E-2</v>
      </c>
      <c r="G83" s="65">
        <f>IF(OR(675027.19329="",119.72808="",144.76891=""),"-",(119.72808-144.76891)/675027.19329*100)</f>
        <v>-3.7096031462012747E-3</v>
      </c>
    </row>
    <row r="84" spans="1:7" x14ac:dyDescent="0.25">
      <c r="A84" s="79" t="s">
        <v>93</v>
      </c>
      <c r="B84" s="65">
        <v>112.43819000000001</v>
      </c>
      <c r="C84" s="65">
        <f>IF(OR(330.41507="",112.43819=""),"-",112.43819/330.41507*100)</f>
        <v>34.02937704990272</v>
      </c>
      <c r="D84" s="65">
        <f>IF(330.41507="","-",330.41507/675027.19329*100)</f>
        <v>4.8948408787740448E-2</v>
      </c>
      <c r="E84" s="65">
        <f>IF(112.43819="","-",112.43819/712715.47793*100)</f>
        <v>1.577602752876418E-2</v>
      </c>
      <c r="F84" s="65">
        <f>IF(OR(732895.97599="",18.97914="",330.41507=""),"-",(330.41507-18.97914)/732895.97599*100)</f>
        <v>4.2493879104645187E-2</v>
      </c>
      <c r="G84" s="65">
        <f>IF(OR(675027.19329="",112.43819="",330.41507=""),"-",(112.43819-330.41507)/675027.19329*100)</f>
        <v>-3.2291570201432529E-2</v>
      </c>
    </row>
    <row r="85" spans="1:7" x14ac:dyDescent="0.25">
      <c r="A85" s="79" t="s">
        <v>72</v>
      </c>
      <c r="B85" s="65">
        <v>104.40701</v>
      </c>
      <c r="C85" s="65">
        <f>IF(OR(279.50742="",104.40701=""),"-",104.40701/279.50742*100)</f>
        <v>37.353931426936718</v>
      </c>
      <c r="D85" s="65">
        <f>IF(279.50742="","-",279.50742/675027.19329*100)</f>
        <v>4.1406838536046979E-2</v>
      </c>
      <c r="E85" s="65">
        <f>IF(104.40701="","-",104.40701/712715.47793*100)</f>
        <v>1.4649185156359747E-2</v>
      </c>
      <c r="F85" s="65">
        <f>IF(OR(732895.97599="",176.56459="",279.50742=""),"-",(279.50742-176.56459)/732895.97599*100)</f>
        <v>1.4046035641135057E-2</v>
      </c>
      <c r="G85" s="65">
        <f>IF(OR(675027.19329="",104.40701="",279.50742=""),"-",(104.40701-279.50742)/675027.19329*100)</f>
        <v>-2.5939756463229581E-2</v>
      </c>
    </row>
    <row r="86" spans="1:7" x14ac:dyDescent="0.25">
      <c r="A86" s="79" t="s">
        <v>132</v>
      </c>
      <c r="B86" s="65">
        <v>95.292249999999996</v>
      </c>
      <c r="C86" s="65">
        <f>IF(OR(86.79418="",95.29225=""),"-",95.29225/86.79418*100)</f>
        <v>109.79105972312891</v>
      </c>
      <c r="D86" s="65">
        <f>IF(86.79418="","-",86.79418/675027.19329*100)</f>
        <v>1.2857879039950343E-2</v>
      </c>
      <c r="E86" s="65">
        <f>IF(95.29225="","-",95.29225/712715.47793*100)</f>
        <v>1.3370307359784769E-2</v>
      </c>
      <c r="F86" s="65">
        <f>IF(OR(732895.97599="",133.42082="",86.79418=""),"-",(86.79418-133.42082)/732895.97599*100)</f>
        <v>-6.3619724391331903E-3</v>
      </c>
      <c r="G86" s="65">
        <f>IF(OR(675027.19329="",95.29225="",86.79418=""),"-",(95.29225-86.79418)/675027.19329*100)</f>
        <v>1.2589226159292108E-3</v>
      </c>
    </row>
    <row r="87" spans="1:7" x14ac:dyDescent="0.25">
      <c r="A87" s="79" t="s">
        <v>67</v>
      </c>
      <c r="B87" s="65">
        <v>86.151380000000003</v>
      </c>
      <c r="C87" s="65">
        <f>IF(OR(741.44258="",86.15138=""),"-",86.15138/741.44258*100)</f>
        <v>11.619427090362143</v>
      </c>
      <c r="D87" s="65">
        <f>IF(741.44258="","-",741.44258/675027.19329*100)</f>
        <v>0.10983892017539316</v>
      </c>
      <c r="E87" s="65">
        <f>IF(86.15138="","-",86.15138/712715.47793*100)</f>
        <v>1.2087766109726809E-2</v>
      </c>
      <c r="F87" s="65">
        <f>IF(OR(732895.97599="",22.26872="",741.44258=""),"-",(741.44258-22.26872)/732895.97599*100)</f>
        <v>9.8127685723548408E-2</v>
      </c>
      <c r="G87" s="65">
        <f>IF(OR(675027.19329="",86.15138="",741.44258=""),"-",(86.15138-741.44258)/675027.19329*100)</f>
        <v>-9.7076266928772276E-2</v>
      </c>
    </row>
    <row r="88" spans="1:7" x14ac:dyDescent="0.25">
      <c r="A88" s="79" t="s">
        <v>69</v>
      </c>
      <c r="B88" s="65">
        <v>82.341089999999994</v>
      </c>
      <c r="C88" s="65" t="s">
        <v>281</v>
      </c>
      <c r="D88" s="65">
        <f>IF(1.8532="","-",1.8532/675027.19329*100)</f>
        <v>2.7453708804940581E-4</v>
      </c>
      <c r="E88" s="65">
        <f>IF(82.34109="","-",82.34109/712715.47793*100)</f>
        <v>1.155315024715756E-2</v>
      </c>
      <c r="F88" s="65">
        <f>IF(OR(732895.97599="",124.92726="",1.8532=""),"-",(1.8532-124.92726)/732895.97599*100)</f>
        <v>-1.6792841553502989E-2</v>
      </c>
      <c r="G88" s="65">
        <f>IF(OR(675027.19329="",82.34109="",1.8532=""),"-",(82.34109-1.8532)/675027.19329*100)</f>
        <v>1.1923651491388349E-2</v>
      </c>
    </row>
    <row r="89" spans="1:7" x14ac:dyDescent="0.25">
      <c r="A89" s="79" t="s">
        <v>260</v>
      </c>
      <c r="B89" s="65">
        <v>70.539510000000007</v>
      </c>
      <c r="C89" s="65" t="str">
        <f>IF(OR(""="",70.53951=""),"-",70.53951/""*100)</f>
        <v>-</v>
      </c>
      <c r="D89" s="65" t="str">
        <f>IF(""="","-",""/675027.19329*100)</f>
        <v>-</v>
      </c>
      <c r="E89" s="65">
        <f>IF(70.53951="","-",70.53951/712715.47793*100)</f>
        <v>9.8972889160305437E-3</v>
      </c>
      <c r="F89" s="65" t="str">
        <f>IF(OR(732895.97599="",""="",""=""),"-",(""-"")/732895.97599*100)</f>
        <v>-</v>
      </c>
      <c r="G89" s="65" t="str">
        <f>IF(OR(675027.19329="",70.53951="",""=""),"-",(70.53951-"")/675027.19329*100)</f>
        <v>-</v>
      </c>
    </row>
    <row r="90" spans="1:7" x14ac:dyDescent="0.25">
      <c r="A90" s="79" t="s">
        <v>65</v>
      </c>
      <c r="B90" s="65">
        <v>51.506</v>
      </c>
      <c r="C90" s="65">
        <f>IF(OR(4396.02129="",51.506=""),"-",51.506/4396.02129*100)</f>
        <v>1.1716503766067976</v>
      </c>
      <c r="D90" s="65">
        <f>IF(4396.02129="","-",4396.02129/675027.19329*100)</f>
        <v>0.65123617740113993</v>
      </c>
      <c r="E90" s="65">
        <f>IF(51.506="","-",51.506/712715.47793*100)</f>
        <v>7.2267267366766383E-3</v>
      </c>
      <c r="F90" s="65">
        <f>IF(OR(732895.97599="",4043.76472="",4396.02129=""),"-",(4396.02129-4043.76472)/732895.97599*100)</f>
        <v>4.8063651805997358E-2</v>
      </c>
      <c r="G90" s="65">
        <f>IF(OR(675027.19329="",51.506="",4396.02129=""),"-",(51.506-4396.02129)/675027.19329*100)</f>
        <v>-0.64360596627601963</v>
      </c>
    </row>
    <row r="91" spans="1:7" x14ac:dyDescent="0.25">
      <c r="A91" s="79" t="s">
        <v>74</v>
      </c>
      <c r="B91" s="65">
        <v>45.75</v>
      </c>
      <c r="C91" s="65">
        <f>IF(OR(42.02936="",45.75=""),"-",45.75/42.02936*100)</f>
        <v>108.85247836274452</v>
      </c>
      <c r="D91" s="65">
        <f>IF(42.02936="","-",42.02936/675027.19329*100)</f>
        <v>6.2263210160695961E-3</v>
      </c>
      <c r="E91" s="65">
        <f>IF(45.75="","-",45.75/712715.47793*100)</f>
        <v>6.4191113307761468E-3</v>
      </c>
      <c r="F91" s="65">
        <f>IF(OR(732895.97599="",166.64737="",42.02936=""),"-",(42.02936-166.64737)/732895.97599*100)</f>
        <v>-1.7003505829277517E-2</v>
      </c>
      <c r="G91" s="65">
        <f>IF(OR(675027.19329="",45.75="",42.02936=""),"-",(45.75-42.02936)/675027.19329*100)</f>
        <v>5.5118372074257609E-4</v>
      </c>
    </row>
    <row r="92" spans="1:7" x14ac:dyDescent="0.25">
      <c r="A92" s="79" t="s">
        <v>90</v>
      </c>
      <c r="B92" s="65">
        <v>45.109529999999999</v>
      </c>
      <c r="C92" s="65">
        <f>IF(OR(31.01059="",45.10953=""),"-",45.10953/31.01059*100)</f>
        <v>145.46492020951553</v>
      </c>
      <c r="D92" s="65">
        <f>IF(31.01059="","-",31.01059/675027.19329*100)</f>
        <v>4.593976406914539E-3</v>
      </c>
      <c r="E92" s="65">
        <f>IF(45.10953="","-",45.10953/712715.47793*100)</f>
        <v>6.3292479813986131E-3</v>
      </c>
      <c r="F92" s="65">
        <f>IF(OR(732895.97599="",37.52855="",31.01059=""),"-",(31.01059-37.52855)/732895.97599*100)</f>
        <v>-8.8934312829259368E-4</v>
      </c>
      <c r="G92" s="65">
        <f>IF(OR(675027.19329="",45.10953="",31.01059=""),"-",(45.10953-31.01059)/675027.19329*100)</f>
        <v>2.0886477078476632E-3</v>
      </c>
    </row>
    <row r="93" spans="1:7" x14ac:dyDescent="0.25">
      <c r="A93" s="79" t="s">
        <v>240</v>
      </c>
      <c r="B93" s="65">
        <v>39.469250000000002</v>
      </c>
      <c r="C93" s="65" t="str">
        <f>IF(OR(""="",39.46925=""),"-",39.46925/""*100)</f>
        <v>-</v>
      </c>
      <c r="D93" s="65" t="str">
        <f>IF(""="","-",""/675027.19329*100)</f>
        <v>-</v>
      </c>
      <c r="E93" s="65">
        <f>IF(39.46925="","-",39.46925/712715.47793*100)</f>
        <v>5.5378690686827634E-3</v>
      </c>
      <c r="F93" s="65" t="str">
        <f>IF(OR(732895.97599="",""="",""=""),"-",(""-"")/732895.97599*100)</f>
        <v>-</v>
      </c>
      <c r="G93" s="65" t="str">
        <f>IF(OR(675027.19329="",39.46925="",""=""),"-",(39.46925-"")/675027.19329*100)</f>
        <v>-</v>
      </c>
    </row>
    <row r="94" spans="1:7" x14ac:dyDescent="0.25">
      <c r="A94" s="79" t="s">
        <v>70</v>
      </c>
      <c r="B94" s="65">
        <v>38.297400000000003</v>
      </c>
      <c r="C94" s="65">
        <f>IF(OR(612.19363="",38.2974=""),"-",38.2974/612.19363*100)</f>
        <v>6.2557658432349257</v>
      </c>
      <c r="D94" s="65">
        <f>IF(612.19363="","-",612.19363/675027.19329*100)</f>
        <v>9.0691698954562569E-2</v>
      </c>
      <c r="E94" s="65">
        <f>IF(38.2974="","-",38.2974/712715.47793*100)</f>
        <v>5.373448618126042E-3</v>
      </c>
      <c r="F94" s="65">
        <f>IF(OR(732895.97599="",40.16854="",612.19363=""),"-",(612.19363-40.16854)/732895.97599*100)</f>
        <v>7.8049970083040141E-2</v>
      </c>
      <c r="G94" s="65">
        <f>IF(OR(675027.19329="",38.2974="",612.19363=""),"-",(38.2974-612.19363)/675027.19329*100)</f>
        <v>-8.5018238628713591E-2</v>
      </c>
    </row>
    <row r="95" spans="1:7" x14ac:dyDescent="0.25">
      <c r="A95" s="79" t="s">
        <v>107</v>
      </c>
      <c r="B95" s="65">
        <v>37.459919999999997</v>
      </c>
      <c r="C95" s="65">
        <f>IF(OR(73.887="",37.45992=""),"-",37.45992/73.887*100)</f>
        <v>50.698932153152789</v>
      </c>
      <c r="D95" s="65">
        <f>IF(73.887="","-",73.887/675027.19329*100)</f>
        <v>1.0945781256586686E-2</v>
      </c>
      <c r="E95" s="65">
        <f>IF(37.45992="","-",37.45992/712715.47793*100)</f>
        <v>5.2559431021195185E-3</v>
      </c>
      <c r="F95" s="65">
        <f>IF(OR(732895.97599="",141.32449="",73.887=""),"-",(73.887-141.32449)/732895.97599*100)</f>
        <v>-9.2015091103352098E-3</v>
      </c>
      <c r="G95" s="65">
        <f>IF(OR(675027.19329="",37.45992="",73.887=""),"-",(37.45992-73.887)/675027.19329*100)</f>
        <v>-5.3963870436772882E-3</v>
      </c>
    </row>
    <row r="96" spans="1:7" x14ac:dyDescent="0.25">
      <c r="A96" s="79" t="s">
        <v>261</v>
      </c>
      <c r="B96" s="65">
        <v>36.512990000000002</v>
      </c>
      <c r="C96" s="65" t="s">
        <v>277</v>
      </c>
      <c r="D96" s="65">
        <f>IF(11.98348="","-",11.98348/675027.19329*100)</f>
        <v>1.7752588516610694E-3</v>
      </c>
      <c r="E96" s="65">
        <f>IF(36.51299="","-",36.51299/712715.47793*100)</f>
        <v>5.1230808268746698E-3</v>
      </c>
      <c r="F96" s="65">
        <f>IF(OR(732895.97599="",8.71721="",11.98348=""),"-",(11.98348-8.71721)/732895.97599*100)</f>
        <v>4.4566624828140243E-4</v>
      </c>
      <c r="G96" s="65">
        <f>IF(OR(675027.19329="",36.51299="",11.98348=""),"-",(36.51299-11.98348)/675027.19329*100)</f>
        <v>3.6338550867034214E-3</v>
      </c>
    </row>
    <row r="97" spans="1:7" x14ac:dyDescent="0.25">
      <c r="A97" s="79" t="s">
        <v>144</v>
      </c>
      <c r="B97" s="65">
        <v>35.301020000000001</v>
      </c>
      <c r="C97" s="65" t="s">
        <v>282</v>
      </c>
      <c r="D97" s="65">
        <f>IF(0.39509="","-",0.39509/675027.19329*100)</f>
        <v>5.8529493911849633E-5</v>
      </c>
      <c r="E97" s="65">
        <f>IF(35.30102="","-",35.30102/712715.47793*100)</f>
        <v>4.9530312015290791E-3</v>
      </c>
      <c r="F97" s="65">
        <f>IF(OR(732895.97599="",46.38519="",0.39509=""),"-",(0.39509-46.38519)/732895.97599*100)</f>
        <v>-6.2751197314020344E-3</v>
      </c>
      <c r="G97" s="65">
        <f>IF(OR(675027.19329="",35.30102="",0.39509=""),"-",(35.30102-0.39509)/675027.19329*100)</f>
        <v>5.1710405665100342E-3</v>
      </c>
    </row>
    <row r="98" spans="1:7" x14ac:dyDescent="0.25">
      <c r="A98" s="79" t="s">
        <v>262</v>
      </c>
      <c r="B98" s="65">
        <v>31.226220000000001</v>
      </c>
      <c r="C98" s="65" t="str">
        <f>IF(OR(""="",31.22622=""),"-",31.22622/""*100)</f>
        <v>-</v>
      </c>
      <c r="D98" s="65" t="str">
        <f>IF(""="","-",""/675027.19329*100)</f>
        <v>-</v>
      </c>
      <c r="E98" s="65">
        <f>IF(31.22622="","-",31.22622/712715.47793*100)</f>
        <v>4.3813023523346173E-3</v>
      </c>
      <c r="F98" s="65" t="str">
        <f>IF(OR(732895.97599="",""="",""=""),"-",(""-"")/732895.97599*100)</f>
        <v>-</v>
      </c>
      <c r="G98" s="65" t="str">
        <f>IF(OR(675027.19329="",31.22622="",""=""),"-",(31.22622-"")/675027.19329*100)</f>
        <v>-</v>
      </c>
    </row>
    <row r="99" spans="1:7" x14ac:dyDescent="0.25">
      <c r="A99" s="79" t="s">
        <v>98</v>
      </c>
      <c r="B99" s="65">
        <v>29.250170000000001</v>
      </c>
      <c r="C99" s="65" t="s">
        <v>105</v>
      </c>
      <c r="D99" s="65">
        <f>IF(15.06203="","-",15.06203/675027.19329*100)</f>
        <v>2.2313219600220116E-3</v>
      </c>
      <c r="E99" s="65">
        <f>IF(29.25017="","-",29.25017/712715.47793*100)</f>
        <v>4.1040458508006233E-3</v>
      </c>
      <c r="F99" s="65">
        <f>IF(OR(732895.97599="",30.70499="",15.06203=""),"-",(15.06203-30.70499)/732895.97599*100)</f>
        <v>-2.1344038598205429E-3</v>
      </c>
      <c r="G99" s="65">
        <f>IF(OR(675027.19329="",29.25017="",15.06203=""),"-",(29.25017-15.06203)/675027.19329*100)</f>
        <v>2.1018619903071965E-3</v>
      </c>
    </row>
    <row r="100" spans="1:7" x14ac:dyDescent="0.25">
      <c r="A100" s="79" t="s">
        <v>244</v>
      </c>
      <c r="B100" s="65">
        <v>26.507999999999999</v>
      </c>
      <c r="C100" s="65" t="str">
        <f>IF(OR(""="",26.508=""),"-",26.508/""*100)</f>
        <v>-</v>
      </c>
      <c r="D100" s="65" t="str">
        <f>IF(""="","-",""/675027.19329*100)</f>
        <v>-</v>
      </c>
      <c r="E100" s="65">
        <f>IF(26.508="","-",26.508/712715.47793*100)</f>
        <v>3.7192962438516741E-3</v>
      </c>
      <c r="F100" s="65" t="str">
        <f>IF(OR(732895.97599="",""="",""=""),"-",(""-"")/732895.97599*100)</f>
        <v>-</v>
      </c>
      <c r="G100" s="65" t="str">
        <f>IF(OR(675027.19329="",26.508="",""=""),"-",(26.508-"")/675027.19329*100)</f>
        <v>-</v>
      </c>
    </row>
    <row r="101" spans="1:7" x14ac:dyDescent="0.25">
      <c r="A101" s="79" t="s">
        <v>87</v>
      </c>
      <c r="B101" s="65">
        <v>25.802869999999999</v>
      </c>
      <c r="C101" s="65">
        <f>IF(OR(683.87201="",25.80287=""),"-",25.80287/683.87201*100)</f>
        <v>3.7730554288952396</v>
      </c>
      <c r="D101" s="65">
        <f>IF(683.87201="","-",683.87201/675027.19329*100)</f>
        <v>0.10131029042947019</v>
      </c>
      <c r="E101" s="65">
        <f>IF(25.80287="","-",25.80287/712715.47793*100)</f>
        <v>3.6203605504599762E-3</v>
      </c>
      <c r="F101" s="65">
        <f>IF(OR(732895.97599="",83.85833="",683.87201=""),"-",(683.87201-83.85833)/732895.97599*100)</f>
        <v>8.1868873572337228E-2</v>
      </c>
      <c r="G101" s="65">
        <f>IF(OR(675027.19329="",25.80287="",683.87201=""),"-",(25.80287-683.87201)/675027.19329*100)</f>
        <v>-9.7487797016391528E-2</v>
      </c>
    </row>
    <row r="102" spans="1:7" x14ac:dyDescent="0.25">
      <c r="A102" s="79" t="s">
        <v>263</v>
      </c>
      <c r="B102" s="65">
        <v>24.63456</v>
      </c>
      <c r="C102" s="65" t="str">
        <f>IF(OR(""="",24.63456=""),"-",24.63456/""*100)</f>
        <v>-</v>
      </c>
      <c r="D102" s="65" t="str">
        <f>IF(""="","-",""/675027.19329*100)</f>
        <v>-</v>
      </c>
      <c r="E102" s="65">
        <f>IF(24.63456="","-",24.63456/712715.47793*100)</f>
        <v>3.45643679179639E-3</v>
      </c>
      <c r="F102" s="65" t="str">
        <f>IF(OR(732895.97599="",""="",""=""),"-",(""-"")/732895.97599*100)</f>
        <v>-</v>
      </c>
      <c r="G102" s="65" t="str">
        <f>IF(OR(675027.19329="",24.63456="",""=""),"-",(24.63456-"")/675027.19329*100)</f>
        <v>-</v>
      </c>
    </row>
    <row r="103" spans="1:7" x14ac:dyDescent="0.25">
      <c r="A103" s="79" t="s">
        <v>94</v>
      </c>
      <c r="B103" s="65">
        <v>21.35332</v>
      </c>
      <c r="C103" s="65" t="s">
        <v>283</v>
      </c>
      <c r="D103" s="65">
        <f>IF(0.30169="","-",0.30169/675027.19329*100)</f>
        <v>4.4693014296150032E-5</v>
      </c>
      <c r="E103" s="65">
        <f>IF(21.35332="","-",21.35332/712715.47793*100)</f>
        <v>2.9960511117309049E-3</v>
      </c>
      <c r="F103" s="65">
        <f>IF(OR(732895.97599="",0.12="",0.30169=""),"-",(0.30169-0.12)/732895.97599*100)</f>
        <v>2.4790694171102817E-5</v>
      </c>
      <c r="G103" s="65">
        <f>IF(OR(675027.19329="",21.35332="",0.30169=""),"-",(21.35332-0.30169)/675027.19329*100)</f>
        <v>3.1186343615872613E-3</v>
      </c>
    </row>
    <row r="104" spans="1:7" x14ac:dyDescent="0.25">
      <c r="A104" s="79" t="s">
        <v>78</v>
      </c>
      <c r="B104" s="65">
        <v>20.333819999999999</v>
      </c>
      <c r="C104" s="65">
        <f>IF(OR(54.71266="",20.33382=""),"-",20.33382/54.71266*100)</f>
        <v>37.164743955055371</v>
      </c>
      <c r="D104" s="65">
        <f>IF(54.71266="","-",54.71266/675027.19329*100)</f>
        <v>8.1052527281659844E-3</v>
      </c>
      <c r="E104" s="65">
        <f>IF(20.33382="","-",20.33382/712715.47793*100)</f>
        <v>2.8530066526767789E-3</v>
      </c>
      <c r="F104" s="65">
        <f>IF(OR(732895.97599="",31.62614="",54.71266=""),"-",(54.71266-31.62614)/732895.97599*100)</f>
        <v>3.1500404909188652E-3</v>
      </c>
      <c r="G104" s="65">
        <f>IF(OR(675027.19329="",20.33382="",54.71266=""),"-",(20.33382-54.71266)/675027.19329*100)</f>
        <v>-5.0929563048329558E-3</v>
      </c>
    </row>
    <row r="105" spans="1:7" x14ac:dyDescent="0.25">
      <c r="A105" s="79" t="s">
        <v>86</v>
      </c>
      <c r="B105" s="65">
        <v>19.725899999999999</v>
      </c>
      <c r="C105" s="65">
        <f>IF(OR(201.66525="",19.7259=""),"-",19.7259/201.66525*100)</f>
        <v>9.7815067295927296</v>
      </c>
      <c r="D105" s="65">
        <f>IF(201.66525="","-",201.66525/675027.19329*100)</f>
        <v>2.987512977323302E-2</v>
      </c>
      <c r="E105" s="65">
        <f>IF(19.7259="","-",19.7259/712715.47793*100)</f>
        <v>2.7677103431640918E-3</v>
      </c>
      <c r="F105" s="65">
        <f>IF(OR(732895.97599="",1.40515="",201.66525=""),"-",(201.66525-1.40515)/732895.97599*100)</f>
        <v>2.7324491682395657E-2</v>
      </c>
      <c r="G105" s="65">
        <f>IF(OR(675027.19329="",19.7259="",201.66525=""),"-",(19.7259-201.66525)/675027.19329*100)</f>
        <v>-2.6952891943989671E-2</v>
      </c>
    </row>
    <row r="106" spans="1:7" x14ac:dyDescent="0.25">
      <c r="A106" s="79" t="s">
        <v>85</v>
      </c>
      <c r="B106" s="65">
        <v>17.21275</v>
      </c>
      <c r="C106" s="65">
        <f>IF(OR(509.38636="",17.21275=""),"-",17.21275/509.38636*100)</f>
        <v>3.3791148235692838</v>
      </c>
      <c r="D106" s="65">
        <f>IF(509.38636="","-",509.38636/675027.19329*100)</f>
        <v>7.5461605852841757E-2</v>
      </c>
      <c r="E106" s="65">
        <f>IF(17.21275="","-",17.21275/712715.47793*100)</f>
        <v>2.4150941761490077E-3</v>
      </c>
      <c r="F106" s="65">
        <f>IF(OR(732895.97599="",789.96225="",509.38636=""),"-",(509.38636-789.96225)/732895.97599*100)</f>
        <v>-3.8283180586575954E-2</v>
      </c>
      <c r="G106" s="65">
        <f>IF(OR(675027.19329="",17.21275="",509.38636=""),"-",(17.21275-509.38636)/675027.19329*100)</f>
        <v>-7.2911671543364948E-2</v>
      </c>
    </row>
    <row r="107" spans="1:7" x14ac:dyDescent="0.25">
      <c r="A107" s="80" t="s">
        <v>264</v>
      </c>
      <c r="B107" s="67">
        <v>16.904109999999999</v>
      </c>
      <c r="C107" s="67">
        <f>IF(OR(67.63267="",16.90411=""),"-",16.90411/67.63267*100)</f>
        <v>24.994000680440383</v>
      </c>
      <c r="D107" s="67">
        <f>IF(67.63267="","-",67.63267/675027.19329*100)</f>
        <v>1.001925117569955E-2</v>
      </c>
      <c r="E107" s="67">
        <f>IF(16.90411="","-",16.90411/712715.47793*100)</f>
        <v>2.3717893778729261E-3</v>
      </c>
      <c r="F107" s="67">
        <f>IF(OR(732895.97599="",2430.76171="",67.63267=""),"-",(67.63267-2430.76171)/732895.97599*100)</f>
        <v>-0.32243716945066758</v>
      </c>
      <c r="G107" s="67">
        <f>IF(OR(675027.19329="",16.90411="",67.63267=""),"-",(16.90411-67.63267)/675027.19329*100)</f>
        <v>-7.5150394686701733E-3</v>
      </c>
    </row>
    <row r="108" spans="1:7" x14ac:dyDescent="0.25">
      <c r="A108" s="33" t="s">
        <v>385</v>
      </c>
    </row>
    <row r="109" spans="1:7" x14ac:dyDescent="0.25">
      <c r="A109" s="136" t="s">
        <v>391</v>
      </c>
      <c r="B109" s="136"/>
      <c r="C109" s="136"/>
      <c r="D109" s="136"/>
      <c r="E109" s="136"/>
    </row>
  </sheetData>
  <mergeCells count="10">
    <mergeCell ref="A109:E109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9"/>
  <sheetViews>
    <sheetView zoomScaleNormal="100" workbookViewId="0">
      <selection activeCell="A125" sqref="A125"/>
    </sheetView>
  </sheetViews>
  <sheetFormatPr defaultRowHeight="15.75" x14ac:dyDescent="0.25"/>
  <cols>
    <col min="1" max="1" width="29.25" customWidth="1"/>
    <col min="2" max="2" width="12.75" customWidth="1"/>
    <col min="3" max="3" width="10.125" customWidth="1"/>
    <col min="4" max="4" width="8.75" customWidth="1"/>
    <col min="5" max="5" width="9" customWidth="1"/>
    <col min="6" max="7" width="9.875" customWidth="1"/>
  </cols>
  <sheetData>
    <row r="1" spans="1:7" x14ac:dyDescent="0.25">
      <c r="A1" s="115" t="s">
        <v>147</v>
      </c>
      <c r="B1" s="115"/>
      <c r="C1" s="115"/>
      <c r="D1" s="115"/>
      <c r="E1" s="115"/>
      <c r="F1" s="115"/>
      <c r="G1" s="115"/>
    </row>
    <row r="2" spans="1:7" x14ac:dyDescent="0.25">
      <c r="A2" s="2"/>
    </row>
    <row r="3" spans="1:7" ht="55.5" customHeight="1" x14ac:dyDescent="0.25">
      <c r="A3" s="103"/>
      <c r="B3" s="106" t="s">
        <v>253</v>
      </c>
      <c r="C3" s="107"/>
      <c r="D3" s="106" t="s">
        <v>108</v>
      </c>
      <c r="E3" s="107"/>
      <c r="F3" s="108" t="s">
        <v>120</v>
      </c>
      <c r="G3" s="109"/>
    </row>
    <row r="4" spans="1:7" ht="21" customHeight="1" x14ac:dyDescent="0.25">
      <c r="A4" s="104"/>
      <c r="B4" s="110" t="s">
        <v>99</v>
      </c>
      <c r="C4" s="112" t="s">
        <v>256</v>
      </c>
      <c r="D4" s="114" t="s">
        <v>255</v>
      </c>
      <c r="E4" s="114"/>
      <c r="F4" s="114" t="s">
        <v>384</v>
      </c>
      <c r="G4" s="106"/>
    </row>
    <row r="5" spans="1:7" ht="33.75" customHeight="1" x14ac:dyDescent="0.25">
      <c r="A5" s="105"/>
      <c r="B5" s="111"/>
      <c r="C5" s="113"/>
      <c r="D5" s="28">
        <v>2020</v>
      </c>
      <c r="E5" s="28">
        <v>2021</v>
      </c>
      <c r="F5" s="28" t="s">
        <v>135</v>
      </c>
      <c r="G5" s="27" t="s">
        <v>238</v>
      </c>
    </row>
    <row r="6" spans="1:7" s="3" customFormat="1" ht="15" x14ac:dyDescent="0.25">
      <c r="A6" s="76" t="s">
        <v>129</v>
      </c>
      <c r="B6" s="63">
        <v>1551105.23673</v>
      </c>
      <c r="C6" s="63">
        <f>IF(1365113.41163="","-",1551105.23673/1365113.41163*100)</f>
        <v>113.62464272312131</v>
      </c>
      <c r="D6" s="63">
        <v>100</v>
      </c>
      <c r="E6" s="63">
        <v>100</v>
      </c>
      <c r="F6" s="63">
        <f>IF(1365645.29487="","-",(1365113.41163-1365645.29487)/1365645.29487*100)</f>
        <v>-3.8947393001543901E-2</v>
      </c>
      <c r="G6" s="63">
        <f>IF(1365113.41163="","-",(1551105.23673-1365113.41163)/1365113.41163*100)</f>
        <v>13.624642723121323</v>
      </c>
    </row>
    <row r="7" spans="1:7" s="3" customFormat="1" ht="15" x14ac:dyDescent="0.25">
      <c r="A7" s="77" t="s">
        <v>133</v>
      </c>
      <c r="B7" s="42"/>
      <c r="C7" s="42"/>
      <c r="D7" s="42"/>
      <c r="E7" s="42"/>
      <c r="F7" s="42"/>
      <c r="G7" s="42"/>
    </row>
    <row r="8" spans="1:7" ht="16.5" customHeight="1" x14ac:dyDescent="0.25">
      <c r="A8" s="78" t="s">
        <v>154</v>
      </c>
      <c r="B8" s="64">
        <v>731469.01980999997</v>
      </c>
      <c r="C8" s="64">
        <f>IF(647347.57919="","-",731469.01981/647347.57919*100)</f>
        <v>112.99478724014969</v>
      </c>
      <c r="D8" s="64">
        <f>IF(647347.57919="","-",647347.57919/1365113.41163*100)</f>
        <v>47.420791098744033</v>
      </c>
      <c r="E8" s="64">
        <f>IF(731469.01981="","-",731469.01981/1551105.23673*100)</f>
        <v>47.157923427043805</v>
      </c>
      <c r="F8" s="64">
        <f>IF(1365645.29487="","-",(647347.57919-638676.96669)/1365645.29487*100)</f>
        <v>0.6349095575967485</v>
      </c>
      <c r="G8" s="64">
        <f>IF(1365113.41163="","-",(731469.01981-647347.57919)/1365113.41163*100)</f>
        <v>6.1622309108776276</v>
      </c>
    </row>
    <row r="9" spans="1:7" x14ac:dyDescent="0.25">
      <c r="A9" s="79" t="s">
        <v>2</v>
      </c>
      <c r="B9" s="65">
        <v>189445.47573999999</v>
      </c>
      <c r="C9" s="65">
        <f>IF(OR(177324.17055="",189445.47574=""),"-",189445.47574/177324.17055*100)</f>
        <v>106.83567567376954</v>
      </c>
      <c r="D9" s="65">
        <f>IF(177324.17055="","-",177324.17055/1365113.41163*100)</f>
        <v>12.989702470087657</v>
      </c>
      <c r="E9" s="65">
        <f>IF(189445.47574="","-",189445.47574/1551105.23673*100)</f>
        <v>12.213579791619043</v>
      </c>
      <c r="F9" s="65">
        <f>IF(OR(1365645.29487="",180112.92304="",177324.17055=""),"-",(177324.17055-180112.92304)/1365645.29487*100)</f>
        <v>-0.20420767387225933</v>
      </c>
      <c r="G9" s="65">
        <f>IF(OR(1365113.41163="",189445.47574="",177324.17055=""),"-",(189445.47574-177324.17055)/1365113.41163*100)</f>
        <v>0.88793393184282476</v>
      </c>
    </row>
    <row r="10" spans="1:7" s="9" customFormat="1" x14ac:dyDescent="0.25">
      <c r="A10" s="79" t="s">
        <v>4</v>
      </c>
      <c r="B10" s="65">
        <v>131258.35756999999</v>
      </c>
      <c r="C10" s="65">
        <f>IF(OR(114214.09895="",131258.35757=""),"-",131258.35757/114214.09895*100)</f>
        <v>114.92307760310882</v>
      </c>
      <c r="D10" s="65">
        <f>IF(114214.09895="","-",114214.09895/1365113.41163*100)</f>
        <v>8.3666381105745486</v>
      </c>
      <c r="E10" s="65">
        <f>IF(131258.35757="","-",131258.35757/1551105.23673*100)</f>
        <v>8.4622470778781889</v>
      </c>
      <c r="F10" s="65">
        <f>IF(OR(1365645.29487="",114098.35837="",114214.09895=""),"-",(114214.09895-114098.35837)/1365645.29487*100)</f>
        <v>8.4751567947235935E-3</v>
      </c>
      <c r="G10" s="65">
        <f>IF(OR(1365113.41163="",131258.35757="",114214.09895=""),"-",(131258.35757-114214.09895)/1365113.41163*100)</f>
        <v>1.2485598980123171</v>
      </c>
    </row>
    <row r="11" spans="1:7" s="9" customFormat="1" x14ac:dyDescent="0.25">
      <c r="A11" s="79" t="s">
        <v>3</v>
      </c>
      <c r="B11" s="65">
        <v>101859.15574</v>
      </c>
      <c r="C11" s="65">
        <f>IF(OR(81676.42827="",101859.15574=""),"-",101859.15574/81676.42827*100)</f>
        <v>124.71059018800554</v>
      </c>
      <c r="D11" s="65">
        <f>IF(81676.42827="","-",81676.42827/1365113.41163*100)</f>
        <v>5.9831240081712398</v>
      </c>
      <c r="E11" s="65">
        <f>IF(101859.15574="","-",101859.15574/1551105.23673*100)</f>
        <v>6.5668758848843058</v>
      </c>
      <c r="F11" s="65">
        <f>IF(OR(1365645.29487="",85496.47686="",81676.42827=""),"-",(81676.42827-85496.47686)/1365645.29487*100)</f>
        <v>-0.27972480148028722</v>
      </c>
      <c r="G11" s="65">
        <f>IF(OR(1365113.41163="",101859.15574="",81676.42827=""),"-",(101859.15574-81676.42827)/1365113.41163*100)</f>
        <v>1.4784652540993657</v>
      </c>
    </row>
    <row r="12" spans="1:7" s="9" customFormat="1" x14ac:dyDescent="0.25">
      <c r="A12" s="79" t="s">
        <v>5</v>
      </c>
      <c r="B12" s="65">
        <v>60020.25462</v>
      </c>
      <c r="C12" s="65">
        <f>IF(OR(52685.84633="",60020.25462=""),"-",60020.25462/52685.84633*100)</f>
        <v>113.9210220598159</v>
      </c>
      <c r="D12" s="65">
        <f>IF(52685.84633="","-",52685.84633/1365113.41163*100)</f>
        <v>3.8594482979323304</v>
      </c>
      <c r="E12" s="65">
        <f>IF(60020.25462="","-",60020.25462/1551105.23673*100)</f>
        <v>3.8695153106782842</v>
      </c>
      <c r="F12" s="65">
        <f>IF(OR(1365645.29487="",44086.04133="",52685.84633=""),"-",(52685.84633-44086.04133)/1365645.29487*100)</f>
        <v>0.62972464609257428</v>
      </c>
      <c r="G12" s="65">
        <f>IF(OR(1365113.41163="",60020.25462="",52685.84633=""),"-",(60020.25462-52685.84633)/1365113.41163*100)</f>
        <v>0.53727464894234844</v>
      </c>
    </row>
    <row r="13" spans="1:7" s="9" customFormat="1" x14ac:dyDescent="0.25">
      <c r="A13" s="79" t="s">
        <v>123</v>
      </c>
      <c r="B13" s="65">
        <v>49744.555930000002</v>
      </c>
      <c r="C13" s="65">
        <f>IF(OR(42060.02793="",49744.55593=""),"-",49744.55593/42060.02793*100)</f>
        <v>118.27038254180258</v>
      </c>
      <c r="D13" s="65">
        <f>IF(42060.02793="","-",42060.02793/1365113.41163*100)</f>
        <v>3.0810647358433494</v>
      </c>
      <c r="E13" s="65">
        <f>IF(49744.55593="","-",49744.55593/1551105.23673*100)</f>
        <v>3.2070393904974619</v>
      </c>
      <c r="F13" s="65">
        <f>IF(OR(1365645.29487="",40589.20063="",42060.02793=""),"-",(42060.02793-40589.20063)/1365645.29487*100)</f>
        <v>0.10770200033091387</v>
      </c>
      <c r="G13" s="65">
        <f>IF(OR(1365113.41163="",49744.55593="",42060.02793=""),"-",(49744.55593-42060.02793)/1365113.41163*100)</f>
        <v>0.56292231359915901</v>
      </c>
    </row>
    <row r="14" spans="1:7" s="9" customFormat="1" x14ac:dyDescent="0.25">
      <c r="A14" s="79" t="s">
        <v>42</v>
      </c>
      <c r="B14" s="65">
        <v>33445.253089999998</v>
      </c>
      <c r="C14" s="65">
        <f>IF(OR(32547.7631="",33445.25309=""),"-",33445.25309/32547.7631*100)</f>
        <v>102.75745521202961</v>
      </c>
      <c r="D14" s="65">
        <f>IF(32547.7631="","-",32547.7631/1365113.41163*100)</f>
        <v>2.3842534124059824</v>
      </c>
      <c r="E14" s="65">
        <f>IF(33445.25309="","-",33445.25309/1551105.23673*100)</f>
        <v>2.1562207578196575</v>
      </c>
      <c r="F14" s="65">
        <f>IF(OR(1365645.29487="",29059.10081="",32547.7631=""),"-",(32547.7631-29059.10081)/1365645.29487*100)</f>
        <v>0.25545888841744196</v>
      </c>
      <c r="G14" s="65">
        <f>IF(OR(1365113.41163="",33445.25309="",32547.7631=""),"-",(33445.25309-32547.7631)/1365113.41163*100)</f>
        <v>6.5744719988382452E-2</v>
      </c>
    </row>
    <row r="15" spans="1:7" s="9" customFormat="1" x14ac:dyDescent="0.25">
      <c r="A15" s="79" t="s">
        <v>7</v>
      </c>
      <c r="B15" s="65">
        <v>26740.506430000001</v>
      </c>
      <c r="C15" s="65">
        <f>IF(OR(23102.37229="",26740.50643=""),"-",26740.50643/23102.37229*100)</f>
        <v>115.7478811886985</v>
      </c>
      <c r="D15" s="65">
        <f>IF(23102.37229="","-",23102.37229/1365113.41163*100)</f>
        <v>1.6923408775549895</v>
      </c>
      <c r="E15" s="65">
        <f>IF(26740.50643="","-",26740.50643/1551105.23673*100)</f>
        <v>1.7239646799448405</v>
      </c>
      <c r="F15" s="65">
        <f>IF(OR(1365645.29487="",25005.18943="",23102.37229=""),"-",(23102.37229-25005.18943)/1365645.29487*100)</f>
        <v>-0.13933465352590946</v>
      </c>
      <c r="G15" s="65">
        <f>IF(OR(1365113.41163="",26740.50643="",23102.37229=""),"-",(26740.50643-23102.37229)/1365113.41163*100)</f>
        <v>0.26650783070513712</v>
      </c>
    </row>
    <row r="16" spans="1:7" s="9" customFormat="1" x14ac:dyDescent="0.25">
      <c r="A16" s="79" t="s">
        <v>40</v>
      </c>
      <c r="B16" s="65">
        <v>22833.79709</v>
      </c>
      <c r="C16" s="65">
        <f>IF(OR(21329.14253="",22833.79709=""),"-",22833.79709/21329.14253*100)</f>
        <v>107.05445405451093</v>
      </c>
      <c r="D16" s="65">
        <f>IF(21329.14253="","-",21329.14253/1365113.41163*100)</f>
        <v>1.5624447279096139</v>
      </c>
      <c r="E16" s="65">
        <f>IF(22833.79709="","-",22833.79709/1551105.23673*100)</f>
        <v>1.4720985107456424</v>
      </c>
      <c r="F16" s="65">
        <f>IF(OR(1365645.29487="",20472.72625="",21329.14253=""),"-",(21329.14253-20472.72625)/1365645.29487*100)</f>
        <v>6.2711472973040638E-2</v>
      </c>
      <c r="G16" s="65">
        <f>IF(OR(1365113.41163="",22833.79709="",21329.14253=""),"-",(22833.79709-21329.14253)/1365113.41163*100)</f>
        <v>0.11022194545751195</v>
      </c>
    </row>
    <row r="17" spans="1:7" s="9" customFormat="1" x14ac:dyDescent="0.25">
      <c r="A17" s="79" t="s">
        <v>8</v>
      </c>
      <c r="B17" s="65">
        <v>21577.919559999998</v>
      </c>
      <c r="C17" s="65">
        <f>IF(OR(16991.44188="",21577.91956=""),"-",21577.91956/16991.44188*100)</f>
        <v>126.99286918903907</v>
      </c>
      <c r="D17" s="65">
        <f>IF(16991.44188="","-",16991.44188/1365113.41163*100)</f>
        <v>1.2446908612311953</v>
      </c>
      <c r="E17" s="65">
        <f>IF(21577.91956="","-",21577.91956/1551105.23673*100)</f>
        <v>1.3911318877041516</v>
      </c>
      <c r="F17" s="65">
        <f>IF(OR(1365645.29487="",20908.33912="",16991.44188=""),"-",(16991.44188-20908.33912)/1365645.29487*100)</f>
        <v>-0.28681658807844856</v>
      </c>
      <c r="G17" s="65">
        <f>IF(OR(1365113.41163="",21577.91956="",16991.44188=""),"-",(21577.91956-16991.44188)/1365113.41163*100)</f>
        <v>0.33597777598006029</v>
      </c>
    </row>
    <row r="18" spans="1:7" s="9" customFormat="1" x14ac:dyDescent="0.25">
      <c r="A18" s="79" t="s">
        <v>10</v>
      </c>
      <c r="B18" s="65">
        <v>16138.26303</v>
      </c>
      <c r="C18" s="65">
        <f>IF(OR(14588.42311="",16138.26303=""),"-",16138.26303/14588.42311*100)</f>
        <v>110.62376590200228</v>
      </c>
      <c r="D18" s="65">
        <f>IF(14588.42311="","-",14588.42311/1365113.41163*100)</f>
        <v>1.0686601556848554</v>
      </c>
      <c r="E18" s="65">
        <f>IF(16138.26303="","-",16138.26303/1551105.23673*100)</f>
        <v>1.0404363706502771</v>
      </c>
      <c r="F18" s="65">
        <f>IF(OR(1365645.29487="",13205.77268="",14588.42311=""),"-",(14588.42311-13205.77268)/1365645.29487*100)</f>
        <v>0.10124520878107067</v>
      </c>
      <c r="G18" s="65">
        <f>IF(OR(1365113.41163="",16138.26303="",14588.42311=""),"-",(16138.26303-14588.42311)/1365113.41163*100)</f>
        <v>0.11353195322793214</v>
      </c>
    </row>
    <row r="19" spans="1:7" s="9" customFormat="1" x14ac:dyDescent="0.25">
      <c r="A19" s="79" t="s">
        <v>6</v>
      </c>
      <c r="B19" s="65">
        <v>15430.29652</v>
      </c>
      <c r="C19" s="65">
        <f>IF(OR(14741.23123="",15430.29652=""),"-",15430.29652/14741.23123*100)</f>
        <v>104.6744079870186</v>
      </c>
      <c r="D19" s="65">
        <f>IF(14741.23123="","-",14741.23123/1365113.41163*100)</f>
        <v>1.0798539597086207</v>
      </c>
      <c r="E19" s="65">
        <f>IF(15430.29652="","-",15430.29652/1551105.23673*100)</f>
        <v>0.99479365774882889</v>
      </c>
      <c r="F19" s="65">
        <f>IF(OR(1365645.29487="",10332.20435="",14741.23123=""),"-",(14741.23123-10332.20435)/1365645.29487*100)</f>
        <v>0.32285300557636443</v>
      </c>
      <c r="G19" s="65">
        <f>IF(OR(1365113.41163="",15430.29652="",14741.23123=""),"-",(15430.29652-14741.23123)/1365113.41163*100)</f>
        <v>5.0476779740756407E-2</v>
      </c>
    </row>
    <row r="20" spans="1:7" s="9" customFormat="1" ht="15.75" customHeight="1" x14ac:dyDescent="0.25">
      <c r="A20" s="79" t="s">
        <v>41</v>
      </c>
      <c r="B20" s="65">
        <v>10953.73063</v>
      </c>
      <c r="C20" s="65">
        <f>IF(OR(8848.44548="",10953.73063=""),"-",10953.73063/8848.44548*100)</f>
        <v>123.79271200527305</v>
      </c>
      <c r="D20" s="65">
        <f>IF(8848.44548="","-",8848.44548/1365113.41163*100)</f>
        <v>0.6481839094551568</v>
      </c>
      <c r="E20" s="65">
        <f>IF(10953.73063="","-",10953.73063/1551105.23673*100)</f>
        <v>0.70618874661866082</v>
      </c>
      <c r="F20" s="65">
        <f>IF(OR(1365645.29487="",8908.97776="",8848.44548=""),"-",(8848.44548-8908.97776)/1365645.29487*100)</f>
        <v>-4.4325038300492003E-3</v>
      </c>
      <c r="G20" s="65">
        <f>IF(OR(1365113.41163="",10953.73063="",8848.44548=""),"-",(10953.73063-8848.44548)/1365113.41163*100)</f>
        <v>0.1542205308411852</v>
      </c>
    </row>
    <row r="21" spans="1:7" s="9" customFormat="1" x14ac:dyDescent="0.25">
      <c r="A21" s="79" t="s">
        <v>44</v>
      </c>
      <c r="B21" s="65">
        <v>7433.4787399999996</v>
      </c>
      <c r="C21" s="65">
        <f>IF(OR(6414.84165="",7433.47874=""),"-",7433.47874/6414.84165*100)</f>
        <v>115.87938012468319</v>
      </c>
      <c r="D21" s="65">
        <f>IF(6414.84165="","-",6414.84165/1365113.41163*100)</f>
        <v>0.46991272632362635</v>
      </c>
      <c r="E21" s="65">
        <f>IF(7433.47874="","-",7433.47874/1551105.23673*100)</f>
        <v>0.47923755035932103</v>
      </c>
      <c r="F21" s="65">
        <f>IF(OR(1365645.29487="",8423.6194="",6414.84165=""),"-",(6414.84165-8423.6194)/1365645.29487*100)</f>
        <v>-0.14709366755378606</v>
      </c>
      <c r="G21" s="65">
        <f>IF(OR(1365113.41163="",7433.47874="",6414.84165=""),"-",(7433.47874-6414.84165)/1365113.41163*100)</f>
        <v>7.4619228067190832E-2</v>
      </c>
    </row>
    <row r="22" spans="1:7" s="9" customFormat="1" x14ac:dyDescent="0.25">
      <c r="A22" s="79" t="s">
        <v>52</v>
      </c>
      <c r="B22" s="65">
        <v>7235.5043500000002</v>
      </c>
      <c r="C22" s="65">
        <f>IF(OR(7026.7421="",7235.50435=""),"-",7235.50435/7026.7421*100)</f>
        <v>102.97096786859446</v>
      </c>
      <c r="D22" s="65">
        <f>IF(7026.7421="","-",7026.7421/1365113.41163*100)</f>
        <v>0.51473687388433098</v>
      </c>
      <c r="E22" s="65">
        <f>IF(7235.50435="","-",7235.50435/1551105.23673*100)</f>
        <v>0.46647411011606815</v>
      </c>
      <c r="F22" s="65">
        <f>IF(OR(1365645.29487="",5589.87246="",7026.7421=""),"-",(7026.7421-5589.87246)/1365645.29487*100)</f>
        <v>0.10521543517907268</v>
      </c>
      <c r="G22" s="65">
        <f>IF(OR(1365113.41163="",7235.50435="",7026.7421=""),"-",(7235.50435-7026.7421)/1365113.41163*100)</f>
        <v>1.5292667130911071E-2</v>
      </c>
    </row>
    <row r="23" spans="1:7" s="9" customFormat="1" x14ac:dyDescent="0.25">
      <c r="A23" s="79" t="s">
        <v>51</v>
      </c>
      <c r="B23" s="65">
        <v>6783.4219999999996</v>
      </c>
      <c r="C23" s="65">
        <f>IF(OR(4975.23317="",6783.422=""),"-",6783.422/4975.23317*100)</f>
        <v>136.34380074693061</v>
      </c>
      <c r="D23" s="65">
        <f>IF(4975.23317="","-",4975.23317/1365113.41163*100)</f>
        <v>0.36445566555963826</v>
      </c>
      <c r="E23" s="65">
        <f>IF(6783.422="","-",6783.422/1551105.23673*100)</f>
        <v>0.43732828949121688</v>
      </c>
      <c r="F23" s="65">
        <f>IF(OR(1365645.29487="",4081.16557="",4975.23317=""),"-",(4975.23317-4081.16557)/1365645.29487*100)</f>
        <v>6.5468508064175576E-2</v>
      </c>
      <c r="G23" s="65">
        <f>IF(OR(1365113.41163="",6783.422="",4975.23317=""),"-",(6783.422-4975.23317)/1365113.41163*100)</f>
        <v>0.1324570409018947</v>
      </c>
    </row>
    <row r="24" spans="1:7" s="9" customFormat="1" x14ac:dyDescent="0.25">
      <c r="A24" s="79" t="s">
        <v>50</v>
      </c>
      <c r="B24" s="65">
        <v>6126.1614900000004</v>
      </c>
      <c r="C24" s="65">
        <f>IF(OR(5190.20359="",6126.16149=""),"-",6126.16149/5190.20359*100)</f>
        <v>118.0331635121851</v>
      </c>
      <c r="D24" s="65">
        <f>IF(5190.20359="","-",5190.20359/1365113.41163*100)</f>
        <v>0.38020310589452705</v>
      </c>
      <c r="E24" s="65">
        <f>IF(6126.16149="","-",6126.16149/1551105.23673*100)</f>
        <v>0.39495460043156166</v>
      </c>
      <c r="F24" s="65">
        <f>IF(OR(1365645.29487="",6616.05249="",5190.20359=""),"-",(5190.20359-6616.05249)/1365645.29487*100)</f>
        <v>-0.10440843646268563</v>
      </c>
      <c r="G24" s="65">
        <f>IF(OR(1365113.41163="",6126.16149="",5190.20359=""),"-",(6126.16149-5190.20359)/1365113.41163*100)</f>
        <v>6.8562647764366269E-2</v>
      </c>
    </row>
    <row r="25" spans="1:7" s="9" customFormat="1" x14ac:dyDescent="0.25">
      <c r="A25" s="79" t="s">
        <v>9</v>
      </c>
      <c r="B25" s="65">
        <v>6121.7567600000002</v>
      </c>
      <c r="C25" s="65">
        <f>IF(OR(6268.80369="",6121.75676=""),"-",6121.75676/6268.80369*100)</f>
        <v>97.654306351392549</v>
      </c>
      <c r="D25" s="65">
        <f>IF(6268.80369="","-",6268.80369/1365113.41163*100)</f>
        <v>0.45921486351194785</v>
      </c>
      <c r="E25" s="65">
        <f>IF(6121.75676="","-",6121.75676/1551105.23673*100)</f>
        <v>0.3946706267916244</v>
      </c>
      <c r="F25" s="65">
        <f>IF(OR(1365645.29487="",4545.89305="",6268.80369=""),"-",(6268.80369-4545.89305)/1365645.29487*100)</f>
        <v>0.12616091795373624</v>
      </c>
      <c r="G25" s="65">
        <f>IF(OR(1365113.41163="",6121.75676="",6268.80369=""),"-",(6121.75676-6268.80369)/1365113.41163*100)</f>
        <v>-1.0771773886861137E-2</v>
      </c>
    </row>
    <row r="26" spans="1:7" s="9" customFormat="1" x14ac:dyDescent="0.25">
      <c r="A26" s="79" t="s">
        <v>45</v>
      </c>
      <c r="B26" s="65">
        <v>3591.0714600000001</v>
      </c>
      <c r="C26" s="65">
        <f>IF(OR(2971.30283="",3591.07146=""),"-",3591.07146/2971.30283*100)</f>
        <v>120.85848078972145</v>
      </c>
      <c r="D26" s="65">
        <f>IF(2971.30283="","-",2971.30283/1365113.41163*100)</f>
        <v>0.21765977864448244</v>
      </c>
      <c r="E26" s="65">
        <f>IF(3591.07146="","-",3591.07146/1551105.23673*100)</f>
        <v>0.23151694514104049</v>
      </c>
      <c r="F26" s="65">
        <f>IF(OR(1365645.29487="",2601.27742="",2971.30283=""),"-",(2971.30283-2601.27742)/1365645.29487*100)</f>
        <v>2.7095279527560197E-2</v>
      </c>
      <c r="G26" s="65">
        <f>IF(OR(1365113.41163="",3591.07146="",2971.30283=""),"-",(3591.07146-2971.30283)/1365113.41163*100)</f>
        <v>4.5400523115509614E-2</v>
      </c>
    </row>
    <row r="27" spans="1:7" s="9" customFormat="1" x14ac:dyDescent="0.25">
      <c r="A27" s="79" t="s">
        <v>48</v>
      </c>
      <c r="B27" s="65">
        <v>3552.1103699999999</v>
      </c>
      <c r="C27" s="65">
        <f>IF(OR(2955.99531="",3552.11037=""),"-",3552.11037/2955.99531*100)</f>
        <v>120.1663060148766</v>
      </c>
      <c r="D27" s="65">
        <f>IF(2955.99531="","-",2955.99531/1365113.41163*100)</f>
        <v>0.2165384417746232</v>
      </c>
      <c r="E27" s="65">
        <f>IF(3552.11037="","-",3552.11037/1551105.23673*100)</f>
        <v>0.22900511750501645</v>
      </c>
      <c r="F27" s="65">
        <f>IF(OR(1365645.29487="",3186.19428="",2955.99531=""),"-",(2955.99531-3186.19428)/1365645.29487*100)</f>
        <v>-1.685642464150354E-2</v>
      </c>
      <c r="G27" s="65">
        <f>IF(OR(1365113.41163="",3552.11037="",2955.99531=""),"-",(3552.11037-2955.99531)/1365113.41163*100)</f>
        <v>4.3667804808115898E-2</v>
      </c>
    </row>
    <row r="28" spans="1:7" s="9" customFormat="1" x14ac:dyDescent="0.25">
      <c r="A28" s="79" t="s">
        <v>49</v>
      </c>
      <c r="B28" s="65">
        <v>2719.9241699999998</v>
      </c>
      <c r="C28" s="65">
        <f>IF(OR(2760.88922="",2719.92417=""),"-",2719.92417/2760.88922*100)</f>
        <v>98.516237098422948</v>
      </c>
      <c r="D28" s="65">
        <f>IF(2760.88922="","-",2760.88922/1365113.41163*100)</f>
        <v>0.20224614280973094</v>
      </c>
      <c r="E28" s="65">
        <f>IF(2719.92417="","-",2719.92417/1551105.23673*100)</f>
        <v>0.17535394153745967</v>
      </c>
      <c r="F28" s="65">
        <f>IF(OR(1365645.29487="",3155.85991="",2760.88922=""),"-",(2760.88922-3155.85991)/1365645.29487*100)</f>
        <v>-2.8921909040634051E-2</v>
      </c>
      <c r="G28" s="65">
        <f>IF(OR(1365113.41163="",2719.92417="",2760.88922=""),"-",(2719.92417-2760.88922)/1365113.41163*100)</f>
        <v>-3.0008532368813474E-3</v>
      </c>
    </row>
    <row r="29" spans="1:7" s="9" customFormat="1" x14ac:dyDescent="0.25">
      <c r="A29" s="79" t="s">
        <v>43</v>
      </c>
      <c r="B29" s="65">
        <v>2268.45516</v>
      </c>
      <c r="C29" s="65">
        <f>IF(OR(3652.19867="",2268.45516=""),"-",2268.45516/3652.19867*100)</f>
        <v>62.112041675980343</v>
      </c>
      <c r="D29" s="65">
        <f>IF(3652.19867="","-",3652.19867/1365113.41163*100)</f>
        <v>0.26753811360179436</v>
      </c>
      <c r="E29" s="65">
        <f>IF(2268.45516="","-",2268.45516/1551105.23673*100)</f>
        <v>0.14624766303944009</v>
      </c>
      <c r="F29" s="65">
        <f>IF(OR(1365645.29487="",4325.78488="",3652.19867=""),"-",(3652.19867-4325.78488)/1365645.29487*100)</f>
        <v>-4.9323657653294266E-2</v>
      </c>
      <c r="G29" s="65">
        <f>IF(OR(1365113.41163="",2268.45516="",3652.19867=""),"-",(2268.45516-3652.19867)/1365113.41163*100)</f>
        <v>-0.10136472898231622</v>
      </c>
    </row>
    <row r="30" spans="1:7" s="9" customFormat="1" x14ac:dyDescent="0.25">
      <c r="A30" s="79" t="s">
        <v>53</v>
      </c>
      <c r="B30" s="65">
        <v>1887.8890200000001</v>
      </c>
      <c r="C30" s="65">
        <f>IF(OR(2401.31801="",1887.88902=""),"-",1887.88902/2401.31801*100)</f>
        <v>78.618867311123026</v>
      </c>
      <c r="D30" s="65">
        <f>IF(2401.31801="","-",2401.31801/1365113.41163*100)</f>
        <v>0.17590611809554565</v>
      </c>
      <c r="E30" s="65">
        <f>IF(1887.88902="","-",1887.88902/1551105.23673*100)</f>
        <v>0.12171250378729936</v>
      </c>
      <c r="F30" s="65">
        <f>IF(OR(1365645.29487="",1371.13818="",2401.31801=""),"-",(2401.31801-1371.13818)/1365645.29487*100)</f>
        <v>7.5435388227809624E-2</v>
      </c>
      <c r="G30" s="65">
        <f>IF(OR(1365113.41163="",1887.88902="",2401.31801=""),"-",(1887.88902-2401.31801)/1365113.41163*100)</f>
        <v>-3.7610720517861233E-2</v>
      </c>
    </row>
    <row r="31" spans="1:7" s="9" customFormat="1" x14ac:dyDescent="0.25">
      <c r="A31" s="79" t="s">
        <v>124</v>
      </c>
      <c r="B31" s="65">
        <v>1757.5083500000001</v>
      </c>
      <c r="C31" s="65">
        <f>IF(OR(1321.32681="",1757.50835=""),"-",1757.50835/1321.32681*100)</f>
        <v>133.01087487962195</v>
      </c>
      <c r="D31" s="65">
        <f>IF(1321.32681="","-",1321.32681/1365113.41163*100)</f>
        <v>9.6792456856920256E-2</v>
      </c>
      <c r="E31" s="65">
        <f>IF(1757.50835="","-",1757.50835/1551105.23673*100)</f>
        <v>0.11330684136591106</v>
      </c>
      <c r="F31" s="65">
        <f>IF(OR(1365645.29487="",906.29569="",1321.32681=""),"-",(1321.32681-906.29569)/1365645.29487*100)</f>
        <v>3.039084318300295E-2</v>
      </c>
      <c r="G31" s="65">
        <f>IF(OR(1365113.41163="",1757.50835="",1321.32681=""),"-",(1757.50835-1321.32681)/1365113.41163*100)</f>
        <v>3.1952036825950006E-2</v>
      </c>
    </row>
    <row r="32" spans="1:7" s="9" customFormat="1" x14ac:dyDescent="0.25">
      <c r="A32" s="79" t="s">
        <v>46</v>
      </c>
      <c r="B32" s="65">
        <v>1384.20191</v>
      </c>
      <c r="C32" s="65" t="s">
        <v>104</v>
      </c>
      <c r="D32" s="65">
        <f>IF(878.69361="","-",878.69361/1365113.41163*100)</f>
        <v>6.4367810213717319E-2</v>
      </c>
      <c r="E32" s="65">
        <f>IF(1384.20191="","-",1384.20191/1551105.23673*100)</f>
        <v>8.9239716121269685E-2</v>
      </c>
      <c r="F32" s="65">
        <f>IF(OR(1365645.29487="",1054.89369="",878.69361=""),"-",(878.69361-1054.89369)/1365645.29487*100)</f>
        <v>-1.2902331276056065E-2</v>
      </c>
      <c r="G32" s="65">
        <f>IF(OR(1365113.41163="",1384.20191="",878.69361=""),"-",(1384.20191-878.69361)/1365113.41163*100)</f>
        <v>3.7030498396203058E-2</v>
      </c>
    </row>
    <row r="33" spans="1:7" s="9" customFormat="1" x14ac:dyDescent="0.25">
      <c r="A33" s="79" t="s">
        <v>54</v>
      </c>
      <c r="B33" s="65">
        <v>950.60159999999996</v>
      </c>
      <c r="C33" s="65" t="s">
        <v>247</v>
      </c>
      <c r="D33" s="65">
        <f>IF(256.1703="","-",256.1703/1365113.41163*100)</f>
        <v>1.8765495805518635E-2</v>
      </c>
      <c r="E33" s="65">
        <f>IF(950.6016="","-",950.6016/1551105.23673*100)</f>
        <v>6.1285435539114919E-2</v>
      </c>
      <c r="F33" s="65">
        <f>IF(OR(1365645.29487="",321.31445="",256.1703=""),"-",(256.1703-321.31445)/1365645.29487*100)</f>
        <v>-4.7702101156655982E-3</v>
      </c>
      <c r="G33" s="65">
        <f>IF(OR(1365113.41163="",950.6016="",256.1703=""),"-",(950.6016-256.1703)/1365113.41163*100)</f>
        <v>5.0869861367109512E-2</v>
      </c>
    </row>
    <row r="34" spans="1:7" s="9" customFormat="1" x14ac:dyDescent="0.25">
      <c r="A34" s="79" t="s">
        <v>47</v>
      </c>
      <c r="B34" s="65">
        <v>169.11711</v>
      </c>
      <c r="C34" s="65">
        <f>IF(OR(163.3947="",169.11711=""),"-",169.11711/163.3947*100)</f>
        <v>103.50220049977142</v>
      </c>
      <c r="D34" s="65">
        <f>IF(163.3947="","-",163.3947/1365113.41163*100)</f>
        <v>1.196931321661401E-2</v>
      </c>
      <c r="E34" s="65">
        <f>IF(169.11711="","-",169.11711/1551105.23673*100)</f>
        <v>1.0903006836372258E-2</v>
      </c>
      <c r="F34" s="65">
        <f>IF(OR(1365645.29487="",176.33729="",163.3947=""),"-",(163.3947-176.33729)/1365645.29487*100)</f>
        <v>-9.477270597730166E-4</v>
      </c>
      <c r="G34" s="65">
        <f>IF(OR(1365113.41163="",169.11711="",163.3947=""),"-",(169.11711-163.3947)/1365113.41163*100)</f>
        <v>4.1918934729146131E-4</v>
      </c>
    </row>
    <row r="35" spans="1:7" s="9" customFormat="1" x14ac:dyDescent="0.25">
      <c r="A35" s="79" t="s">
        <v>55</v>
      </c>
      <c r="B35" s="65">
        <v>33.55809</v>
      </c>
      <c r="C35" s="65" t="s">
        <v>284</v>
      </c>
      <c r="D35" s="65">
        <f>IF(1.07388="","-",1.07388/1365113.41163*100)</f>
        <v>7.866599147375926E-5</v>
      </c>
      <c r="E35" s="65">
        <f>IF(33.55809="","-",33.55809/1551105.23673*100)</f>
        <v>2.1634953712583874E-3</v>
      </c>
      <c r="F35" s="65">
        <f>IF(OR(1365645.29487="",45.9573="",1.07388=""),"-",(1.07388-45.9573)/1365645.29487*100)</f>
        <v>-3.2866089143793803E-3</v>
      </c>
      <c r="G35" s="65">
        <f>IF(OR(1365113.41163="",33.55809="",1.07388=""),"-",(33.55809-1.07388)/1365113.41163*100)</f>
        <v>2.3795978944498499E-3</v>
      </c>
    </row>
    <row r="36" spans="1:7" s="9" customFormat="1" ht="25.5" x14ac:dyDescent="0.25">
      <c r="A36" s="79" t="s">
        <v>265</v>
      </c>
      <c r="B36" s="65">
        <v>6.6932799999999997</v>
      </c>
      <c r="C36" s="65" t="str">
        <f>IF(OR(""="",6.69328=""),"-",6.69328/""*100)</f>
        <v>-</v>
      </c>
      <c r="D36" s="65" t="str">
        <f>IF(""="","-",""/1365113.41163*100)</f>
        <v>-</v>
      </c>
      <c r="E36" s="65">
        <f>IF(6.69328="","-",6.69328/1551105.23673*100)</f>
        <v>4.315168204905684E-4</v>
      </c>
      <c r="F36" s="65" t="str">
        <f>IF(OR(1365645.29487="",""="",""=""),"-",(""-"")/1365645.29487*100)</f>
        <v>-</v>
      </c>
      <c r="G36" s="65" t="str">
        <f>IF(OR(1365113.41163="",6.69328="",""=""),"-",(6.69328-"")/1365113.41163*100)</f>
        <v>-</v>
      </c>
    </row>
    <row r="37" spans="1:7" s="9" customFormat="1" x14ac:dyDescent="0.25">
      <c r="A37" s="78" t="s">
        <v>224</v>
      </c>
      <c r="B37" s="64">
        <v>360672.47761</v>
      </c>
      <c r="C37" s="64">
        <f>IF(341258.26906="","-",360672.47761/341258.26906*100)</f>
        <v>105.68900750844124</v>
      </c>
      <c r="D37" s="64">
        <f>IF(341258.26906="","-",341258.26906/1365113.41163*100)</f>
        <v>24.998528778097931</v>
      </c>
      <c r="E37" s="64">
        <f>IF(360672.47761="","-",360672.47761/1551105.23673*100)</f>
        <v>23.252611690639405</v>
      </c>
      <c r="F37" s="64">
        <f>IF(1365645.29487="","-",(341258.26906-367528.56203)/1365645.29487*100)</f>
        <v>-1.9236541925405821</v>
      </c>
      <c r="G37" s="64">
        <f>IF(1365113.41163="","-",(360672.47761-341258.26906)/1365113.41163*100)</f>
        <v>1.4221681791858334</v>
      </c>
    </row>
    <row r="38" spans="1:7" s="9" customFormat="1" x14ac:dyDescent="0.25">
      <c r="A38" s="79" t="s">
        <v>125</v>
      </c>
      <c r="B38" s="65">
        <v>195616.81839999999</v>
      </c>
      <c r="C38" s="65">
        <f>IF(OR(187655.33397="",195616.8184=""),"-",195616.8184/187655.33397*100)</f>
        <v>104.24261024803738</v>
      </c>
      <c r="D38" s="65">
        <f>IF(187655.33397="","-",187655.33397/1365113.41163*100)</f>
        <v>13.746501380125775</v>
      </c>
      <c r="E38" s="65">
        <f>IF(195616.8184="","-",195616.8184/1551105.23673*100)</f>
        <v>12.611447229228256</v>
      </c>
      <c r="F38" s="65">
        <f>IF(OR(1365645.29487="",213569.78176="",187655.33397=""),"-",(187655.33397-213569.78176)/1365645.29487*100)</f>
        <v>-1.8975972668266603</v>
      </c>
      <c r="G38" s="65">
        <f>IF(OR(1365113.41163="",195616.8184="",187655.33397=""),"-",(195616.8184-187655.33397)/1365113.41163*100)</f>
        <v>0.58321047629981537</v>
      </c>
    </row>
    <row r="39" spans="1:7" s="9" customFormat="1" x14ac:dyDescent="0.25">
      <c r="A39" s="79" t="s">
        <v>12</v>
      </c>
      <c r="B39" s="65">
        <v>129213.6393</v>
      </c>
      <c r="C39" s="65">
        <f>IF(OR(119200.85812="",129213.6393=""),"-",129213.6393/119200.85812*100)</f>
        <v>108.39992374041476</v>
      </c>
      <c r="D39" s="65">
        <f>IF(119200.85812="","-",119200.85812/1365113.41163*100)</f>
        <v>8.7319381015874296</v>
      </c>
      <c r="E39" s="65">
        <f>IF(129213.6393="","-",129213.6393/1551105.23673*100)</f>
        <v>8.3304237675326824</v>
      </c>
      <c r="F39" s="65">
        <f>IF(OR(1365645.29487="",120227.41523="",119200.85812=""),"-",(119200.85812-120227.41523)/1365645.29487*100)</f>
        <v>-7.5170112902392811E-2</v>
      </c>
      <c r="G39" s="65">
        <f>IF(OR(1365113.41163="",129213.6393="",119200.85812=""),"-",(129213.6393-119200.85812)/1365113.41163*100)</f>
        <v>0.733476141593564</v>
      </c>
    </row>
    <row r="40" spans="1:7" s="9" customFormat="1" x14ac:dyDescent="0.25">
      <c r="A40" s="79" t="s">
        <v>11</v>
      </c>
      <c r="B40" s="65">
        <v>29061.11823</v>
      </c>
      <c r="C40" s="65">
        <f>IF(OR(24936.52785="",29061.11823=""),"-",29061.11823/24936.52785*100)</f>
        <v>116.54035559726093</v>
      </c>
      <c r="D40" s="65">
        <f>IF(24936.52785="","-",24936.52785/1365113.41163*100)</f>
        <v>1.8267000849566621</v>
      </c>
      <c r="E40" s="65">
        <f>IF(29061.11823="","-",29061.11823/1551105.23673*100)</f>
        <v>1.8735748898163671</v>
      </c>
      <c r="F40" s="65">
        <f>IF(OR(1365645.29487="",27466.71768="",24936.52785=""),"-",(24936.52785-27466.71768)/1365645.29487*100)</f>
        <v>-0.18527430508526443</v>
      </c>
      <c r="G40" s="65">
        <f>IF(OR(1365113.41163="",29061.11823="",24936.52785=""),"-",(29061.11823-24936.52785)/1365113.41163*100)</f>
        <v>0.30214268974729913</v>
      </c>
    </row>
    <row r="41" spans="1:7" s="9" customFormat="1" x14ac:dyDescent="0.25">
      <c r="A41" s="79" t="s">
        <v>13</v>
      </c>
      <c r="B41" s="65">
        <v>3295.0955899999999</v>
      </c>
      <c r="C41" s="65">
        <f>IF(OR(3066.0693="",3295.09559=""),"-",3295.09559/3066.0693*100)</f>
        <v>107.46970363650945</v>
      </c>
      <c r="D41" s="65">
        <f>IF(3066.0693="","-",3066.0693/1365113.41163*100)</f>
        <v>0.22460180039832667</v>
      </c>
      <c r="E41" s="65">
        <f>IF(3295.09559="","-",3295.09559/1551105.23673*100)</f>
        <v>0.21243533397815323</v>
      </c>
      <c r="F41" s="65">
        <f>IF(OR(1365645.29487="",1551.45774="",3066.0693=""),"-",(3066.0693-1551.45774)/1365645.29487*100)</f>
        <v>0.11090812275263472</v>
      </c>
      <c r="G41" s="65">
        <f>IF(OR(1365113.41163="",3295.09559="",3066.0693=""),"-",(3295.09559-3066.0693)/1365113.41163*100)</f>
        <v>1.6777088852019499E-2</v>
      </c>
    </row>
    <row r="42" spans="1:7" s="9" customFormat="1" x14ac:dyDescent="0.25">
      <c r="A42" s="79" t="s">
        <v>15</v>
      </c>
      <c r="B42" s="65">
        <v>2819.24028</v>
      </c>
      <c r="C42" s="65">
        <f>IF(OR(2175.41091="",2819.24028=""),"-",2819.24028/2175.41091*100)</f>
        <v>129.59575899157369</v>
      </c>
      <c r="D42" s="65">
        <f>IF(2175.41091="","-",2175.41091/1365113.41163*100)</f>
        <v>0.15935752234698747</v>
      </c>
      <c r="E42" s="65">
        <f>IF(2819.24028="","-",2819.24028/1551105.23673*100)</f>
        <v>0.18175686686117118</v>
      </c>
      <c r="F42" s="65">
        <f>IF(OR(1365645.29487="",2301.63631="",2175.41091=""),"-",(2175.41091-2301.63631)/1365645.29487*100)</f>
        <v>-9.2429125245157874E-3</v>
      </c>
      <c r="G42" s="65">
        <f>IF(OR(1365113.41163="",2819.24028="",2175.41091=""),"-",(2819.24028-2175.41091)/1365113.41163*100)</f>
        <v>4.7163068248757586E-2</v>
      </c>
    </row>
    <row r="43" spans="1:7" s="9" customFormat="1" x14ac:dyDescent="0.25">
      <c r="A43" s="79" t="s">
        <v>17</v>
      </c>
      <c r="B43" s="65">
        <v>324.08152000000001</v>
      </c>
      <c r="C43" s="65" t="s">
        <v>20</v>
      </c>
      <c r="D43" s="65">
        <f>IF(159.93541="","-",159.93541/1365113.41163*100)</f>
        <v>1.1715906432201169E-2</v>
      </c>
      <c r="E43" s="65">
        <f>IF(324.08152="","-",324.08152/1551105.23673*100)</f>
        <v>2.0893586864758468E-2</v>
      </c>
      <c r="F43" s="65">
        <f>IF(OR(1365645.29487="",367.59188="",159.93541=""),"-",(159.93541-367.59188)/1365645.29487*100)</f>
        <v>-1.5205739790563074E-2</v>
      </c>
      <c r="G43" s="65">
        <f>IF(OR(1365113.41163="",324.08152="",159.93541=""),"-",(324.08152-159.93541)/1365113.41163*100)</f>
        <v>1.2024356994925645E-2</v>
      </c>
    </row>
    <row r="44" spans="1:7" s="9" customFormat="1" x14ac:dyDescent="0.25">
      <c r="A44" s="79" t="s">
        <v>14</v>
      </c>
      <c r="B44" s="65">
        <v>211.50059999999999</v>
      </c>
      <c r="C44" s="65">
        <f>IF(OR(2780.83354="",211.5006=""),"-",211.5006/2780.83354*100)</f>
        <v>7.6056548138440521</v>
      </c>
      <c r="D44" s="65">
        <f>IF(2780.83354="","-",2780.83354/1365113.41163*100)</f>
        <v>0.2037071437661413</v>
      </c>
      <c r="E44" s="65">
        <f>IF(211.5006="","-",211.5006/1551105.23673*100)</f>
        <v>1.3635477141826953E-2</v>
      </c>
      <c r="F44" s="65">
        <f>IF(OR(1365645.29487="",74.06376="",2780.83354=""),"-",(2780.83354-74.06376)/1365645.29487*100)</f>
        <v>0.19820445251544369</v>
      </c>
      <c r="G44" s="65">
        <f>IF(OR(1365113.41163="",211.5006="",2780.83354=""),"-",(211.5006-2780.83354)/1365113.41163*100)</f>
        <v>-0.18821388158014754</v>
      </c>
    </row>
    <row r="45" spans="1:7" s="9" customFormat="1" x14ac:dyDescent="0.25">
      <c r="A45" s="79" t="s">
        <v>16</v>
      </c>
      <c r="B45" s="65">
        <v>76.849339999999998</v>
      </c>
      <c r="C45" s="65">
        <f>IF(OR(1260.74422="",76.84934=""),"-",76.84934/1260.74422*100)</f>
        <v>6.0955536246678168</v>
      </c>
      <c r="D45" s="65">
        <f>IF(1260.74422="","-",1260.74422/1365113.41163*100)</f>
        <v>9.2354540601474355E-2</v>
      </c>
      <c r="E45" s="65">
        <f>IF(76.84934="","-",76.84934/1551105.23673*100)</f>
        <v>4.9544891075225684E-3</v>
      </c>
      <c r="F45" s="65">
        <f>IF(OR(1365645.29487="",1920.10881="",1260.74422=""),"-",(1260.74422-1920.10881)/1365645.29487*100)</f>
        <v>-4.8282273038019498E-2</v>
      </c>
      <c r="G45" s="65">
        <f>IF(OR(1365113.41163="",76.84934="",1260.74422=""),"-",(76.84934-1260.74422)/1365113.41163*100)</f>
        <v>-8.6725020054295873E-2</v>
      </c>
    </row>
    <row r="46" spans="1:7" s="9" customFormat="1" x14ac:dyDescent="0.25">
      <c r="A46" s="79" t="s">
        <v>126</v>
      </c>
      <c r="B46" s="65">
        <v>40.375309999999999</v>
      </c>
      <c r="C46" s="65" t="s">
        <v>223</v>
      </c>
      <c r="D46" s="65">
        <f>IF(22.37023="","-",22.37023/1365113.41163*100)</f>
        <v>1.638708535819676E-3</v>
      </c>
      <c r="E46" s="65">
        <f>IF(40.37531="","-",40.37531/1551105.23673*100)</f>
        <v>2.6030026231565169E-3</v>
      </c>
      <c r="F46" s="65">
        <f>IF(OR(1365645.29487="",49.75449="",22.37023=""),"-",(22.37023-49.75449)/1365645.29487*100)</f>
        <v>-2.0052249367290345E-3</v>
      </c>
      <c r="G46" s="65">
        <f>IF(OR(1365113.41163="",40.37531="",22.37023=""),"-",(40.37531-22.37023)/1365113.41163*100)</f>
        <v>1.3189438948153923E-3</v>
      </c>
    </row>
    <row r="47" spans="1:7" s="9" customFormat="1" x14ac:dyDescent="0.25">
      <c r="A47" s="79" t="s">
        <v>18</v>
      </c>
      <c r="B47" s="65">
        <v>13.759040000000001</v>
      </c>
      <c r="C47" s="65" t="s">
        <v>285</v>
      </c>
      <c r="D47" s="65">
        <f>IF(0.18551="","-",0.18551/1365113.41163*100)</f>
        <v>1.3589347113548144E-5</v>
      </c>
      <c r="E47" s="65">
        <f>IF(13.75904="","-",13.75904/1551105.23673*100)</f>
        <v>8.8704748550823363E-4</v>
      </c>
      <c r="F47" s="65">
        <f>IF(OR(1365645.29487="",0.03437="",0.18551=""),"-",(0.18551-0.03437)/1365645.29487*100)</f>
        <v>1.1067295480587254E-5</v>
      </c>
      <c r="G47" s="65">
        <f>IF(OR(1365113.41163="",13.75904="",0.18551=""),"-",(13.75904-0.18551)/1365113.41163*100)</f>
        <v>9.9431518907961368E-4</v>
      </c>
    </row>
    <row r="48" spans="1:7" s="9" customFormat="1" x14ac:dyDescent="0.25">
      <c r="A48" s="78" t="s">
        <v>155</v>
      </c>
      <c r="B48" s="64">
        <v>458963.73930999998</v>
      </c>
      <c r="C48" s="64">
        <f>IF(376507.56338="","-",458963.73931/376507.56338*100)</f>
        <v>121.90027079131447</v>
      </c>
      <c r="D48" s="64">
        <f>IF(376507.56338="","-",376507.56338/1365113.41163*100)</f>
        <v>27.580680123158039</v>
      </c>
      <c r="E48" s="64">
        <f>IF(458963.73931="","-",458963.73931/1551105.23673*100)</f>
        <v>29.589464882316786</v>
      </c>
      <c r="F48" s="64">
        <f>IF(1365645.29487="","-",(376507.56338-359439.76615)/1365645.29487*100)</f>
        <v>1.249797241942298</v>
      </c>
      <c r="G48" s="64">
        <f>IF(1365113.41163="","-",(458963.73931-376507.56338)/1365113.41163*100)</f>
        <v>6.0402436330578571</v>
      </c>
    </row>
    <row r="49" spans="1:7" s="9" customFormat="1" x14ac:dyDescent="0.25">
      <c r="A49" s="79" t="s">
        <v>59</v>
      </c>
      <c r="B49" s="65">
        <v>182841.97339</v>
      </c>
      <c r="C49" s="65">
        <f>IF(OR(136714.05773="",182841.97339=""),"-",182841.97339/136714.05773*100)</f>
        <v>133.74043344620725</v>
      </c>
      <c r="D49" s="65">
        <f>IF(136714.05773="","-",136714.05773/1365113.41163*100)</f>
        <v>10.014849796747507</v>
      </c>
      <c r="E49" s="65">
        <f>IF(182841.97339="","-",182841.97339/1551105.23673*100)</f>
        <v>11.787850950426982</v>
      </c>
      <c r="F49" s="65">
        <f>IF(OR(1365645.29487="",143601.65703="",136714.05773=""),"-",(136714.05773-143601.65703)/1365645.29487*100)</f>
        <v>-0.50434760225609343</v>
      </c>
      <c r="G49" s="65">
        <f>IF(OR(1365113.41163="",182841.97339="",136714.05773=""),"-",(182841.97339-136714.05773)/1365113.41163*100)</f>
        <v>3.3790537304092134</v>
      </c>
    </row>
    <row r="50" spans="1:7" s="9" customFormat="1" x14ac:dyDescent="0.25">
      <c r="A50" s="79" t="s">
        <v>56</v>
      </c>
      <c r="B50" s="65">
        <v>115344.77059</v>
      </c>
      <c r="C50" s="65">
        <f>IF(OR(96309.40905="",115344.77059=""),"-",115344.77059/96309.40905*100)</f>
        <v>119.764799439396</v>
      </c>
      <c r="D50" s="65">
        <f>IF(96309.40905="","-",96309.40905/1365113.41163*100)</f>
        <v>7.0550481908314646</v>
      </c>
      <c r="E50" s="65">
        <f>IF(115344.77059="","-",115344.77059/1551105.23673*100)</f>
        <v>7.4362956077156221</v>
      </c>
      <c r="F50" s="65">
        <f>IF(OR(1365645.29487="",85968.04434="",96309.40905=""),"-",(96309.40905-85968.04434)/1365645.29487*100)</f>
        <v>0.75725115070853255</v>
      </c>
      <c r="G50" s="65">
        <f>IF(OR(1365113.41163="",115344.77059="",96309.40905=""),"-",(115344.77059-96309.40905)/1365113.41163*100)</f>
        <v>1.3944161252705749</v>
      </c>
    </row>
    <row r="51" spans="1:7" s="9" customFormat="1" x14ac:dyDescent="0.25">
      <c r="A51" s="79" t="s">
        <v>19</v>
      </c>
      <c r="B51" s="65">
        <v>21578.01125</v>
      </c>
      <c r="C51" s="65">
        <f>IF(OR(17854.79525="",21578.01125=""),"-",21578.01125/17854.79525*100)</f>
        <v>120.85275102776663</v>
      </c>
      <c r="D51" s="65">
        <f>IF(17854.79525="","-",17854.79525/1365113.41163*100)</f>
        <v>1.3079349377046015</v>
      </c>
      <c r="E51" s="65">
        <f>IF(21578.01125="","-",21578.01125/1551105.23673*100)</f>
        <v>1.3911377989729572</v>
      </c>
      <c r="F51" s="65">
        <f>IF(OR(1365645.29487="",18790.10373="",17854.79525=""),"-",(17854.79525-18790.10373)/1365645.29487*100)</f>
        <v>-6.8488390324592641E-2</v>
      </c>
      <c r="G51" s="65">
        <f>IF(OR(1365113.41163="",21578.01125="",17854.79525=""),"-",(21578.01125-17854.79525)/1365113.41163*100)</f>
        <v>0.272740416164715</v>
      </c>
    </row>
    <row r="52" spans="1:7" s="9" customFormat="1" x14ac:dyDescent="0.25">
      <c r="A52" s="79" t="s">
        <v>76</v>
      </c>
      <c r="B52" s="65">
        <v>14533.93526</v>
      </c>
      <c r="C52" s="65">
        <f>IF(OR(12775.39865="",14533.93526=""),"-",14533.93526/12775.39865*100)</f>
        <v>113.7650233716973</v>
      </c>
      <c r="D52" s="65">
        <f>IF(12775.39865="","-",12775.39865/1365113.41163*100)</f>
        <v>0.93584888560619017</v>
      </c>
      <c r="E52" s="65">
        <f>IF(14533.93526="","-",14533.93526/1551105.23673*100)</f>
        <v>0.93700510551044669</v>
      </c>
      <c r="F52" s="65">
        <f>IF(OR(1365645.29487="",10354.13158="",12775.39865=""),"-",(12775.39865-10354.13158)/1365645.29487*100)</f>
        <v>0.17729838627170663</v>
      </c>
      <c r="G52" s="65">
        <f>IF(OR(1365113.41163="",14533.93526="",12775.39865=""),"-",(14533.93526-12775.39865)/1365113.41163*100)</f>
        <v>0.1288198178274608</v>
      </c>
    </row>
    <row r="53" spans="1:7" s="9" customFormat="1" ht="25.5" x14ac:dyDescent="0.25">
      <c r="A53" s="79" t="s">
        <v>122</v>
      </c>
      <c r="B53" s="65">
        <v>14459.74202</v>
      </c>
      <c r="C53" s="65">
        <f>IF(OR(16178.76222="",14459.74202=""),"-",14459.74202/16178.76222*100)</f>
        <v>89.374834881527789</v>
      </c>
      <c r="D53" s="65">
        <f>IF(16178.76222="","-",16178.76222/1365113.41163*100)</f>
        <v>1.1851588360473224</v>
      </c>
      <c r="E53" s="65">
        <f>IF(14459.74202="","-",14459.74202/1551105.23673*100)</f>
        <v>0.93222185559012449</v>
      </c>
      <c r="F53" s="65">
        <f>IF(OR(1365645.29487="",14509.2595399999="",16178.76222=""),"-",(16178.76222-14509.2595399999)/1365645.29487*100)</f>
        <v>0.12225009570724767</v>
      </c>
      <c r="G53" s="65">
        <f>IF(OR(1365113.41163="",14459.74202="",16178.76222=""),"-",(14459.74202-16178.76222)/1365113.41163*100)</f>
        <v>-0.12592508324619139</v>
      </c>
    </row>
    <row r="54" spans="1:7" s="9" customFormat="1" x14ac:dyDescent="0.25">
      <c r="A54" s="79" t="s">
        <v>72</v>
      </c>
      <c r="B54" s="65">
        <v>12474.99804</v>
      </c>
      <c r="C54" s="65" t="s">
        <v>105</v>
      </c>
      <c r="D54" s="65">
        <f>IF(6700.847="","-",6700.847/1365113.41163*100)</f>
        <v>0.49086375849160552</v>
      </c>
      <c r="E54" s="65">
        <f>IF(12474.99804="","-",12474.99804/1551105.23673*100)</f>
        <v>0.80426509720897266</v>
      </c>
      <c r="F54" s="65">
        <f>IF(OR(1365645.29487="",7171.28004="",6700.847=""),"-",(6700.847-7171.28004)/1365645.29487*100)</f>
        <v>-3.4447674060545996E-2</v>
      </c>
      <c r="G54" s="65">
        <f>IF(OR(1365113.41163="",12474.99804="",6700.847=""),"-",(12474.99804-6700.847)/1365113.41163*100)</f>
        <v>0.42297958475885405</v>
      </c>
    </row>
    <row r="55" spans="1:7" s="9" customFormat="1" x14ac:dyDescent="0.25">
      <c r="A55" s="79" t="s">
        <v>69</v>
      </c>
      <c r="B55" s="65">
        <v>11433.91986</v>
      </c>
      <c r="C55" s="65">
        <f>IF(OR(9958.29505="",11433.91986=""),"-",11433.91986/9958.29505*100)</f>
        <v>114.81804668962884</v>
      </c>
      <c r="D55" s="65">
        <f>IF(9958.29505="","-",9958.29505/1365113.41163*100)</f>
        <v>0.72948481533921772</v>
      </c>
      <c r="E55" s="65">
        <f>IF(11433.91986="","-",11433.91986/1551105.23673*100)</f>
        <v>0.737146622243678</v>
      </c>
      <c r="F55" s="65">
        <f>IF(OR(1365645.29487="",9416.91386="",9958.29505=""),"-",(9958.29505-9416.91386)/1365645.29487*100)</f>
        <v>3.9642884725168387E-2</v>
      </c>
      <c r="G55" s="65">
        <f>IF(OR(1365113.41163="",11433.91986="",9958.29505=""),"-",(11433.91986-9958.29505)/1365113.41163*100)</f>
        <v>0.10809540053071812</v>
      </c>
    </row>
    <row r="56" spans="1:7" s="9" customFormat="1" x14ac:dyDescent="0.25">
      <c r="A56" s="79" t="s">
        <v>36</v>
      </c>
      <c r="B56" s="65">
        <v>9591.8995200000008</v>
      </c>
      <c r="C56" s="65">
        <f>IF(OR(8413.36784="",9591.89952=""),"-",9591.89952/8413.36784*100)</f>
        <v>114.00784682677086</v>
      </c>
      <c r="D56" s="65">
        <f>IF(8413.36784="","-",8413.36784/1365113.41163*100)</f>
        <v>0.61631273770536787</v>
      </c>
      <c r="E56" s="65">
        <f>IF(9591.89952="","-",9591.89952/1551105.23673*100)</f>
        <v>0.6183912795124975</v>
      </c>
      <c r="F56" s="65">
        <f>IF(OR(1365645.29487="",6286.94788="",8413.36784=""),"-",(8413.36784-6286.94788)/1365645.29487*100)</f>
        <v>0.15570807207316753</v>
      </c>
      <c r="G56" s="65">
        <f>IF(OR(1365113.41163="",9591.89952="",8413.36784=""),"-",(9591.89952-8413.36784)/1365113.41163*100)</f>
        <v>8.6332144271645983E-2</v>
      </c>
    </row>
    <row r="57" spans="1:7" s="9" customFormat="1" x14ac:dyDescent="0.25">
      <c r="A57" s="79" t="s">
        <v>127</v>
      </c>
      <c r="B57" s="65">
        <v>8293.7244599999995</v>
      </c>
      <c r="C57" s="65">
        <f>IF(OR(6590.64353="",8293.72446=""),"-",8293.72446/6590.64353*100)</f>
        <v>125.84088977423423</v>
      </c>
      <c r="D57" s="65">
        <f>IF(6590.64353="","-",6590.64353/1365113.41163*100)</f>
        <v>0.4827909149416757</v>
      </c>
      <c r="E57" s="65">
        <f>IF(8293.72446="","-",8293.72446/1551105.23673*100)</f>
        <v>0.5346977280203512</v>
      </c>
      <c r="F57" s="65">
        <f>IF(OR(1365645.29487="",7554.4958="",6590.64353=""),"-",(6590.64353-7554.4958)/1365645.29487*100)</f>
        <v>-7.0578522374783376E-2</v>
      </c>
      <c r="G57" s="65">
        <f>IF(OR(1365113.41163="",8293.72446="",6590.64353=""),"-",(8293.72446-6590.64353)/1365113.41163*100)</f>
        <v>0.12475746817009528</v>
      </c>
    </row>
    <row r="58" spans="1:7" s="9" customFormat="1" x14ac:dyDescent="0.25">
      <c r="A58" s="79" t="s">
        <v>66</v>
      </c>
      <c r="B58" s="65">
        <v>6955.6290300000001</v>
      </c>
      <c r="C58" s="65">
        <f>IF(OR(7960.81148="",6955.62903=""),"-",6955.62903/7960.81148*100)</f>
        <v>87.373366992481522</v>
      </c>
      <c r="D58" s="65">
        <f>IF(7960.81148="","-",7960.81148/1365113.41163*100)</f>
        <v>0.58316118002931883</v>
      </c>
      <c r="E58" s="65">
        <f>IF(6955.62903="","-",6955.62903/1551105.23673*100)</f>
        <v>0.44843050395882089</v>
      </c>
      <c r="F58" s="65">
        <f>IF(OR(1365645.29487="",4735.61089="",7960.81148=""),"-",(7960.81148-4735.61089)/1365645.29487*100)</f>
        <v>0.2361667851905144</v>
      </c>
      <c r="G58" s="65">
        <f>IF(OR(1365113.41163="",6955.62903="",7960.81148=""),"-",(6955.62903-7960.81148)/1365113.41163*100)</f>
        <v>-7.3633622044616223E-2</v>
      </c>
    </row>
    <row r="59" spans="1:7" s="9" customFormat="1" x14ac:dyDescent="0.25">
      <c r="A59" s="79" t="s">
        <v>79</v>
      </c>
      <c r="B59" s="65">
        <v>6219.4498100000001</v>
      </c>
      <c r="C59" s="65">
        <f>IF(OR(5586.28384="",6219.44981=""),"-",6219.44981/5586.28384*100)</f>
        <v>111.33429643274266</v>
      </c>
      <c r="D59" s="65">
        <f>IF(5586.28384="","-",5586.28384/1365113.41163*100)</f>
        <v>0.40921756334733789</v>
      </c>
      <c r="E59" s="65">
        <f>IF(6219.44981="","-",6219.44981/1551105.23673*100)</f>
        <v>0.40096891318036448</v>
      </c>
      <c r="F59" s="65">
        <f>IF(OR(1365645.29487="",4890.98288="",5586.28384=""),"-",(5586.28384-4890.98288)/1365645.29487*100)</f>
        <v>5.0913730132698065E-2</v>
      </c>
      <c r="G59" s="65">
        <f>IF(OR(1365113.41163="",6219.44981="",5586.28384=""),"-",(6219.44981-5586.28384)/1365113.41163*100)</f>
        <v>4.6381931684633775E-2</v>
      </c>
    </row>
    <row r="60" spans="1:7" s="9" customFormat="1" x14ac:dyDescent="0.25">
      <c r="A60" s="79" t="s">
        <v>70</v>
      </c>
      <c r="B60" s="65">
        <v>4490.1011099999996</v>
      </c>
      <c r="C60" s="65">
        <f>IF(OR(3963.90588="",4490.10111=""),"-",4490.10111/3963.90588*100)</f>
        <v>113.27466508866755</v>
      </c>
      <c r="D60" s="65">
        <f>IF(3963.90588="","-",3963.90588/1365113.41163*100)</f>
        <v>0.29037190948603586</v>
      </c>
      <c r="E60" s="65">
        <f>IF(4490.10111="","-",4490.10111/1551105.23673*100)</f>
        <v>0.2894775289048675</v>
      </c>
      <c r="F60" s="65">
        <f>IF(OR(1365645.29487="",3666.78941="",3963.90588=""),"-",(3963.90588-3666.78941)/1365645.29487*100)</f>
        <v>2.175648912027946E-2</v>
      </c>
      <c r="G60" s="65">
        <f>IF(OR(1365113.41163="",4490.10111="",3963.90588=""),"-",(4490.10111-3963.90588)/1365113.41163*100)</f>
        <v>3.8545898495840114E-2</v>
      </c>
    </row>
    <row r="61" spans="1:7" s="9" customFormat="1" x14ac:dyDescent="0.25">
      <c r="A61" s="79" t="s">
        <v>61</v>
      </c>
      <c r="B61" s="65">
        <v>3557.7763199999999</v>
      </c>
      <c r="C61" s="65">
        <f>IF(OR(2554.65931="",3557.77632=""),"-",3557.77632/2554.65931*100)</f>
        <v>139.26617557469922</v>
      </c>
      <c r="D61" s="65">
        <f>IF(2554.65931="","-",2554.65931/1365113.41163*100)</f>
        <v>0.1871389796800571</v>
      </c>
      <c r="E61" s="65">
        <f>IF(3557.77632="","-",3557.77632/1551105.23673*100)</f>
        <v>0.2293704021978813</v>
      </c>
      <c r="F61" s="65">
        <f>IF(OR(1365645.29487="",2458.53846="",2554.65931=""),"-",(2554.65931-2458.53846)/1365645.29487*100)</f>
        <v>7.0384931109911536E-3</v>
      </c>
      <c r="G61" s="65">
        <f>IF(OR(1365113.41163="",3557.77632="",2554.65931=""),"-",(3557.77632-2554.65931)/1365113.41163*100)</f>
        <v>7.3482320329871939E-2</v>
      </c>
    </row>
    <row r="62" spans="1:7" s="9" customFormat="1" x14ac:dyDescent="0.25">
      <c r="A62" s="79" t="s">
        <v>62</v>
      </c>
      <c r="B62" s="65">
        <v>2921.7654400000001</v>
      </c>
      <c r="C62" s="65">
        <f>IF(OR(3191.01873="",2921.76544=""),"-",2921.76544/3191.01873*100)</f>
        <v>91.562152629546006</v>
      </c>
      <c r="D62" s="65">
        <f>IF(3191.01873="","-",3191.01873/1365113.41163*100)</f>
        <v>0.23375484430922089</v>
      </c>
      <c r="E62" s="65">
        <f>IF(2921.76544="","-",2921.76544/1551105.23673*100)</f>
        <v>0.18836668014606092</v>
      </c>
      <c r="F62" s="65">
        <f>IF(OR(1365645.29487="",3320.52225="",3191.01873=""),"-",(3191.01873-3320.52225)/1365645.29487*100)</f>
        <v>-9.4829543576561027E-3</v>
      </c>
      <c r="G62" s="65">
        <f>IF(OR(1365113.41163="",2921.76544="",3191.01873=""),"-",(2921.76544-3191.01873)/1365113.41163*100)</f>
        <v>-1.9723876983854437E-2</v>
      </c>
    </row>
    <row r="63" spans="1:7" s="9" customFormat="1" x14ac:dyDescent="0.25">
      <c r="A63" s="79" t="s">
        <v>78</v>
      </c>
      <c r="B63" s="65">
        <v>2892.47075</v>
      </c>
      <c r="C63" s="65">
        <f>IF(OR(2500.29423="",2892.47075=""),"-",2892.47075/2500.29423*100)</f>
        <v>115.68521477570262</v>
      </c>
      <c r="D63" s="65">
        <f>IF(2500.29423="","-",2500.29423/1365113.41163*100)</f>
        <v>0.18315652082082678</v>
      </c>
      <c r="E63" s="65">
        <f>IF(2892.47075="","-",2892.47075/1551105.23673*100)</f>
        <v>0.18647804684728111</v>
      </c>
      <c r="F63" s="65">
        <f>IF(OR(1365645.29487="",2328.4938="",2500.29423=""),"-",(2500.29423-2328.4938)/1365645.29487*100)</f>
        <v>1.2580164896797304E-2</v>
      </c>
      <c r="G63" s="65">
        <f>IF(OR(1365113.41163="",2892.47075="",2500.29423=""),"-",(2892.47075-2500.29423)/1365113.41163*100)</f>
        <v>2.8728493666451166E-2</v>
      </c>
    </row>
    <row r="64" spans="1:7" s="9" customFormat="1" x14ac:dyDescent="0.25">
      <c r="A64" s="79" t="s">
        <v>82</v>
      </c>
      <c r="B64" s="65">
        <v>2892.15616</v>
      </c>
      <c r="C64" s="65">
        <f>IF(OR(2078.52645="",2892.15616=""),"-",2892.15616/2078.52645*100)</f>
        <v>139.14454444397379</v>
      </c>
      <c r="D64" s="65">
        <f>IF(2078.52645="","-",2078.52645/1365113.41163*100)</f>
        <v>0.15226034938138627</v>
      </c>
      <c r="E64" s="65">
        <f>IF(2892.15616="","-",2892.15616/1551105.23673*100)</f>
        <v>0.18645776518021234</v>
      </c>
      <c r="F64" s="65">
        <f>IF(OR(1365645.29487="",2252.90746="",2078.52645=""),"-",(2078.52645-2252.90746)/1365645.29487*100)</f>
        <v>-1.2769129045079009E-2</v>
      </c>
      <c r="G64" s="65">
        <f>IF(OR(1365113.41163="",2892.15616="",2078.52645=""),"-",(2892.15616-2078.52645)/1365113.41163*100)</f>
        <v>5.96016201341465E-2</v>
      </c>
    </row>
    <row r="65" spans="1:7" s="9" customFormat="1" x14ac:dyDescent="0.25">
      <c r="A65" s="79" t="s">
        <v>74</v>
      </c>
      <c r="B65" s="65">
        <v>2807.2243199999998</v>
      </c>
      <c r="C65" s="65">
        <f>IF(OR(2441.93134="",2807.22432=""),"-",2807.22432/2441.93134*100)</f>
        <v>114.95918308661372</v>
      </c>
      <c r="D65" s="65">
        <f>IF(2441.93134="","-",2441.93134/1365113.41163*100)</f>
        <v>0.17888120644014743</v>
      </c>
      <c r="E65" s="65">
        <f>IF(2807.22432="","-",2807.22432/1551105.23673*100)</f>
        <v>0.18098219601902174</v>
      </c>
      <c r="F65" s="65">
        <f>IF(OR(1365645.29487="",1554.94677="",2441.93134=""),"-",(2441.93134-1554.94677)/1365645.29487*100)</f>
        <v>6.4949849959717018E-2</v>
      </c>
      <c r="G65" s="65">
        <f>IF(OR(1365113.41163="",2807.22432="",2441.93134=""),"-",(2807.22432-2441.93134)/1365113.41163*100)</f>
        <v>2.6759167178925104E-2</v>
      </c>
    </row>
    <row r="66" spans="1:7" s="9" customFormat="1" x14ac:dyDescent="0.25">
      <c r="A66" s="79" t="s">
        <v>71</v>
      </c>
      <c r="B66" s="65">
        <v>2665.78595</v>
      </c>
      <c r="C66" s="65">
        <f>IF(OR(2739.20545="",2665.78595=""),"-",2665.78595/2739.20545*100)</f>
        <v>97.31967896018898</v>
      </c>
      <c r="D66" s="65">
        <f>IF(2739.20545="","-",2739.20545/1365113.41163*100)</f>
        <v>0.20065772020577247</v>
      </c>
      <c r="E66" s="65">
        <f>IF(2665.78595="","-",2665.78595/1551105.23673*100)</f>
        <v>0.17186364192928269</v>
      </c>
      <c r="F66" s="65">
        <f>IF(OR(1365645.29487="",2625.66928="",2739.20545=""),"-",(2739.20545-2625.66928)/1365645.29487*100)</f>
        <v>8.3137378663767671E-3</v>
      </c>
      <c r="G66" s="65">
        <f>IF(OR(1365113.41163="",2665.78595="",2739.20545=""),"-",(2665.78595-2739.20545)/1365113.41163*100)</f>
        <v>-5.3782710926804349E-3</v>
      </c>
    </row>
    <row r="67" spans="1:7" s="9" customFormat="1" x14ac:dyDescent="0.25">
      <c r="A67" s="79" t="s">
        <v>65</v>
      </c>
      <c r="B67" s="65">
        <v>2003.4956199999999</v>
      </c>
      <c r="C67" s="65">
        <f>IF(OR(1708.98371="",2003.49562=""),"-",2003.49562/1708.98371*100)</f>
        <v>117.23316075376751</v>
      </c>
      <c r="D67" s="65">
        <f>IF(1708.98371="","-",1708.98371/1365113.41163*100)</f>
        <v>0.12518987033900761</v>
      </c>
      <c r="E67" s="65">
        <f>IF(2003.49562="","-",2003.49562/1551105.23673*100)</f>
        <v>0.12916567957849961</v>
      </c>
      <c r="F67" s="65">
        <f>IF(OR(1365645.29487="",1073.23833="",1708.98371=""),"-",(1708.98371-1073.23833)/1365645.29487*100)</f>
        <v>4.6552745605916553E-2</v>
      </c>
      <c r="G67" s="65">
        <f>IF(OR(1365113.41163="",2003.49562="",1708.98371=""),"-",(2003.49562-1708.98371)/1365113.41163*100)</f>
        <v>2.1574171602954287E-2</v>
      </c>
    </row>
    <row r="68" spans="1:7" s="9" customFormat="1" x14ac:dyDescent="0.25">
      <c r="A68" s="79" t="s">
        <v>88</v>
      </c>
      <c r="B68" s="65">
        <v>1883.8009</v>
      </c>
      <c r="C68" s="65" t="s">
        <v>231</v>
      </c>
      <c r="D68" s="65">
        <f>IF(760.74126="","-",760.74126/1365113.41163*100)</f>
        <v>5.5727330309622007E-2</v>
      </c>
      <c r="E68" s="65">
        <f>IF(1883.8009="","-",1883.8009/1551105.23673*100)</f>
        <v>0.12144894204415044</v>
      </c>
      <c r="F68" s="65">
        <f>IF(OR(1365645.29487="",700.58216="",760.74126=""),"-",(760.74126-700.58216)/1365645.29487*100)</f>
        <v>4.4051775542291675E-3</v>
      </c>
      <c r="G68" s="65">
        <f>IF(OR(1365113.41163="",1883.8009="",760.74126=""),"-",(1883.8009-760.74126)/1365113.41163*100)</f>
        <v>8.226859617905459E-2</v>
      </c>
    </row>
    <row r="69" spans="1:7" s="9" customFormat="1" x14ac:dyDescent="0.25">
      <c r="A69" s="79" t="s">
        <v>85</v>
      </c>
      <c r="B69" s="65">
        <v>1864.31522</v>
      </c>
      <c r="C69" s="65">
        <f>IF(OR(1436.59076="",1864.31522=""),"-",1864.31522/1436.59076*100)</f>
        <v>129.77357727123345</v>
      </c>
      <c r="D69" s="65">
        <f>IF(1436.59076="","-",1436.59076/1365113.41163*100)</f>
        <v>0.10523600074257956</v>
      </c>
      <c r="E69" s="65">
        <f>IF(1864.31522="","-",1864.31522/1551105.23673*100)</f>
        <v>0.12019269717187604</v>
      </c>
      <c r="F69" s="65">
        <f>IF(OR(1365645.29487="",1937.22184="",1436.59076=""),"-",(1436.59076-1937.22184)/1365645.29487*100)</f>
        <v>-3.6658939321989645E-2</v>
      </c>
      <c r="G69" s="65">
        <f>IF(OR(1365113.41163="",1864.31522="",1436.59076=""),"-",(1864.31522-1436.59076)/1365113.41163*100)</f>
        <v>3.1332521998247737E-2</v>
      </c>
    </row>
    <row r="70" spans="1:7" s="9" customFormat="1" x14ac:dyDescent="0.25">
      <c r="A70" s="79" t="s">
        <v>83</v>
      </c>
      <c r="B70" s="65">
        <v>1787.11816</v>
      </c>
      <c r="C70" s="65">
        <f>IF(OR(2272.71885="",1787.11816=""),"-",1787.11816/2272.71885*100)</f>
        <v>78.633490455715631</v>
      </c>
      <c r="D70" s="65">
        <f>IF(2272.71885="","-",2272.71885/1365113.41163*100)</f>
        <v>0.16648571691096956</v>
      </c>
      <c r="E70" s="65">
        <f>IF(1787.11816="","-",1787.11816/1551105.23673*100)</f>
        <v>0.11521579050094347</v>
      </c>
      <c r="F70" s="65">
        <f>IF(OR(1365645.29487="",1599.58354="",2272.71885=""),"-",(2272.71885-1599.58354)/1365645.29487*100)</f>
        <v>4.9290640295002651E-2</v>
      </c>
      <c r="G70" s="65">
        <f>IF(OR(1365113.41163="",1787.11816="",2272.71885=""),"-",(1787.11816-2272.71885)/1365113.41163*100)</f>
        <v>-3.5572186593652577E-2</v>
      </c>
    </row>
    <row r="71" spans="1:7" s="9" customFormat="1" x14ac:dyDescent="0.25">
      <c r="A71" s="79" t="s">
        <v>63</v>
      </c>
      <c r="B71" s="65">
        <v>1727.8183100000001</v>
      </c>
      <c r="C71" s="65">
        <f>IF(OR(2660.48532="",1727.81831=""),"-",1727.81831/2660.48532*100)</f>
        <v>64.943726507763628</v>
      </c>
      <c r="D71" s="65">
        <f>IF(2660.48532="","-",2660.48532/1365113.41163*100)</f>
        <v>0.19489115683240368</v>
      </c>
      <c r="E71" s="65">
        <f>IF(1727.81831="","-",1727.81831/1551105.23673*100)</f>
        <v>0.11139271979008607</v>
      </c>
      <c r="F71" s="65">
        <f>IF(OR(1365645.29487="",2979.70517="",2660.48532=""),"-",(2660.48532-2979.70517)/1365645.29487*100)</f>
        <v>-2.3375019208804724E-2</v>
      </c>
      <c r="G71" s="65">
        <f>IF(OR(1365113.41163="",1727.81831="",2660.48532=""),"-",(1727.81831-2660.48532)/1365113.41163*100)</f>
        <v>-6.8321576951350729E-2</v>
      </c>
    </row>
    <row r="72" spans="1:7" s="9" customFormat="1" x14ac:dyDescent="0.25">
      <c r="A72" s="79" t="s">
        <v>84</v>
      </c>
      <c r="B72" s="65">
        <v>1602.74254</v>
      </c>
      <c r="C72" s="65">
        <f>IF(OR(1486.35475="",1602.74254=""),"-",1602.74254/1486.35475*100)</f>
        <v>107.83041800754496</v>
      </c>
      <c r="D72" s="65">
        <f>IF(1486.35475="","-",1486.35475/1365113.41163*100)</f>
        <v>0.10888141141513165</v>
      </c>
      <c r="E72" s="65">
        <f>IF(1602.74254="","-",1602.74254/1551105.23673*100)</f>
        <v>0.10332906511094375</v>
      </c>
      <c r="F72" s="65">
        <f>IF(OR(1365645.29487="",809.47965="",1486.35475=""),"-",(1486.35475-809.47965)/1365645.29487*100)</f>
        <v>4.9564488124600008E-2</v>
      </c>
      <c r="G72" s="65">
        <f>IF(OR(1365113.41163="",1602.74254="",1486.35475=""),"-",(1602.74254-1486.35475)/1365113.41163*100)</f>
        <v>8.5258696463195918E-3</v>
      </c>
    </row>
    <row r="73" spans="1:7" s="9" customFormat="1" x14ac:dyDescent="0.25">
      <c r="A73" s="79" t="s">
        <v>68</v>
      </c>
      <c r="B73" s="65">
        <v>1544.88411</v>
      </c>
      <c r="C73" s="65">
        <f>IF(OR(1270.77275="",1544.88411=""),"-",1544.88411/1270.77275*100)</f>
        <v>121.57044680097206</v>
      </c>
      <c r="D73" s="65">
        <f>IF(1270.77275="","-",1270.77275/1365113.41163*100)</f>
        <v>9.3089170406922203E-2</v>
      </c>
      <c r="E73" s="65">
        <f>IF(1544.88411="","-",1544.88411/1551105.23673*100)</f>
        <v>9.9598922975521947E-2</v>
      </c>
      <c r="F73" s="65">
        <f>IF(OR(1365645.29487="",1093.64646="",1270.77275=""),"-",(1270.77275-1093.64646)/1365645.29487*100)</f>
        <v>1.2970153426030098E-2</v>
      </c>
      <c r="G73" s="65">
        <f>IF(OR(1365113.41163="",1544.88411="",1270.77275=""),"-",(1544.88411-1270.77275)/1365113.41163*100)</f>
        <v>2.0079749980091394E-2</v>
      </c>
    </row>
    <row r="74" spans="1:7" s="9" customFormat="1" x14ac:dyDescent="0.25">
      <c r="A74" s="79" t="s">
        <v>139</v>
      </c>
      <c r="B74" s="65">
        <v>1153.0920000000001</v>
      </c>
      <c r="C74" s="65" t="s">
        <v>95</v>
      </c>
      <c r="D74" s="65">
        <f>IF(537.3987="","-",537.3987/1365113.41163*100)</f>
        <v>3.9366597340679883E-2</v>
      </c>
      <c r="E74" s="65">
        <f>IF(1153.092="","-",1153.092/1551105.23673*100)</f>
        <v>7.4340023661509838E-2</v>
      </c>
      <c r="F74" s="65">
        <f>IF(OR(1365645.29487="",1004.21384="",537.3987=""),"-",(537.3987-1004.21384)/1365645.29487*100)</f>
        <v>-3.4182751681829479E-2</v>
      </c>
      <c r="G74" s="65">
        <f>IF(OR(1365113.41163="",1153.092="",537.3987=""),"-",(1153.092-537.3987)/1365113.41163*100)</f>
        <v>4.5101988944994523E-2</v>
      </c>
    </row>
    <row r="75" spans="1:7" s="9" customFormat="1" x14ac:dyDescent="0.25">
      <c r="A75" s="79" t="s">
        <v>93</v>
      </c>
      <c r="B75" s="65">
        <v>1110.23109</v>
      </c>
      <c r="C75" s="65" t="s">
        <v>237</v>
      </c>
      <c r="D75" s="65">
        <f>IF(180.33406="","-",180.33406/1365113.41163*100)</f>
        <v>1.3210188872488909E-2</v>
      </c>
      <c r="E75" s="65">
        <f>IF(1110.23109="","-",1110.23109/1551105.23673*100)</f>
        <v>7.1576774013126315E-2</v>
      </c>
      <c r="F75" s="65">
        <f>IF(OR(1365645.29487="",319.94262="",180.33406=""),"-",(180.33406-319.94262)/1365645.29487*100)</f>
        <v>-1.0222900523615814E-2</v>
      </c>
      <c r="G75" s="65">
        <f>IF(OR(1365113.41163="",1110.23109="",180.33406=""),"-",(1110.23109-180.33406)/1365113.41163*100)</f>
        <v>6.8118664872661813E-2</v>
      </c>
    </row>
    <row r="76" spans="1:7" s="9" customFormat="1" x14ac:dyDescent="0.25">
      <c r="A76" s="79" t="s">
        <v>58</v>
      </c>
      <c r="B76" s="65">
        <v>1109.44967</v>
      </c>
      <c r="C76" s="65">
        <f>IF(OR(1516.20857="",1109.44967=""),"-",1109.44967/1516.20857*100)</f>
        <v>73.172628881790317</v>
      </c>
      <c r="D76" s="65">
        <f>IF(1516.20857="","-",1516.20857/1365113.41163*100)</f>
        <v>0.11106832275492673</v>
      </c>
      <c r="E76" s="65">
        <f>IF(1109.44967="","-",1109.44967/1551105.23673*100)</f>
        <v>7.1526395742104065E-2</v>
      </c>
      <c r="F76" s="65">
        <f>IF(OR(1365645.29487="",784.72606="",1516.20857=""),"-",(1516.20857-784.72606)/1365645.29487*100)</f>
        <v>5.3563140644777164E-2</v>
      </c>
      <c r="G76" s="65">
        <f>IF(OR(1365113.41163="",1109.44967="",1516.20857=""),"-",(1109.44967-1516.20857)/1365113.41163*100)</f>
        <v>-2.9796711140235126E-2</v>
      </c>
    </row>
    <row r="77" spans="1:7" s="9" customFormat="1" x14ac:dyDescent="0.25">
      <c r="A77" s="79" t="s">
        <v>75</v>
      </c>
      <c r="B77" s="65">
        <v>1080.73253</v>
      </c>
      <c r="C77" s="65">
        <f>IF(OR(1683.1502="",1080.73253=""),"-",1080.73253/1683.1502*100)</f>
        <v>64.208917896929222</v>
      </c>
      <c r="D77" s="65">
        <f>IF(1683.1502="","-",1683.1502/1365113.41163*100)</f>
        <v>0.12329746273536726</v>
      </c>
      <c r="E77" s="65">
        <f>IF(1080.73253="","-",1080.73253/1551105.23673*100)</f>
        <v>6.9674997183193851E-2</v>
      </c>
      <c r="F77" s="65">
        <f>IF(OR(1365645.29487="",937.53342="",1683.1502=""),"-",(1683.1502-937.53342)/1365645.29487*100)</f>
        <v>5.4598129016435237E-2</v>
      </c>
      <c r="G77" s="65">
        <f>IF(OR(1365113.41163="",1080.73253="",1683.1502=""),"-",(1080.73253-1683.1502)/1365113.41163*100)</f>
        <v>-4.4129496118618397E-2</v>
      </c>
    </row>
    <row r="78" spans="1:7" s="9" customFormat="1" x14ac:dyDescent="0.25">
      <c r="A78" s="79" t="s">
        <v>80</v>
      </c>
      <c r="B78" s="65">
        <v>1079.2155600000001</v>
      </c>
      <c r="C78" s="65">
        <f>IF(OR(1722.07421="",1079.21556=""),"-",1079.21556/1722.07421*100)</f>
        <v>62.66951527019269</v>
      </c>
      <c r="D78" s="65">
        <f>IF(1722.07421="","-",1722.07421/1365113.41163*100)</f>
        <v>0.1261488016547852</v>
      </c>
      <c r="E78" s="65">
        <f>IF(1079.21556="","-",1079.21556/1551105.23673*100)</f>
        <v>6.9577197887306111E-2</v>
      </c>
      <c r="F78" s="65">
        <f>IF(OR(1365645.29487="",1844.44473="",1722.07421=""),"-",(1722.07421-1844.44473)/1365645.29487*100)</f>
        <v>-8.9606371771411373E-3</v>
      </c>
      <c r="G78" s="65">
        <f>IF(OR(1365113.41163="",1079.21556="",1722.07421=""),"-",(1079.21556-1722.07421)/1365113.41163*100)</f>
        <v>-4.7091959138574502E-2</v>
      </c>
    </row>
    <row r="79" spans="1:7" s="9" customFormat="1" x14ac:dyDescent="0.25">
      <c r="A79" s="79" t="s">
        <v>91</v>
      </c>
      <c r="B79" s="65">
        <v>1016.9437</v>
      </c>
      <c r="C79" s="65" t="s">
        <v>95</v>
      </c>
      <c r="D79" s="65">
        <f>IF(483.34219="","-",483.34219/1365113.41163*100)</f>
        <v>3.5406742464193515E-2</v>
      </c>
      <c r="E79" s="65">
        <f>IF(1016.9437="","-",1016.9437/1551105.23673*100)</f>
        <v>6.5562521221570649E-2</v>
      </c>
      <c r="F79" s="65">
        <f>IF(OR(1365645.29487="",701.25799="",483.34219=""),"-",(483.34219-701.25799)/1365645.29487*100)</f>
        <v>-1.5956983912191049E-2</v>
      </c>
      <c r="G79" s="65">
        <f>IF(OR(1365113.41163="",1016.9437="",483.34219=""),"-",(1016.9437-483.34219)/1365113.41163*100)</f>
        <v>3.9088438034086737E-2</v>
      </c>
    </row>
    <row r="80" spans="1:7" s="9" customFormat="1" x14ac:dyDescent="0.25">
      <c r="A80" s="79" t="s">
        <v>137</v>
      </c>
      <c r="B80" s="65">
        <v>952.29277999999999</v>
      </c>
      <c r="C80" s="65" t="s">
        <v>223</v>
      </c>
      <c r="D80" s="65">
        <f>IF(535.89416="","-",535.89416/1365113.41163*100)</f>
        <v>3.9256383787199117E-2</v>
      </c>
      <c r="E80" s="65">
        <f>IF(952.29278="","-",952.29278/1551105.23673*100)</f>
        <v>6.1394466181263048E-2</v>
      </c>
      <c r="F80" s="65">
        <f>IF(OR(1365645.29487="",1420.00437="",535.89416=""),"-",(535.89416-1420.00437)/1365645.29487*100)</f>
        <v>-6.4739373636853573E-2</v>
      </c>
      <c r="G80" s="65">
        <f>IF(OR(1365113.41163="",952.29278="",535.89416=""),"-",(952.29278-535.89416)/1365113.41163*100)</f>
        <v>3.0502859063028565E-2</v>
      </c>
    </row>
    <row r="81" spans="1:7" s="9" customFormat="1" x14ac:dyDescent="0.25">
      <c r="A81" s="79" t="s">
        <v>73</v>
      </c>
      <c r="B81" s="65">
        <v>885.95384000000001</v>
      </c>
      <c r="C81" s="65">
        <f>IF(OR(699.2074="",885.95384=""),"-",885.95384/699.2074*100)</f>
        <v>126.70830428854157</v>
      </c>
      <c r="D81" s="65">
        <f>IF(699.2074="","-",699.2074/1365113.41163*100)</f>
        <v>5.1219729734038606E-2</v>
      </c>
      <c r="E81" s="65">
        <f>IF(885.95384="","-",885.95384/1551105.23673*100)</f>
        <v>5.7117584224507231E-2</v>
      </c>
      <c r="F81" s="65">
        <f>IF(OR(1365645.29487="",541.30334="",699.2074=""),"-",(699.2074-541.30334)/1365645.29487*100)</f>
        <v>1.1562596861217269E-2</v>
      </c>
      <c r="G81" s="65">
        <f>IF(OR(1365113.41163="",885.95384="",699.2074=""),"-",(885.95384-699.2074)/1365113.41163*100)</f>
        <v>1.3679921273135635E-2</v>
      </c>
    </row>
    <row r="82" spans="1:7" s="9" customFormat="1" x14ac:dyDescent="0.25">
      <c r="A82" s="79" t="s">
        <v>87</v>
      </c>
      <c r="B82" s="65">
        <v>880.43344000000002</v>
      </c>
      <c r="C82" s="65" t="s">
        <v>103</v>
      </c>
      <c r="D82" s="65">
        <f>IF(514.76691="","-",514.76691/1365113.41163*100)</f>
        <v>3.7708728492041391E-2</v>
      </c>
      <c r="E82" s="65">
        <f>IF(880.43344="","-",880.43344/1551105.23673*100)</f>
        <v>5.6761683163168673E-2</v>
      </c>
      <c r="F82" s="65">
        <f>IF(OR(1365645.29487="",587.19572="",514.76691=""),"-",(514.76691-587.19572)/1365645.29487*100)</f>
        <v>-5.3036326688984583E-3</v>
      </c>
      <c r="G82" s="65">
        <f>IF(OR(1365113.41163="",880.43344="",514.76691=""),"-",(880.43344-514.76691)/1365113.41163*100)</f>
        <v>2.6786531205739126E-2</v>
      </c>
    </row>
    <row r="83" spans="1:7" s="9" customFormat="1" x14ac:dyDescent="0.25">
      <c r="A83" s="79" t="s">
        <v>86</v>
      </c>
      <c r="B83" s="65">
        <v>771.73559999999998</v>
      </c>
      <c r="C83" s="65">
        <f>IF(OR(1321.16369="",771.7356=""),"-",771.7356/1321.16369*100)</f>
        <v>58.413321970724155</v>
      </c>
      <c r="D83" s="65">
        <f>IF(1321.16369="","-",1321.16369/1365113.41163*100)</f>
        <v>9.6780507666573867E-2</v>
      </c>
      <c r="E83" s="65">
        <f>IF(771.7356="","-",771.7356/1551105.23673*100)</f>
        <v>4.9753916222148351E-2</v>
      </c>
      <c r="F83" s="65">
        <f>IF(OR(1365645.29487="",373.06151="",1321.16369=""),"-",(1321.16369-373.06151)/1365645.29487*100)</f>
        <v>6.9425214846162001E-2</v>
      </c>
      <c r="G83" s="65">
        <f>IF(OR(1365113.41163="",771.7356="",1321.16369=""),"-",(771.7356-1321.16369)/1365113.41163*100)</f>
        <v>-4.0247798118396697E-2</v>
      </c>
    </row>
    <row r="84" spans="1:7" s="9" customFormat="1" x14ac:dyDescent="0.25">
      <c r="A84" s="79" t="s">
        <v>37</v>
      </c>
      <c r="B84" s="65">
        <v>731.96516999999994</v>
      </c>
      <c r="C84" s="65">
        <f>IF(OR(1052.80437="",731.96517=""),"-",731.96517/1052.80437*100)</f>
        <v>69.525278471251013</v>
      </c>
      <c r="D84" s="65">
        <f>IF(1052.80437="","-",1052.80437/1365113.41163*100)</f>
        <v>7.7122117549406358E-2</v>
      </c>
      <c r="E84" s="65">
        <f>IF(731.96517="","-",731.96517/1551105.23673*100)</f>
        <v>4.718991030828508E-2</v>
      </c>
      <c r="F84" s="65">
        <f>IF(OR(1365645.29487="",520.06067="",1052.80437=""),"-",(1052.80437-520.06067)/1365645.29487*100)</f>
        <v>3.9010400577751313E-2</v>
      </c>
      <c r="G84" s="65">
        <f>IF(OR(1365113.41163="",731.96517="",1052.80437=""),"-",(731.96517-1052.80437)/1365113.41163*100)</f>
        <v>-2.3502750560256039E-2</v>
      </c>
    </row>
    <row r="85" spans="1:7" s="9" customFormat="1" x14ac:dyDescent="0.25">
      <c r="A85" s="79" t="s">
        <v>89</v>
      </c>
      <c r="B85" s="65">
        <v>725.91858000000002</v>
      </c>
      <c r="C85" s="65" t="s">
        <v>95</v>
      </c>
      <c r="D85" s="65">
        <f>IF(350.29264="","-",350.29264/1365113.41163*100)</f>
        <v>2.5660332468768039E-2</v>
      </c>
      <c r="E85" s="65">
        <f>IF(725.91858="","-",725.91858/1551105.23673*100)</f>
        <v>4.6800085694402194E-2</v>
      </c>
      <c r="F85" s="65">
        <f>IF(OR(1365645.29487="",342.22837="",350.29264=""),"-",(350.29264-342.22837)/1365645.29487*100)</f>
        <v>5.9050985129836982E-4</v>
      </c>
      <c r="G85" s="65">
        <f>IF(OR(1365113.41163="",725.91858="",350.29264=""),"-",(725.91858-350.29264)/1365113.41163*100)</f>
        <v>2.7516097695611069E-2</v>
      </c>
    </row>
    <row r="86" spans="1:7" s="9" customFormat="1" x14ac:dyDescent="0.25">
      <c r="A86" s="79" t="s">
        <v>39</v>
      </c>
      <c r="B86" s="65">
        <v>600.71496000000002</v>
      </c>
      <c r="C86" s="65">
        <f>IF(OR(712.51292="",600.71496=""),"-",600.71496/712.51292*100)</f>
        <v>84.30934276953181</v>
      </c>
      <c r="D86" s="65">
        <f>IF(712.51292="","-",712.51292/1365113.41163*100)</f>
        <v>5.2194412122083769E-2</v>
      </c>
      <c r="E86" s="65">
        <f>IF(600.71496="","-",600.71496/1551105.23673*100)</f>
        <v>3.8728188505533757E-2</v>
      </c>
      <c r="F86" s="65">
        <f>IF(OR(1365645.29487="",662.6708="",712.51292=""),"-",(712.51292-662.6708)/1365645.29487*100)</f>
        <v>3.6497119850396175E-3</v>
      </c>
      <c r="G86" s="65">
        <f>IF(OR(1365113.41163="",600.71496="",712.51292=""),"-",(600.71496-712.51292)/1365113.41163*100)</f>
        <v>-8.189646299534099E-3</v>
      </c>
    </row>
    <row r="87" spans="1:7" s="9" customFormat="1" x14ac:dyDescent="0.25">
      <c r="A87" s="79" t="s">
        <v>38</v>
      </c>
      <c r="B87" s="65">
        <v>596.95037000000002</v>
      </c>
      <c r="C87" s="65">
        <f>IF(OR(751.77431="",596.95037=""),"-",596.95037/751.77431*100)</f>
        <v>79.405529300409327</v>
      </c>
      <c r="D87" s="65">
        <f>IF(751.77431="","-",751.77431/1365113.41163*100)</f>
        <v>5.5070465471608793E-2</v>
      </c>
      <c r="E87" s="65">
        <f>IF(596.95037="","-",596.95037/1551105.23673*100)</f>
        <v>3.8485484792667932E-2</v>
      </c>
      <c r="F87" s="65">
        <f>IF(OR(1365645.29487="",542.99505="",751.77431=""),"-",(751.77431-542.99505)/1365645.29487*100)</f>
        <v>1.5287956600756592E-2</v>
      </c>
      <c r="G87" s="65">
        <f>IF(OR(1365113.41163="",596.95037="",751.77431=""),"-",(596.95037-751.77431)/1365113.41163*100)</f>
        <v>-1.1341470875678675E-2</v>
      </c>
    </row>
    <row r="88" spans="1:7" s="9" customFormat="1" x14ac:dyDescent="0.25">
      <c r="A88" s="79" t="s">
        <v>67</v>
      </c>
      <c r="B88" s="65">
        <v>450.10113000000001</v>
      </c>
      <c r="C88" s="65">
        <f>IF(OR(328.37703="",450.10113=""),"-",450.10113/328.37703*100)</f>
        <v>137.06839665368798</v>
      </c>
      <c r="D88" s="65">
        <f>IF(328.37703="","-",328.37703/1365113.41163*100)</f>
        <v>2.4054926660481979E-2</v>
      </c>
      <c r="E88" s="65">
        <f>IF(450.10113="","-",450.10113/1551105.23673*100)</f>
        <v>2.901809105801819E-2</v>
      </c>
      <c r="F88" s="65">
        <f>IF(OR(1365645.29487="",616.58951="",328.37703=""),"-",(328.37703-616.58951)/1365645.29487*100)</f>
        <v>-2.1104490388731273E-2</v>
      </c>
      <c r="G88" s="65">
        <f>IF(OR(1365113.41163="",450.10113="",328.37703=""),"-",(450.10113-328.37703)/1365113.41163*100)</f>
        <v>8.916775629261204E-3</v>
      </c>
    </row>
    <row r="89" spans="1:7" x14ac:dyDescent="0.25">
      <c r="A89" s="79" t="s">
        <v>233</v>
      </c>
      <c r="B89" s="65">
        <v>422.77015999999998</v>
      </c>
      <c r="C89" s="65">
        <f>IF(OR(287.16184="",422.77016=""),"-",422.77016/287.16184*100)</f>
        <v>147.2236561793865</v>
      </c>
      <c r="D89" s="65">
        <f>IF(287.16184="","-",287.16184/1365113.41163*100)</f>
        <v>2.1035749671312456E-2</v>
      </c>
      <c r="E89" s="65">
        <f>IF(422.77016="","-",422.77016/1551105.23673*100)</f>
        <v>2.7256059098302903E-2</v>
      </c>
      <c r="F89" s="65">
        <f>IF(OR(1365645.29487="",398.84293="",287.16184=""),"-",(287.16184-398.84293)/1365645.29487*100)</f>
        <v>-8.1778987867146928E-3</v>
      </c>
      <c r="G89" s="65">
        <f>IF(OR(1365113.41163="",422.77016="",287.16184=""),"-",(422.77016-287.16184)/1365113.41163*100)</f>
        <v>9.933850099537022E-3</v>
      </c>
    </row>
    <row r="90" spans="1:7" x14ac:dyDescent="0.25">
      <c r="A90" s="79" t="s">
        <v>160</v>
      </c>
      <c r="B90" s="65">
        <v>418.68472000000003</v>
      </c>
      <c r="C90" s="65" t="s">
        <v>104</v>
      </c>
      <c r="D90" s="65">
        <f>IF(261.04345="","-",261.04345/1365113.41163*100)</f>
        <v>1.9122473471878332E-2</v>
      </c>
      <c r="E90" s="65">
        <f>IF(418.68472="","-",418.68472/1551105.23673*100)</f>
        <v>2.6992670135177952E-2</v>
      </c>
      <c r="F90" s="65">
        <f>IF(OR(1365645.29487="",348.26915="",261.04345=""),"-",(261.04345-348.26915)/1365645.29487*100)</f>
        <v>-6.387141692477569E-3</v>
      </c>
      <c r="G90" s="65">
        <f>IF(OR(1365113.41163="",418.68472="",261.04345=""),"-",(418.68472-261.04345)/1365113.41163*100)</f>
        <v>1.1547851530648287E-2</v>
      </c>
    </row>
    <row r="91" spans="1:7" x14ac:dyDescent="0.25">
      <c r="A91" s="79" t="s">
        <v>266</v>
      </c>
      <c r="B91" s="65">
        <v>385.90233999999998</v>
      </c>
      <c r="C91" s="65" t="s">
        <v>286</v>
      </c>
      <c r="D91" s="65">
        <f>IF(36.35014="","-",36.35014/1365113.41163*100)</f>
        <v>2.662792680103881E-3</v>
      </c>
      <c r="E91" s="65">
        <f>IF(385.90234="","-",385.90234/1551105.23673*100)</f>
        <v>2.487918491033847E-2</v>
      </c>
      <c r="F91" s="65">
        <f>IF(OR(1365645.29487="",110.91542="",36.35014=""),"-",(36.35014-110.91542)/1365645.29487*100)</f>
        <v>-5.4600766597374829E-3</v>
      </c>
      <c r="G91" s="65">
        <f>IF(OR(1365113.41163="",385.90234="",36.35014=""),"-",(385.90234-36.35014)/1365113.41163*100)</f>
        <v>2.5606092286692916E-2</v>
      </c>
    </row>
    <row r="92" spans="1:7" x14ac:dyDescent="0.25">
      <c r="A92" s="79" t="s">
        <v>159</v>
      </c>
      <c r="B92" s="65">
        <v>349.13877000000002</v>
      </c>
      <c r="C92" s="65">
        <f>IF(OR(248.25217="",349.13877=""),"-",349.13877/248.25217*100)</f>
        <v>140.6387585655344</v>
      </c>
      <c r="D92" s="65">
        <f>IF(248.25217="","-",248.25217/1365113.41163*100)</f>
        <v>1.8185461214066969E-2</v>
      </c>
      <c r="E92" s="65">
        <f>IF(349.13877="","-",349.13877/1551105.23673*100)</f>
        <v>2.2509031736366602E-2</v>
      </c>
      <c r="F92" s="65">
        <f>IF(OR(1365645.29487="",116.19618="",248.25217=""),"-",(248.25217-116.19618)/1365645.29487*100)</f>
        <v>9.669860138358315E-3</v>
      </c>
      <c r="G92" s="65">
        <f>IF(OR(1365113.41163="",349.13877="",248.25217=""),"-",(349.13877-248.25217)/1365113.41163*100)</f>
        <v>7.3903456768135752E-3</v>
      </c>
    </row>
    <row r="93" spans="1:7" x14ac:dyDescent="0.25">
      <c r="A93" s="79" t="s">
        <v>102</v>
      </c>
      <c r="B93" s="65">
        <v>344.78847000000002</v>
      </c>
      <c r="C93" s="65" t="s">
        <v>103</v>
      </c>
      <c r="D93" s="65">
        <f>IF(197.60985="","-",197.60985/1365113.41163*100)</f>
        <v>1.4475709367183341E-2</v>
      </c>
      <c r="E93" s="65">
        <f>IF(344.78847="","-",344.78847/1551105.23673*100)</f>
        <v>2.2228567207140257E-2</v>
      </c>
      <c r="F93" s="65">
        <f>IF(OR(1365645.29487="",153.81045="",197.60985=""),"-",(197.60985-153.81045)/1365645.29487*100)</f>
        <v>3.2072310551305634E-3</v>
      </c>
      <c r="G93" s="65">
        <f>IF(OR(1365113.41163="",344.78847="",197.60985=""),"-",(344.78847-197.60985)/1365113.41163*100)</f>
        <v>1.0781420704398682E-2</v>
      </c>
    </row>
    <row r="94" spans="1:7" x14ac:dyDescent="0.25">
      <c r="A94" s="79" t="s">
        <v>97</v>
      </c>
      <c r="B94" s="65">
        <v>343.92746</v>
      </c>
      <c r="C94" s="65">
        <f>IF(OR(294.16995="",343.92746=""),"-",343.92746/294.16995*100)</f>
        <v>116.91454548637617</v>
      </c>
      <c r="D94" s="65">
        <f>IF(294.16995="","-",294.16995/1365113.41163*100)</f>
        <v>2.1549121669587095E-2</v>
      </c>
      <c r="E94" s="65">
        <f>IF(343.92746="","-",343.92746/1551105.23673*100)</f>
        <v>2.2173057756226713E-2</v>
      </c>
      <c r="F94" s="65">
        <f>IF(OR(1365645.29487="",197.87194="",294.16995=""),"-",(294.16995-197.87194)/1365645.29487*100)</f>
        <v>7.051465732847333E-3</v>
      </c>
      <c r="G94" s="65">
        <f>IF(OR(1365113.41163="",343.92746="",294.16995=""),"-",(343.92746-294.16995)/1365113.41163*100)</f>
        <v>3.6449359867168525E-3</v>
      </c>
    </row>
    <row r="95" spans="1:7" x14ac:dyDescent="0.25">
      <c r="A95" s="79" t="s">
        <v>98</v>
      </c>
      <c r="B95" s="65">
        <v>341.14877999999999</v>
      </c>
      <c r="C95" s="65" t="s">
        <v>222</v>
      </c>
      <c r="D95" s="65">
        <f>IF(157.47="","-",157.47/1365113.41163*100)</f>
        <v>1.153530532030848E-2</v>
      </c>
      <c r="E95" s="65">
        <f>IF(341.14878="","-",341.14878/1551105.23673*100)</f>
        <v>2.199391581703386E-2</v>
      </c>
      <c r="F95" s="65">
        <f>IF(OR(1365645.29487="",327.199="",157.47=""),"-",(157.47-327.199)/1365645.29487*100)</f>
        <v>-1.2428483489642676E-2</v>
      </c>
      <c r="G95" s="65">
        <f>IF(OR(1365113.41163="",341.14878="",157.47=""),"-",(341.14878-157.47)/1365113.41163*100)</f>
        <v>1.3455202947620313E-2</v>
      </c>
    </row>
    <row r="96" spans="1:7" x14ac:dyDescent="0.25">
      <c r="A96" s="79" t="s">
        <v>64</v>
      </c>
      <c r="B96" s="65">
        <v>332.31382000000002</v>
      </c>
      <c r="C96" s="65" t="s">
        <v>248</v>
      </c>
      <c r="D96" s="65">
        <f>IF(214.53702="","-",214.53702/1365113.41163*100)</f>
        <v>1.5715692056957688E-2</v>
      </c>
      <c r="E96" s="65">
        <f>IF(332.31382="","-",332.31382/1551105.23673*100)</f>
        <v>2.1424324548125144E-2</v>
      </c>
      <c r="F96" s="65">
        <f>IF(OR(1365645.29487="",137.43664="",214.53702=""),"-",(214.53702-137.43664)/1365645.29487*100)</f>
        <v>5.6457105142620079E-3</v>
      </c>
      <c r="G96" s="65">
        <f>IF(OR(1365113.41163="",332.31382="",214.53702=""),"-",(332.31382-214.53702)/1365113.41163*100)</f>
        <v>8.6276201666914843E-3</v>
      </c>
    </row>
    <row r="97" spans="1:7" x14ac:dyDescent="0.25">
      <c r="A97" s="79" t="s">
        <v>81</v>
      </c>
      <c r="B97" s="65">
        <v>287.09005000000002</v>
      </c>
      <c r="C97" s="65">
        <f>IF(OR(1096.66041="",287.09005=""),"-",287.09005/1096.66041*100)</f>
        <v>26.178573365295467</v>
      </c>
      <c r="D97" s="65">
        <f>IF(1096.66041="","-",1096.66041/1365113.41163*100)</f>
        <v>8.0334747329933828E-2</v>
      </c>
      <c r="E97" s="65">
        <f>IF(287.09005="","-",287.09005/1551105.23673*100)</f>
        <v>1.8508740941732351E-2</v>
      </c>
      <c r="F97" s="65">
        <f>IF(OR(1365645.29487="",696.20592="",1096.66041=""),"-",(1096.66041-696.20592)/1365645.29487*100)</f>
        <v>2.9323462798450932E-2</v>
      </c>
      <c r="G97" s="65">
        <f>IF(OR(1365113.41163="",287.09005="",1096.66041=""),"-",(287.09005-1096.66041)/1365113.41163*100)</f>
        <v>-5.9304256562342367E-2</v>
      </c>
    </row>
    <row r="98" spans="1:7" x14ac:dyDescent="0.25">
      <c r="A98" s="79" t="s">
        <v>128</v>
      </c>
      <c r="B98" s="65">
        <v>235.91269</v>
      </c>
      <c r="C98" s="65" t="s">
        <v>287</v>
      </c>
      <c r="D98" s="65">
        <f>IF(0.39023="","-",0.39023/1365113.41163*100)</f>
        <v>2.8585903315831452E-5</v>
      </c>
      <c r="E98" s="65">
        <f>IF(235.91269="","-",235.91269/1551105.23673*100)</f>
        <v>1.5209328446169458E-2</v>
      </c>
      <c r="F98" s="65">
        <f>IF(OR(1365645.29487="",0.09673="",0.39023=""),"-",(0.39023-0.09673)/1365645.29487*100)</f>
        <v>2.1491671453965594E-5</v>
      </c>
      <c r="G98" s="65">
        <f>IF(OR(1365113.41163="",235.91269="",0.39023=""),"-",(235.91269-0.39023)/1365113.41163*100)</f>
        <v>1.7252959204230273E-2</v>
      </c>
    </row>
    <row r="99" spans="1:7" x14ac:dyDescent="0.25">
      <c r="A99" s="79" t="s">
        <v>90</v>
      </c>
      <c r="B99" s="65">
        <v>183.73676</v>
      </c>
      <c r="C99" s="65">
        <f>IF(OR(185.59071="",183.73676=""),"-",183.73676/185.59071*100)</f>
        <v>99.00105452476582</v>
      </c>
      <c r="D99" s="65">
        <f>IF(185.59071="","-",185.59071/1365113.41163*100)</f>
        <v>1.3595259442832465E-2</v>
      </c>
      <c r="E99" s="65">
        <f>IF(183.73676="","-",183.73676/1551105.23673*100)</f>
        <v>1.1845537984730752E-2</v>
      </c>
      <c r="F99" s="65">
        <f>IF(OR(1365645.29487="",206.7573="",185.59071=""),"-",(185.59071-206.7573)/1365645.29487*100)</f>
        <v>-1.5499332132224639E-3</v>
      </c>
      <c r="G99" s="65">
        <f>IF(OR(1365113.41163="",183.73676="",185.59071=""),"-",(183.73676-185.59071)/1365113.41163*100)</f>
        <v>-1.3580922905052315E-4</v>
      </c>
    </row>
    <row r="100" spans="1:7" x14ac:dyDescent="0.25">
      <c r="A100" s="79" t="s">
        <v>94</v>
      </c>
      <c r="B100" s="65">
        <v>177.05382</v>
      </c>
      <c r="C100" s="65">
        <f>IF(OR(366.07941="",177.05382=""),"-",177.05382/366.07941*100)</f>
        <v>48.364867065317881</v>
      </c>
      <c r="D100" s="65">
        <f>IF(366.07941="","-",366.07941/1365113.41163*100)</f>
        <v>2.6816776311858703E-2</v>
      </c>
      <c r="E100" s="65">
        <f>IF(177.05382="","-",177.05382/1551105.23673*100)</f>
        <v>1.1414687785675993E-2</v>
      </c>
      <c r="F100" s="65">
        <f>IF(OR(1365645.29487="",120.18033="",366.07941=""),"-",(366.07941-120.18033)/1365645.29487*100)</f>
        <v>1.8006072361813969E-2</v>
      </c>
      <c r="G100" s="65">
        <f>IF(OR(1365113.41163="",177.05382="",366.07941=""),"-",(177.05382-366.07941)/1365113.41163*100)</f>
        <v>-1.3846878097424584E-2</v>
      </c>
    </row>
    <row r="101" spans="1:7" x14ac:dyDescent="0.25">
      <c r="A101" s="79" t="s">
        <v>130</v>
      </c>
      <c r="B101" s="65">
        <v>176.79671999999999</v>
      </c>
      <c r="C101" s="65" t="s">
        <v>277</v>
      </c>
      <c r="D101" s="65">
        <f>IF(59.30321="","-",59.30321/1365113.41163*100)</f>
        <v>4.3441965696600698E-3</v>
      </c>
      <c r="E101" s="65">
        <f>IF(176.79672="","-",176.79672/1551105.23673*100)</f>
        <v>1.1398112508002248E-2</v>
      </c>
      <c r="F101" s="65">
        <f>IF(OR(1365645.29487="",63.79332="",59.30321=""),"-",(59.30321-63.79332)/1365645.29487*100)</f>
        <v>-3.2879035404485677E-4</v>
      </c>
      <c r="G101" s="65">
        <f>IF(OR(1365113.41163="",176.79672="",59.30321=""),"-",(176.79672-59.30321)/1365113.41163*100)</f>
        <v>8.6068680447368862E-3</v>
      </c>
    </row>
    <row r="102" spans="1:7" x14ac:dyDescent="0.25">
      <c r="A102" s="79" t="s">
        <v>92</v>
      </c>
      <c r="B102" s="65">
        <v>170.69036</v>
      </c>
      <c r="C102" s="65">
        <f>IF(OR(331.69887="",170.69036=""),"-",170.69036/331.69887*100)</f>
        <v>51.459433672475271</v>
      </c>
      <c r="D102" s="65">
        <f>IF(331.69887="","-",331.69887/1365113.41163*100)</f>
        <v>2.4298264684392654E-2</v>
      </c>
      <c r="E102" s="65">
        <f>IF(170.69036="","-",170.69036/1551105.23673*100)</f>
        <v>1.1004434512763622E-2</v>
      </c>
      <c r="F102" s="65">
        <f>IF(OR(1365645.29487="",205.37586="",331.69887=""),"-",(331.69887-205.37586)/1365645.29487*100)</f>
        <v>9.2500600613151952E-3</v>
      </c>
      <c r="G102" s="65">
        <f>IF(OR(1365113.41163="",170.69036="",331.69887=""),"-",(170.69036-331.69887)/1365113.41163*100)</f>
        <v>-1.1794515285565131E-2</v>
      </c>
    </row>
    <row r="103" spans="1:7" x14ac:dyDescent="0.25">
      <c r="A103" s="79" t="s">
        <v>144</v>
      </c>
      <c r="B103" s="65">
        <v>149.13327000000001</v>
      </c>
      <c r="C103" s="65" t="s">
        <v>241</v>
      </c>
      <c r="D103" s="65">
        <f>IF(65.73616="","-",65.73616/1365113.41163*100)</f>
        <v>4.8154358048177401E-3</v>
      </c>
      <c r="E103" s="65">
        <f>IF(149.13327="","-",149.13327/1551105.23673*100)</f>
        <v>9.6146455100879491E-3</v>
      </c>
      <c r="F103" s="65">
        <f>IF(OR(1365645.29487="",72.00565="",65.73616=""),"-",(65.73616-72.00565)/1365645.29487*100)</f>
        <v>-4.5908626665731796E-4</v>
      </c>
      <c r="G103" s="65">
        <f>IF(OR(1365113.41163="",149.13327="",65.73616=""),"-",(149.13327-65.73616)/1365113.41163*100)</f>
        <v>6.1091708051143187E-3</v>
      </c>
    </row>
    <row r="104" spans="1:7" x14ac:dyDescent="0.25">
      <c r="A104" s="79" t="s">
        <v>111</v>
      </c>
      <c r="B104" s="65">
        <v>98.930499999999995</v>
      </c>
      <c r="C104" s="65">
        <f>IF(OR(255.61042="",98.9305=""),"-",98.9305/255.61042*100)</f>
        <v>38.70362561901819</v>
      </c>
      <c r="D104" s="65">
        <f>IF(255.61042="","-",255.61042/1365113.41163*100)</f>
        <v>1.8724482363321811E-2</v>
      </c>
      <c r="E104" s="65">
        <f>IF(98.9305="","-",98.9305/1551105.23673*100)</f>
        <v>6.3780649860071858E-3</v>
      </c>
      <c r="F104" s="65">
        <f>IF(OR(1365645.29487="",215.3527="",255.61042=""),"-",(255.61042-215.3527)/1365645.29487*100)</f>
        <v>2.9478899207009868E-3</v>
      </c>
      <c r="G104" s="65">
        <f>IF(OR(1365113.41163="",98.9305="",255.61042=""),"-",(98.9305-255.61042)/1365113.41163*100)</f>
        <v>-1.1477428810322647E-2</v>
      </c>
    </row>
    <row r="105" spans="1:7" x14ac:dyDescent="0.25">
      <c r="A105" s="79" t="s">
        <v>143</v>
      </c>
      <c r="B105" s="65">
        <v>78.653670000000005</v>
      </c>
      <c r="C105" s="65">
        <f>IF(OR(108.26423="",78.65367=""),"-",78.65367/108.26423*100)</f>
        <v>72.649729278081978</v>
      </c>
      <c r="D105" s="65">
        <f>IF(108.26423="","-",108.26423/1365113.41163*100)</f>
        <v>7.9307864883349267E-3</v>
      </c>
      <c r="E105" s="65">
        <f>IF(78.65367="","-",78.65367/1551105.23673*100)</f>
        <v>5.0708145480712601E-3</v>
      </c>
      <c r="F105" s="65">
        <f>IF(OR(1365645.29487="",1.79612="",108.26423=""),"-",(108.26423-1.79612)/1365645.29487*100)</f>
        <v>7.7961759470005733E-3</v>
      </c>
      <c r="G105" s="65">
        <f>IF(OR(1365113.41163="",78.65367="",108.26423=""),"-",(78.65367-108.26423)/1365113.41163*100)</f>
        <v>-2.1690915749368986E-3</v>
      </c>
    </row>
    <row r="106" spans="1:7" x14ac:dyDescent="0.25">
      <c r="A106" s="79" t="s">
        <v>220</v>
      </c>
      <c r="B106" s="65">
        <v>73.772970000000001</v>
      </c>
      <c r="C106" s="65" t="s">
        <v>288</v>
      </c>
      <c r="D106" s="65">
        <f>IF(1.96451="","-",1.96451/1365113.41163*100)</f>
        <v>1.4390818984440982E-4</v>
      </c>
      <c r="E106" s="65">
        <f>IF(73.77297="","-",73.77297/1551105.23673*100)</f>
        <v>4.7561550469345498E-3</v>
      </c>
      <c r="F106" s="65">
        <f>IF(OR(1365645.29487="",14.71951="",1.96451=""),"-",(1.96451-14.71951)/1365645.29487*100)</f>
        <v>-9.3399069640657932E-4</v>
      </c>
      <c r="G106" s="65">
        <f>IF(OR(1365113.41163="",73.77297="",1.96451=""),"-",(73.77297-1.96451)/1365113.41163*100)</f>
        <v>5.2602559895926762E-3</v>
      </c>
    </row>
    <row r="107" spans="1:7" x14ac:dyDescent="0.25">
      <c r="A107" s="79" t="s">
        <v>229</v>
      </c>
      <c r="B107" s="65">
        <v>52.425879999999999</v>
      </c>
      <c r="C107" s="65" t="s">
        <v>241</v>
      </c>
      <c r="D107" s="65">
        <f>IF(22.75062="","-",22.75062/1365113.41163*100)</f>
        <v>1.6665736199042139E-3</v>
      </c>
      <c r="E107" s="65">
        <f>IF(52.42588="","-",52.42588/1551105.23673*100)</f>
        <v>3.3799047774813063E-3</v>
      </c>
      <c r="F107" s="65">
        <f>IF(OR(1365645.29487="",42.7336="",22.75062=""),"-",(22.75062-42.7336)/1365645.29487*100)</f>
        <v>-1.4632628307705803E-3</v>
      </c>
      <c r="G107" s="65">
        <f>IF(OR(1365113.41163="",52.42588="",22.75062=""),"-",(52.42588-22.75062)/1365113.41163*100)</f>
        <v>2.1738311078906294E-3</v>
      </c>
    </row>
    <row r="108" spans="1:7" x14ac:dyDescent="0.25">
      <c r="A108" s="79" t="s">
        <v>267</v>
      </c>
      <c r="B108" s="65">
        <v>45.381309999999999</v>
      </c>
      <c r="C108" s="65" t="s">
        <v>289</v>
      </c>
      <c r="D108" s="65">
        <f>IF(1.15011="","-",1.15011/1365113.41163*100)</f>
        <v>8.4250142896678649E-5</v>
      </c>
      <c r="E108" s="65">
        <f>IF(45.38131="","-",45.38131/1551105.23673*100)</f>
        <v>2.9257402351159424E-3</v>
      </c>
      <c r="F108" s="65">
        <f>IF(OR(1365645.29487="",3.07116="",1.15011=""),"-",(1.15011-3.07116)/1365645.29487*100)</f>
        <v>-1.4066976302092195E-4</v>
      </c>
      <c r="G108" s="65">
        <f>IF(OR(1365113.41163="",45.38131="",1.15011=""),"-",(45.38131-1.15011)/1365113.41163*100)</f>
        <v>3.240111746260421E-3</v>
      </c>
    </row>
    <row r="109" spans="1:7" x14ac:dyDescent="0.25">
      <c r="A109" s="79" t="s">
        <v>152</v>
      </c>
      <c r="B109" s="65">
        <v>45.027700000000003</v>
      </c>
      <c r="C109" s="65">
        <f>IF(OR(36.19329="",45.0277=""),"-",45.0277/36.19329*100)</f>
        <v>124.40897193927385</v>
      </c>
      <c r="D109" s="65">
        <f>IF(36.19329="","-",36.19329/1365113.41163*100)</f>
        <v>2.6513027922554625E-3</v>
      </c>
      <c r="E109" s="65">
        <f>IF(45.0277="","-",45.0277/1551105.23673*100)</f>
        <v>2.9029429424741186E-3</v>
      </c>
      <c r="F109" s="65">
        <f>IF(OR(1365645.29487="",26.18755="",36.19329=""),"-",(36.19329-26.18755)/1365645.29487*100)</f>
        <v>7.3267487813901723E-4</v>
      </c>
      <c r="G109" s="65">
        <f>IF(OR(1365113.41163="",45.0277="",36.19329=""),"-",(45.0277-36.19329)/1365113.41163*100)</f>
        <v>6.4715575458681974E-4</v>
      </c>
    </row>
    <row r="110" spans="1:7" x14ac:dyDescent="0.25">
      <c r="A110" s="79" t="s">
        <v>140</v>
      </c>
      <c r="B110" s="65">
        <v>29.317920000000001</v>
      </c>
      <c r="C110" s="65">
        <f>IF(OR(23.00899="",29.31792=""),"-",29.31792/23.00899*100)</f>
        <v>127.41941302073667</v>
      </c>
      <c r="D110" s="65">
        <f>IF(23.00899="","-",23.00899/1365113.41163*100)</f>
        <v>1.6855002525047605E-3</v>
      </c>
      <c r="E110" s="65">
        <f>IF(29.31792="","-",29.31792/1551105.23673*100)</f>
        <v>1.890130940554832E-3</v>
      </c>
      <c r="F110" s="65">
        <f>IF(OR(1365645.29487="",10.12485="",23.00899=""),"-",(23.00899-10.12485)/1365645.29487*100)</f>
        <v>9.4344703184632433E-4</v>
      </c>
      <c r="G110" s="65">
        <f>IF(OR(1365113.41163="",29.31792="",23.00899=""),"-",(29.31792-23.00899)/1365113.41163*100)</f>
        <v>4.621542756998399E-4</v>
      </c>
    </row>
    <row r="111" spans="1:7" x14ac:dyDescent="0.25">
      <c r="A111" s="79" t="s">
        <v>138</v>
      </c>
      <c r="B111" s="65">
        <v>26.688199999999998</v>
      </c>
      <c r="C111" s="65">
        <f>IF(OR(387.25187="",26.6882=""),"-",26.6882/387.25187*100)</f>
        <v>6.8916904132703083</v>
      </c>
      <c r="D111" s="65">
        <f>IF(387.25187="","-",387.25187/1365113.41163*100)</f>
        <v>2.8367743419765085E-2</v>
      </c>
      <c r="E111" s="65">
        <f>IF(26.6882="","-",26.6882/1551105.23673*100)</f>
        <v>1.7205924761277559E-3</v>
      </c>
      <c r="F111" s="65">
        <f>IF(OR(1365645.29487="",33.36769="",387.25187=""),"-",(387.25187-33.36769)/1365645.29487*100)</f>
        <v>2.5913330593921702E-2</v>
      </c>
      <c r="G111" s="65">
        <f>IF(OR(1365113.41163="",26.6882="",387.25187=""),"-",(26.6882-387.25187)/1365113.41163*100)</f>
        <v>-2.6412726366044019E-2</v>
      </c>
    </row>
    <row r="112" spans="1:7" x14ac:dyDescent="0.25">
      <c r="A112" s="79" t="s">
        <v>268</v>
      </c>
      <c r="B112" s="65">
        <v>22.75001</v>
      </c>
      <c r="C112" s="65">
        <f>IF(OR(27.96997="",22.75001=""),"-",22.75001/27.96997*100)</f>
        <v>81.337269936292387</v>
      </c>
      <c r="D112" s="65">
        <f>IF(27.96997="","-",27.96997/1365113.41163*100)</f>
        <v>2.0489118165356486E-3</v>
      </c>
      <c r="E112" s="65">
        <f>IF(22.75001="","-",22.75001/1551105.23673*100)</f>
        <v>1.4666967437980535E-3</v>
      </c>
      <c r="F112" s="65">
        <f>IF(OR(1365645.29487="",18.64767="",27.96997=""),"-",(27.96997-18.64767)/1365645.29487*100)</f>
        <v>6.826296722156844E-4</v>
      </c>
      <c r="G112" s="65">
        <f>IF(OR(1365113.41163="",22.75001="",27.96997=""),"-",(22.75001-27.96997)/1365113.41163*100)</f>
        <v>-3.8238288156345631E-4</v>
      </c>
    </row>
    <row r="113" spans="1:7" x14ac:dyDescent="0.25">
      <c r="A113" s="79" t="s">
        <v>269</v>
      </c>
      <c r="B113" s="65">
        <v>21.38897</v>
      </c>
      <c r="C113" s="65">
        <f>IF(OR(24.18673="",21.38897=""),"-",21.38897/24.18673*100)</f>
        <v>88.432665349966697</v>
      </c>
      <c r="D113" s="65">
        <f>IF(24.18673="","-",24.18673/1365113.41163*100)</f>
        <v>1.7717744030600416E-3</v>
      </c>
      <c r="E113" s="65">
        <f>IF(21.38897="","-",21.38897/1551105.23673*100)</f>
        <v>1.3789502796787453E-3</v>
      </c>
      <c r="F113" s="65">
        <f>IF(OR(1365645.29487="",3.35901="",24.18673=""),"-",(24.18673-3.35901)/1365645.29487*100)</f>
        <v>1.525119302811544E-3</v>
      </c>
      <c r="G113" s="65">
        <f>IF(OR(1365113.41163="",21.38897="",24.18673=""),"-",(21.38897-24.18673)/1365113.41163*100)</f>
        <v>-2.0494707444558492E-4</v>
      </c>
    </row>
    <row r="114" spans="1:7" x14ac:dyDescent="0.25">
      <c r="A114" s="79" t="s">
        <v>270</v>
      </c>
      <c r="B114" s="65">
        <v>21.186440000000001</v>
      </c>
      <c r="C114" s="65" t="s">
        <v>236</v>
      </c>
      <c r="D114" s="65">
        <f>IF(3.96574="","-",3.96574/1365113.41163*100)</f>
        <v>2.9050626608852578E-4</v>
      </c>
      <c r="E114" s="65">
        <f>IF(21.18644="","-",21.18644/1551105.23673*100)</f>
        <v>1.3658931385380857E-3</v>
      </c>
      <c r="F114" s="65">
        <f>IF(OR(1365645.29487="",7.40006="",3.96574=""),"-",(3.96574-7.40006)/1365645.29487*100)</f>
        <v>-2.5147964943026611E-4</v>
      </c>
      <c r="G114" s="65">
        <f>IF(OR(1365113.41163="",21.18644="",3.96574=""),"-",(21.18644-3.96574)/1365113.41163*100)</f>
        <v>1.2614849325550026E-3</v>
      </c>
    </row>
    <row r="115" spans="1:7" x14ac:dyDescent="0.25">
      <c r="A115" s="81" t="s">
        <v>271</v>
      </c>
      <c r="B115" s="66">
        <v>20.586010000000002</v>
      </c>
      <c r="C115" s="66" t="s">
        <v>290</v>
      </c>
      <c r="D115" s="66">
        <f>IF(0.80216="","-",0.80216/1365113.41163*100)</f>
        <v>5.8761418147829108E-5</v>
      </c>
      <c r="E115" s="66">
        <f>IF(20.58601="","-",20.58601/1551105.23673*100)</f>
        <v>1.3271833214488331E-3</v>
      </c>
      <c r="F115" s="66">
        <f>IF(OR(1365645.29487="",1.04189="",0.80216=""),"-",(0.80216-1.04189)/1365645.29487*100)</f>
        <v>-1.755433866323397E-5</v>
      </c>
      <c r="G115" s="66">
        <f>IF(OR(1365113.41163="",20.58601="",0.80216=""),"-",(20.58601-0.80216)/1365113.41163*100)</f>
        <v>1.4492458891292625E-3</v>
      </c>
    </row>
    <row r="116" spans="1:7" x14ac:dyDescent="0.25">
      <c r="A116" s="81" t="s">
        <v>272</v>
      </c>
      <c r="B116" s="66">
        <v>17.44509</v>
      </c>
      <c r="C116" s="66">
        <f>IF(OR(34.01748="",17.44509=""),"-",17.44509/34.01748*100)</f>
        <v>51.282722882471013</v>
      </c>
      <c r="D116" s="66">
        <f>IF(34.01748="","-",34.01748/1365113.41163*100)</f>
        <v>2.4919160349748354E-3</v>
      </c>
      <c r="E116" s="66">
        <f>IF(17.44509="","-",17.44509/1551105.23673*100)</f>
        <v>1.1246877121488732E-3</v>
      </c>
      <c r="F116" s="66">
        <f>IF(OR(1365645.29487="",14.35554="",34.01748=""),"-",(34.01748-14.35554)/1365645.29487*100)</f>
        <v>1.4397545302473056E-3</v>
      </c>
      <c r="G116" s="66">
        <f>IF(OR(1365113.41163="",17.44509="",34.01748=""),"-",(17.44509-34.01748)/1365113.41163*100)</f>
        <v>-1.2139936402948311E-3</v>
      </c>
    </row>
    <row r="117" spans="1:7" x14ac:dyDescent="0.25">
      <c r="A117" s="80" t="s">
        <v>273</v>
      </c>
      <c r="B117" s="67">
        <v>14.85225</v>
      </c>
      <c r="C117" s="67" t="s">
        <v>241</v>
      </c>
      <c r="D117" s="67">
        <f>IF(6.37438="","-",6.37438/1365113.41163*100)</f>
        <v>4.6694874914376055E-4</v>
      </c>
      <c r="E117" s="67">
        <f>IF(14.85225="","-",14.85225/1551105.23673*100)</f>
        <v>9.5752690715628877E-4</v>
      </c>
      <c r="F117" s="67">
        <f>IF(OR(1365645.29487="",4.25848="",6.37438=""),"-",(6.37438-4.25848)/1365645.29487*100)</f>
        <v>1.549377432008375E-4</v>
      </c>
      <c r="G117" s="67">
        <f>IF(OR(1365113.41163="",14.85225="",6.37438=""),"-",(14.85225-6.37438)/1365113.41163*100)</f>
        <v>6.2103777809032607E-4</v>
      </c>
    </row>
    <row r="118" spans="1:7" x14ac:dyDescent="0.25">
      <c r="A118" s="33" t="s">
        <v>385</v>
      </c>
      <c r="B118" s="9"/>
      <c r="C118" s="9"/>
      <c r="D118" s="9"/>
      <c r="E118" s="9"/>
    </row>
    <row r="119" spans="1:7" x14ac:dyDescent="0.25">
      <c r="A119" s="136" t="s">
        <v>391</v>
      </c>
      <c r="B119" s="136"/>
      <c r="C119" s="136"/>
      <c r="D119" s="136"/>
      <c r="E119" s="136"/>
    </row>
  </sheetData>
  <mergeCells count="10">
    <mergeCell ref="A119:E119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37"/>
  <sheetViews>
    <sheetView topLeftCell="A37" workbookViewId="0">
      <selection activeCell="I53" sqref="I53:I54"/>
    </sheetView>
  </sheetViews>
  <sheetFormatPr defaultRowHeight="15.75" x14ac:dyDescent="0.25"/>
  <cols>
    <col min="1" max="1" width="43.875" customWidth="1"/>
    <col min="2" max="2" width="15" customWidth="1"/>
    <col min="3" max="3" width="14.5" customWidth="1"/>
    <col min="4" max="4" width="16.5" customWidth="1"/>
  </cols>
  <sheetData>
    <row r="1" spans="1:5" x14ac:dyDescent="0.25">
      <c r="A1" s="115" t="s">
        <v>148</v>
      </c>
      <c r="B1" s="115"/>
      <c r="C1" s="115"/>
      <c r="D1" s="115"/>
    </row>
    <row r="2" spans="1:5" x14ac:dyDescent="0.25">
      <c r="A2" s="4"/>
    </row>
    <row r="3" spans="1:5" ht="28.5" customHeight="1" x14ac:dyDescent="0.25">
      <c r="A3" s="116"/>
      <c r="B3" s="120" t="s">
        <v>257</v>
      </c>
      <c r="C3" s="121"/>
      <c r="D3" s="118" t="s">
        <v>258</v>
      </c>
      <c r="E3" s="1"/>
    </row>
    <row r="4" spans="1:5" ht="27" customHeight="1" x14ac:dyDescent="0.25">
      <c r="A4" s="117"/>
      <c r="B4" s="21">
        <v>2020</v>
      </c>
      <c r="C4" s="20">
        <v>2021</v>
      </c>
      <c r="D4" s="119"/>
      <c r="E4" s="1"/>
    </row>
    <row r="5" spans="1:5" ht="16.5" customHeight="1" x14ac:dyDescent="0.25">
      <c r="A5" s="95" t="s">
        <v>230</v>
      </c>
      <c r="B5" s="63">
        <v>-690086.21834000002</v>
      </c>
      <c r="C5" s="63">
        <v>-838389.75879999995</v>
      </c>
      <c r="D5" s="63">
        <f>IF(-690086.21834="","-",-838389.7588/-690086.21834*100)</f>
        <v>121.49058139673382</v>
      </c>
    </row>
    <row r="6" spans="1:5" x14ac:dyDescent="0.25">
      <c r="A6" s="96" t="s">
        <v>141</v>
      </c>
      <c r="B6" s="34"/>
      <c r="C6" s="34"/>
      <c r="D6" s="51"/>
    </row>
    <row r="7" spans="1:5" x14ac:dyDescent="0.25">
      <c r="A7" s="78" t="s">
        <v>232</v>
      </c>
      <c r="B7" s="64">
        <v>-199908.18221</v>
      </c>
      <c r="C7" s="64">
        <v>-292217.37381999998</v>
      </c>
      <c r="D7" s="64">
        <f>IF(-199908.18221="","-",-292217.37382/-199908.18221*100)</f>
        <v>146.17579460205928</v>
      </c>
    </row>
    <row r="8" spans="1:5" x14ac:dyDescent="0.25">
      <c r="A8" s="79" t="s">
        <v>3</v>
      </c>
      <c r="B8" s="65">
        <v>-20340.99986</v>
      </c>
      <c r="C8" s="65">
        <v>-61069.203430000001</v>
      </c>
      <c r="D8" s="65" t="s">
        <v>277</v>
      </c>
    </row>
    <row r="9" spans="1:5" x14ac:dyDescent="0.25">
      <c r="A9" s="79" t="s">
        <v>4</v>
      </c>
      <c r="B9" s="65">
        <v>-51098.990010000001</v>
      </c>
      <c r="C9" s="65">
        <v>-59744.632089999999</v>
      </c>
      <c r="D9" s="65">
        <f>IF(OR(-51098.99001="",-59744.63209="",-51098.99001=0),"-",-59744.63209/-51098.99001*100)</f>
        <v>116.91939914723962</v>
      </c>
    </row>
    <row r="10" spans="1:5" x14ac:dyDescent="0.25">
      <c r="A10" s="79" t="s">
        <v>123</v>
      </c>
      <c r="B10" s="65">
        <v>-29742.682649999999</v>
      </c>
      <c r="C10" s="65">
        <v>-40059.272219999999</v>
      </c>
      <c r="D10" s="65">
        <f>IF(OR(-29742.68265="",-40059.27222="",-29742.68265=0),"-",-40059.27222/-29742.68265*100)</f>
        <v>134.6861434504799</v>
      </c>
    </row>
    <row r="11" spans="1:5" x14ac:dyDescent="0.25">
      <c r="A11" s="79" t="s">
        <v>5</v>
      </c>
      <c r="B11" s="65">
        <v>-23727.51714</v>
      </c>
      <c r="C11" s="65">
        <v>-32291.140650000001</v>
      </c>
      <c r="D11" s="65">
        <f>IF(OR(-23727.51714="",-32291.14065="",-23727.51714=0),"-",-32291.14065/-23727.51714*100)</f>
        <v>136.09152807464793</v>
      </c>
    </row>
    <row r="12" spans="1:5" x14ac:dyDescent="0.25">
      <c r="A12" s="79" t="s">
        <v>42</v>
      </c>
      <c r="B12" s="65">
        <v>-27951.569680000001</v>
      </c>
      <c r="C12" s="65">
        <v>-22378.45421</v>
      </c>
      <c r="D12" s="65">
        <f>IF(OR(-27951.56968="",-22378.45421="",-27951.56968=0),"-",-22378.45421/-27951.56968*100)</f>
        <v>80.061529517651039</v>
      </c>
    </row>
    <row r="13" spans="1:5" x14ac:dyDescent="0.25">
      <c r="A13" s="79" t="s">
        <v>8</v>
      </c>
      <c r="B13" s="65">
        <v>-10166.007589999999</v>
      </c>
      <c r="C13" s="65">
        <v>-16003.45161</v>
      </c>
      <c r="D13" s="65" t="s">
        <v>104</v>
      </c>
    </row>
    <row r="14" spans="1:5" x14ac:dyDescent="0.25">
      <c r="A14" s="79" t="s">
        <v>40</v>
      </c>
      <c r="B14" s="65">
        <v>-10892.74547</v>
      </c>
      <c r="C14" s="65">
        <v>-7530.90643</v>
      </c>
      <c r="D14" s="65">
        <f>IF(OR(-10892.74547="",-7530.90643="",-10892.74547=0),"-",-7530.90643/-10892.74547*100)</f>
        <v>69.136898964003791</v>
      </c>
    </row>
    <row r="15" spans="1:5" x14ac:dyDescent="0.25">
      <c r="A15" s="79" t="s">
        <v>52</v>
      </c>
      <c r="B15" s="65">
        <v>-6992.0128100000002</v>
      </c>
      <c r="C15" s="65">
        <v>-7234.3444399999998</v>
      </c>
      <c r="D15" s="65">
        <f>IF(OR(-6992.01281="",-7234.34444="",-6992.01281=0),"-",-7234.34444/-6992.01281*100)</f>
        <v>103.46583504042522</v>
      </c>
    </row>
    <row r="16" spans="1:5" x14ac:dyDescent="0.25">
      <c r="A16" s="79" t="s">
        <v>2</v>
      </c>
      <c r="B16" s="65">
        <v>697.03372999999999</v>
      </c>
      <c r="C16" s="65">
        <v>-6328.0308299999997</v>
      </c>
      <c r="D16" s="65" t="s">
        <v>22</v>
      </c>
    </row>
    <row r="17" spans="1:4" x14ac:dyDescent="0.25">
      <c r="A17" s="79" t="s">
        <v>7</v>
      </c>
      <c r="B17" s="65">
        <v>426.24659000000003</v>
      </c>
      <c r="C17" s="65">
        <v>-6268.0144499999997</v>
      </c>
      <c r="D17" s="65" t="s">
        <v>22</v>
      </c>
    </row>
    <row r="18" spans="1:4" x14ac:dyDescent="0.25">
      <c r="A18" s="79" t="s">
        <v>10</v>
      </c>
      <c r="B18" s="65">
        <v>-4923.9662500000004</v>
      </c>
      <c r="C18" s="65">
        <v>-6264.8511900000003</v>
      </c>
      <c r="D18" s="65">
        <f>IF(OR(-4923.96625="",-6264.85119="",-4923.96625=0),"-",-6264.85119/-4923.96625*100)</f>
        <v>127.23180606690794</v>
      </c>
    </row>
    <row r="19" spans="1:4" x14ac:dyDescent="0.25">
      <c r="A19" s="79" t="s">
        <v>50</v>
      </c>
      <c r="B19" s="65">
        <v>-5081.4904399999996</v>
      </c>
      <c r="C19" s="65">
        <v>-5988.1300099999999</v>
      </c>
      <c r="D19" s="65">
        <f>IF(OR(-5081.49044="",-5988.13001="",-5081.49044=0),"-",-5988.13001/-5081.49044*100)</f>
        <v>117.84200089924799</v>
      </c>
    </row>
    <row r="20" spans="1:4" x14ac:dyDescent="0.25">
      <c r="A20" s="79" t="s">
        <v>41</v>
      </c>
      <c r="B20" s="65">
        <v>-5985.6812499999996</v>
      </c>
      <c r="C20" s="65">
        <v>-5517.01998</v>
      </c>
      <c r="D20" s="65">
        <f>IF(OR(-5985.68125="",-5517.01998="",-5985.68125=0),"-",-5517.01998/-5985.68125*100)</f>
        <v>92.170293565164371</v>
      </c>
    </row>
    <row r="21" spans="1:4" x14ac:dyDescent="0.25">
      <c r="A21" s="79" t="s">
        <v>6</v>
      </c>
      <c r="B21" s="65">
        <v>-1366.03547</v>
      </c>
      <c r="C21" s="65">
        <v>-3876.5322000000001</v>
      </c>
      <c r="D21" s="65" t="s">
        <v>366</v>
      </c>
    </row>
    <row r="22" spans="1:4" x14ac:dyDescent="0.25">
      <c r="A22" s="79" t="s">
        <v>44</v>
      </c>
      <c r="B22" s="65">
        <v>-3195.6089499999998</v>
      </c>
      <c r="C22" s="65">
        <v>-3777.3602999999998</v>
      </c>
      <c r="D22" s="65">
        <f>IF(OR(-3195.60895="",-3777.3603="",-3195.60895=0),"-",-3777.3603/-3195.60895*100)</f>
        <v>118.20471024779174</v>
      </c>
    </row>
    <row r="23" spans="1:4" x14ac:dyDescent="0.25">
      <c r="A23" s="79" t="s">
        <v>48</v>
      </c>
      <c r="B23" s="65">
        <v>-2636.8931200000002</v>
      </c>
      <c r="C23" s="65">
        <v>-2968.2408099999998</v>
      </c>
      <c r="D23" s="65">
        <f>IF(OR(-2636.89312="",-2968.24081="",-2636.89312=0),"-",-2968.24081/-2636.89312*100)</f>
        <v>112.5658369498116</v>
      </c>
    </row>
    <row r="24" spans="1:4" x14ac:dyDescent="0.25">
      <c r="A24" s="79" t="s">
        <v>49</v>
      </c>
      <c r="B24" s="65">
        <v>-2442.9118199999998</v>
      </c>
      <c r="C24" s="65">
        <v>-2344.4677099999999</v>
      </c>
      <c r="D24" s="65">
        <f>IF(OR(-2442.91182="",-2344.46771="",-2442.91182=0),"-",-2344.46771/-2442.91182*100)</f>
        <v>95.970214348547387</v>
      </c>
    </row>
    <row r="25" spans="1:4" x14ac:dyDescent="0.25">
      <c r="A25" s="79" t="s">
        <v>45</v>
      </c>
      <c r="B25" s="65">
        <v>-1795.6114600000001</v>
      </c>
      <c r="C25" s="65">
        <v>-2063.99341</v>
      </c>
      <c r="D25" s="65">
        <f>IF(OR(-1795.61146="",-2063.99341="",-1795.61146=0),"-",-2063.99341/-1795.61146*100)</f>
        <v>114.94654918275025</v>
      </c>
    </row>
    <row r="26" spans="1:4" x14ac:dyDescent="0.25">
      <c r="A26" s="79" t="s">
        <v>53</v>
      </c>
      <c r="B26" s="65">
        <v>-2305.7684100000001</v>
      </c>
      <c r="C26" s="65">
        <v>-1757.54945</v>
      </c>
      <c r="D26" s="65">
        <f>IF(OR(-2305.76841="",-1757.54945="",-2305.76841=0),"-",-1757.54945/-2305.76841*100)</f>
        <v>76.224023296424633</v>
      </c>
    </row>
    <row r="27" spans="1:4" x14ac:dyDescent="0.25">
      <c r="A27" s="79" t="s">
        <v>124</v>
      </c>
      <c r="B27" s="65">
        <v>-1167.3845200000001</v>
      </c>
      <c r="C27" s="65">
        <v>-1640.49855</v>
      </c>
      <c r="D27" s="65">
        <f>IF(OR(-1167.38452="",-1640.49855="",-1167.38452=0),"-",-1640.49855/-1167.38452*100)</f>
        <v>140.52769433673834</v>
      </c>
    </row>
    <row r="28" spans="1:4" x14ac:dyDescent="0.25">
      <c r="A28" s="79" t="s">
        <v>54</v>
      </c>
      <c r="B28" s="65">
        <v>-230.51236</v>
      </c>
      <c r="C28" s="65">
        <v>-946.95546000000002</v>
      </c>
      <c r="D28" s="65" t="s">
        <v>242</v>
      </c>
    </row>
    <row r="29" spans="1:4" x14ac:dyDescent="0.25">
      <c r="A29" s="79" t="s">
        <v>46</v>
      </c>
      <c r="B29" s="65">
        <v>903.47969000000001</v>
      </c>
      <c r="C29" s="65">
        <v>-667.58493999999996</v>
      </c>
      <c r="D29" s="65" t="s">
        <v>22</v>
      </c>
    </row>
    <row r="30" spans="1:4" x14ac:dyDescent="0.25">
      <c r="A30" s="79" t="s">
        <v>43</v>
      </c>
      <c r="B30" s="65">
        <v>-1782.4887900000001</v>
      </c>
      <c r="C30" s="65">
        <v>-604.40089</v>
      </c>
      <c r="D30" s="65">
        <f>IF(OR(-1782.48879="",-604.40089="",-1782.48879=0),"-",-604.40089/-1782.48879*100)</f>
        <v>33.907696552750828</v>
      </c>
    </row>
    <row r="31" spans="1:4" x14ac:dyDescent="0.25">
      <c r="A31" s="79" t="s">
        <v>55</v>
      </c>
      <c r="B31" s="65">
        <v>1.29576</v>
      </c>
      <c r="C31" s="65">
        <v>-33.55809</v>
      </c>
      <c r="D31" s="65" t="s">
        <v>22</v>
      </c>
    </row>
    <row r="32" spans="1:4" x14ac:dyDescent="0.25">
      <c r="A32" s="79" t="s">
        <v>265</v>
      </c>
      <c r="B32" s="65" t="s">
        <v>225</v>
      </c>
      <c r="C32" s="65">
        <v>-6.6932799999999997</v>
      </c>
      <c r="D32" s="65" t="str">
        <f>IF(OR(0="",-6.69328="",0=0),"-",-6.69328/0*100)</f>
        <v>-</v>
      </c>
    </row>
    <row r="33" spans="1:4" x14ac:dyDescent="0.25">
      <c r="A33" s="79" t="s">
        <v>47</v>
      </c>
      <c r="B33" s="65">
        <v>6359.9150399999999</v>
      </c>
      <c r="C33" s="65">
        <v>1124.46199</v>
      </c>
      <c r="D33" s="65">
        <f>IF(OR(6359.91504="",1124.46199="",6359.91504=0),"-",1124.46199/6359.91504*100)</f>
        <v>17.680456152760179</v>
      </c>
    </row>
    <row r="34" spans="1:4" x14ac:dyDescent="0.25">
      <c r="A34" s="79" t="s">
        <v>51</v>
      </c>
      <c r="B34" s="65">
        <v>-414.16073</v>
      </c>
      <c r="C34" s="65">
        <v>1905.2349200000001</v>
      </c>
      <c r="D34" s="65" t="s">
        <v>22</v>
      </c>
    </row>
    <row r="35" spans="1:4" x14ac:dyDescent="0.25">
      <c r="A35" s="79" t="s">
        <v>9</v>
      </c>
      <c r="B35" s="65">
        <v>5944.8857600000001</v>
      </c>
      <c r="C35" s="65">
        <v>2118.2159000000001</v>
      </c>
      <c r="D35" s="65">
        <f>IF(OR(5944.88576="",2118.2159="",5944.88576=0),"-",2118.2159/5944.88576*100)</f>
        <v>35.630893267156743</v>
      </c>
    </row>
    <row r="36" spans="1:4" x14ac:dyDescent="0.25">
      <c r="A36" s="78" t="s">
        <v>156</v>
      </c>
      <c r="B36" s="64">
        <v>-246397.15655000001</v>
      </c>
      <c r="C36" s="64">
        <v>-248652.57548</v>
      </c>
      <c r="D36" s="64">
        <f>IF(-246397.15655="","-",-248652.57548/-246397.15655*100)</f>
        <v>100.91535915494315</v>
      </c>
    </row>
    <row r="37" spans="1:4" x14ac:dyDescent="0.25">
      <c r="A37" s="79" t="s">
        <v>125</v>
      </c>
      <c r="B37" s="65">
        <v>-134680.17556999999</v>
      </c>
      <c r="C37" s="65">
        <v>-129602.62088</v>
      </c>
      <c r="D37" s="65">
        <f>IF(OR(-134680.17557="",-129602.62088="",-134680.17557=0),"-",-129602.62088/-134680.17557*100)</f>
        <v>96.229916787299601</v>
      </c>
    </row>
    <row r="38" spans="1:4" x14ac:dyDescent="0.25">
      <c r="A38" s="79" t="s">
        <v>12</v>
      </c>
      <c r="B38" s="65">
        <v>-101466.07312</v>
      </c>
      <c r="C38" s="65">
        <v>-106443.19781</v>
      </c>
      <c r="D38" s="65">
        <f>IF(OR(-101466.07312="",-106443.19781="",-101466.07312=0),"-",-106443.19781/-101466.07312*100)</f>
        <v>104.90521071423917</v>
      </c>
    </row>
    <row r="39" spans="1:4" x14ac:dyDescent="0.25">
      <c r="A39" s="79" t="s">
        <v>11</v>
      </c>
      <c r="B39" s="65">
        <v>-6258.0724</v>
      </c>
      <c r="C39" s="65">
        <v>-12430.085779999999</v>
      </c>
      <c r="D39" s="65" t="s">
        <v>20</v>
      </c>
    </row>
    <row r="40" spans="1:4" x14ac:dyDescent="0.25">
      <c r="A40" s="79" t="s">
        <v>15</v>
      </c>
      <c r="B40" s="65">
        <v>-1296.8722299999999</v>
      </c>
      <c r="C40" s="65">
        <v>-1022.31543</v>
      </c>
      <c r="D40" s="65">
        <f>IF(OR(-1296.87223="",-1022.31543="",-1296.87223=0),"-",-1022.31543/-1296.87223*100)</f>
        <v>78.829309962169532</v>
      </c>
    </row>
    <row r="41" spans="1:4" x14ac:dyDescent="0.25">
      <c r="A41" s="79" t="s">
        <v>17</v>
      </c>
      <c r="B41" s="65">
        <v>100.39127000000001</v>
      </c>
      <c r="C41" s="65">
        <v>-164.41455999999999</v>
      </c>
      <c r="D41" s="65" t="s">
        <v>22</v>
      </c>
    </row>
    <row r="42" spans="1:4" x14ac:dyDescent="0.25">
      <c r="A42" s="79" t="s">
        <v>13</v>
      </c>
      <c r="B42" s="65">
        <v>153.36876000000001</v>
      </c>
      <c r="C42" s="65">
        <v>-133.78249</v>
      </c>
      <c r="D42" s="65" t="s">
        <v>22</v>
      </c>
    </row>
    <row r="43" spans="1:4" x14ac:dyDescent="0.25">
      <c r="A43" s="79" t="s">
        <v>18</v>
      </c>
      <c r="B43" s="65">
        <v>110.83798</v>
      </c>
      <c r="C43" s="65">
        <v>100.89218</v>
      </c>
      <c r="D43" s="65">
        <f>IF(OR(110.83798="",100.89218="",110.83798=0),"-",100.89218/110.83798*100)</f>
        <v>91.026722067652258</v>
      </c>
    </row>
    <row r="44" spans="1:4" x14ac:dyDescent="0.25">
      <c r="A44" s="79" t="s">
        <v>126</v>
      </c>
      <c r="B44" s="65">
        <v>174.47346999999999</v>
      </c>
      <c r="C44" s="65">
        <v>226.69461000000001</v>
      </c>
      <c r="D44" s="65">
        <f>IF(OR(174.47347="",226.69461="",174.47347=0),"-",226.69461/174.47347*100)</f>
        <v>129.93070522412378</v>
      </c>
    </row>
    <row r="45" spans="1:4" x14ac:dyDescent="0.25">
      <c r="A45" s="79" t="s">
        <v>16</v>
      </c>
      <c r="B45" s="65">
        <v>-1260.74422</v>
      </c>
      <c r="C45" s="65">
        <v>249.57413</v>
      </c>
      <c r="D45" s="65" t="s">
        <v>22</v>
      </c>
    </row>
    <row r="46" spans="1:4" x14ac:dyDescent="0.25">
      <c r="A46" s="79" t="s">
        <v>14</v>
      </c>
      <c r="B46" s="65">
        <v>-1974.2904900000001</v>
      </c>
      <c r="C46" s="65">
        <v>566.68055000000004</v>
      </c>
      <c r="D46" s="65" t="s">
        <v>22</v>
      </c>
    </row>
    <row r="47" spans="1:4" x14ac:dyDescent="0.25">
      <c r="A47" s="97" t="s">
        <v>157</v>
      </c>
      <c r="B47" s="64">
        <v>-243780.87958000001</v>
      </c>
      <c r="C47" s="64">
        <v>-297519.80949999997</v>
      </c>
      <c r="D47" s="64">
        <f>IF(-243780.87958="","-",-297519.8095/-243780.87958*100)</f>
        <v>122.04394783240775</v>
      </c>
    </row>
    <row r="48" spans="1:4" x14ac:dyDescent="0.25">
      <c r="A48" s="98" t="s">
        <v>59</v>
      </c>
      <c r="B48" s="65">
        <v>-133954.98131999999</v>
      </c>
      <c r="C48" s="65">
        <v>-179734.07185000001</v>
      </c>
      <c r="D48" s="65">
        <f>IF(OR(-133954.98132="",-179734.07185="",-133954.98132=0),"-",-179734.07185/-133954.98132*100)</f>
        <v>134.17498183262038</v>
      </c>
    </row>
    <row r="49" spans="1:5" x14ac:dyDescent="0.25">
      <c r="A49" s="96" t="s">
        <v>56</v>
      </c>
      <c r="B49" s="89">
        <v>-53632.760150000002</v>
      </c>
      <c r="C49" s="65">
        <v>-46924.044479999997</v>
      </c>
      <c r="D49" s="65">
        <f>IF(OR(-53632.76015="",-46924.04448="",-53632.76015=0),"-",-46924.04448/-53632.76015*100)</f>
        <v>87.491384647672277</v>
      </c>
    </row>
    <row r="50" spans="1:5" x14ac:dyDescent="0.25">
      <c r="A50" s="96" t="s">
        <v>19</v>
      </c>
      <c r="B50" s="89">
        <v>-11798.15274</v>
      </c>
      <c r="C50" s="65">
        <v>-17462.15191</v>
      </c>
      <c r="D50" s="65">
        <f>IF(OR(-11798.15274="",-17462.15191="",-11798.15274=0),"-",-17462.15191/-11798.15274*100)</f>
        <v>148.00750841949178</v>
      </c>
    </row>
    <row r="51" spans="1:5" x14ac:dyDescent="0.25">
      <c r="A51" s="98" t="s">
        <v>76</v>
      </c>
      <c r="B51" s="65">
        <v>-12346.239439999999</v>
      </c>
      <c r="C51" s="65">
        <v>-14083.72371</v>
      </c>
      <c r="D51" s="65">
        <f>IF(OR(-12346.23944="",-14083.72371="",-12346.23944=0),"-",-14083.72371/-12346.23944*100)</f>
        <v>114.07298374896899</v>
      </c>
    </row>
    <row r="52" spans="1:5" x14ac:dyDescent="0.25">
      <c r="A52" s="96" t="s">
        <v>72</v>
      </c>
      <c r="B52" s="89">
        <v>-6421.3395799999998</v>
      </c>
      <c r="C52" s="65">
        <v>-12370.59103</v>
      </c>
      <c r="D52" s="65">
        <f>IF(OR(-6421.33958="",-12370.59103="",-6421.33958=0),"-",-12370.59103/-6421.33958*100)</f>
        <v>192.64813635661983</v>
      </c>
    </row>
    <row r="53" spans="1:5" x14ac:dyDescent="0.25">
      <c r="A53" s="98" t="s">
        <v>69</v>
      </c>
      <c r="B53" s="65">
        <v>-9956.4418499999992</v>
      </c>
      <c r="C53" s="65">
        <v>-11351.57877</v>
      </c>
      <c r="D53" s="65">
        <f>IF(OR(-9956.44185="",-11351.57877="",-9956.44185=0),"-",-11351.57877/-9956.44185*100)</f>
        <v>114.01240464232714</v>
      </c>
    </row>
    <row r="54" spans="1:5" x14ac:dyDescent="0.25">
      <c r="A54" s="98" t="s">
        <v>36</v>
      </c>
      <c r="B54" s="65">
        <v>-8319.2532100000008</v>
      </c>
      <c r="C54" s="65">
        <v>-9312.2160000000003</v>
      </c>
      <c r="D54" s="65">
        <f>IF(OR(-8319.25321="",-9312.216="",-8319.25321=0),"-",-9312.216/-8319.25321*100)</f>
        <v>111.93572024958233</v>
      </c>
    </row>
    <row r="55" spans="1:5" x14ac:dyDescent="0.25">
      <c r="A55" s="98" t="s">
        <v>79</v>
      </c>
      <c r="B55" s="65">
        <v>-5586.2838400000001</v>
      </c>
      <c r="C55" s="65">
        <v>-6219.4498100000001</v>
      </c>
      <c r="D55" s="65">
        <f>IF(OR(-5586.28384="",-6219.44981="",-5586.28384=0),"-",-6219.44981/-5586.28384*100)</f>
        <v>111.33429643274266</v>
      </c>
    </row>
    <row r="56" spans="1:5" x14ac:dyDescent="0.25">
      <c r="A56" s="96" t="s">
        <v>66</v>
      </c>
      <c r="B56" s="89">
        <v>-6100.5973400000003</v>
      </c>
      <c r="C56" s="65">
        <v>-4676.4982399999999</v>
      </c>
      <c r="D56" s="65">
        <f>IF(OR(-6100.59734="",-4676.49824="",-6100.59734=0),"-",-4676.49824/-6100.59734*100)</f>
        <v>76.65639902731229</v>
      </c>
    </row>
    <row r="57" spans="1:5" x14ac:dyDescent="0.25">
      <c r="A57" s="96" t="s">
        <v>70</v>
      </c>
      <c r="B57" s="89">
        <v>-3351.71225</v>
      </c>
      <c r="C57" s="65">
        <v>-4451.8037100000001</v>
      </c>
      <c r="D57" s="65">
        <f>IF(OR(-3351.71225="",-4451.80371="",-3351.71225=0),"-",-4451.80371/-3351.71225*100)</f>
        <v>132.82177519863168</v>
      </c>
    </row>
    <row r="58" spans="1:5" x14ac:dyDescent="0.25">
      <c r="A58" s="96" t="s">
        <v>61</v>
      </c>
      <c r="B58" s="89">
        <v>-537.32776999999999</v>
      </c>
      <c r="C58" s="65">
        <v>-3556.7180699999999</v>
      </c>
      <c r="D58" s="65" t="s">
        <v>378</v>
      </c>
    </row>
    <row r="59" spans="1:5" x14ac:dyDescent="0.25">
      <c r="A59" s="96" t="s">
        <v>82</v>
      </c>
      <c r="B59" s="89">
        <v>-1776.65326</v>
      </c>
      <c r="C59" s="65">
        <v>-2891.3030100000001</v>
      </c>
      <c r="D59" s="65" t="s">
        <v>104</v>
      </c>
    </row>
    <row r="60" spans="1:5" x14ac:dyDescent="0.25">
      <c r="A60" s="96" t="s">
        <v>78</v>
      </c>
      <c r="B60" s="89">
        <v>-2445.5815699999998</v>
      </c>
      <c r="C60" s="65">
        <v>-2872.1369300000001</v>
      </c>
      <c r="D60" s="65">
        <f>IF(OR(-2445.58157="",-2872.13693="",-2445.58157=0),"-",-2872.13693/-2445.58157*100)</f>
        <v>117.44187825229646</v>
      </c>
    </row>
    <row r="61" spans="1:5" x14ac:dyDescent="0.25">
      <c r="A61" s="96" t="s">
        <v>74</v>
      </c>
      <c r="B61" s="89">
        <v>-2399.9019800000001</v>
      </c>
      <c r="C61" s="65">
        <v>-2761.4743199999998</v>
      </c>
      <c r="D61" s="65">
        <f>IF(OR(-2399.90198="",-2761.47432="",-2399.90198=0),"-",-2761.47432/-2399.90198*100)</f>
        <v>115.06612949250534</v>
      </c>
      <c r="E61" s="1"/>
    </row>
    <row r="62" spans="1:5" x14ac:dyDescent="0.25">
      <c r="A62" s="98" t="s">
        <v>71</v>
      </c>
      <c r="B62" s="65">
        <v>-2609.9243499999998</v>
      </c>
      <c r="C62" s="65">
        <v>-2665.78595</v>
      </c>
      <c r="D62" s="65">
        <f>IF(OR(-2609.92435="",-2665.78595="",-2609.92435=0),"-",-2665.78595/-2609.92435*100)</f>
        <v>102.14035322518065</v>
      </c>
    </row>
    <row r="63" spans="1:5" x14ac:dyDescent="0.25">
      <c r="A63" s="98" t="s">
        <v>65</v>
      </c>
      <c r="B63" s="65">
        <v>2687.0375800000002</v>
      </c>
      <c r="C63" s="65">
        <v>-1951.9896200000001</v>
      </c>
      <c r="D63" s="65" t="s">
        <v>22</v>
      </c>
    </row>
    <row r="64" spans="1:5" x14ac:dyDescent="0.25">
      <c r="A64" s="96" t="s">
        <v>85</v>
      </c>
      <c r="B64" s="89">
        <v>-927.20439999999996</v>
      </c>
      <c r="C64" s="65">
        <v>-1847.10247</v>
      </c>
      <c r="D64" s="65" t="s">
        <v>20</v>
      </c>
    </row>
    <row r="65" spans="1:5" x14ac:dyDescent="0.25">
      <c r="A65" s="98" t="s">
        <v>88</v>
      </c>
      <c r="B65" s="65">
        <v>-750.49030000000005</v>
      </c>
      <c r="C65" s="65">
        <v>-1703.15877</v>
      </c>
      <c r="D65" s="65" t="s">
        <v>241</v>
      </c>
    </row>
    <row r="66" spans="1:5" x14ac:dyDescent="0.25">
      <c r="A66" s="96" t="s">
        <v>84</v>
      </c>
      <c r="B66" s="89">
        <v>-1466.9585400000001</v>
      </c>
      <c r="C66" s="65">
        <v>-1602.18788</v>
      </c>
      <c r="D66" s="65">
        <f>IF(OR(-1466.95854="",-1602.18788="",-1466.95854=0),"-",-1602.18788/-1466.95854*100)</f>
        <v>109.21834777961755</v>
      </c>
    </row>
    <row r="67" spans="1:5" x14ac:dyDescent="0.25">
      <c r="A67" s="98" t="s">
        <v>62</v>
      </c>
      <c r="B67" s="65">
        <v>-1437.8786600000001</v>
      </c>
      <c r="C67" s="65">
        <v>-1601.7331300000001</v>
      </c>
      <c r="D67" s="65">
        <f>IF(OR(-1437.87866="",-1601.73313="",-1437.87866=0),"-",-1601.73313/-1437.87866*100)</f>
        <v>111.39557005456915</v>
      </c>
    </row>
    <row r="68" spans="1:5" x14ac:dyDescent="0.25">
      <c r="A68" s="98" t="s">
        <v>83</v>
      </c>
      <c r="B68" s="65">
        <v>-2142.3208100000002</v>
      </c>
      <c r="C68" s="65">
        <v>-1599.4483299999999</v>
      </c>
      <c r="D68" s="65">
        <f>IF(OR(-2142.32081="",-1599.44833="",-2142.32081=0),"-",-1599.44833/-2142.32081*100)</f>
        <v>74.65960852053712</v>
      </c>
      <c r="E68" s="1"/>
    </row>
    <row r="69" spans="1:5" x14ac:dyDescent="0.25">
      <c r="A69" s="98" t="s">
        <v>139</v>
      </c>
      <c r="B69" s="65">
        <v>-537.39869999999996</v>
      </c>
      <c r="C69" s="65">
        <v>-1153.0920000000001</v>
      </c>
      <c r="D69" s="65" t="s">
        <v>95</v>
      </c>
    </row>
    <row r="70" spans="1:5" x14ac:dyDescent="0.25">
      <c r="A70" s="98" t="s">
        <v>80</v>
      </c>
      <c r="B70" s="65">
        <v>-1722.07421</v>
      </c>
      <c r="C70" s="65">
        <v>-1066.9251300000001</v>
      </c>
      <c r="D70" s="65">
        <f>IF(OR(-1722.07421="",-1066.92513="",-1722.07421=0),"-",-1066.92513/-1722.07421*100)</f>
        <v>61.955816062073197</v>
      </c>
    </row>
    <row r="71" spans="1:5" x14ac:dyDescent="0.25">
      <c r="A71" s="98" t="s">
        <v>93</v>
      </c>
      <c r="B71" s="65">
        <v>150.08100999999999</v>
      </c>
      <c r="C71" s="65">
        <v>-997.79290000000003</v>
      </c>
      <c r="D71" s="65" t="s">
        <v>22</v>
      </c>
    </row>
    <row r="72" spans="1:5" x14ac:dyDescent="0.25">
      <c r="A72" s="98" t="s">
        <v>75</v>
      </c>
      <c r="B72" s="65">
        <v>-1546.2834</v>
      </c>
      <c r="C72" s="65">
        <v>-896.81408999999996</v>
      </c>
      <c r="D72" s="65">
        <f>IF(OR(-1546.2834="",-896.81409="",-1546.2834=0),"-",-896.81409/-1546.2834*100)</f>
        <v>57.998041626780704</v>
      </c>
    </row>
    <row r="73" spans="1:5" x14ac:dyDescent="0.25">
      <c r="A73" s="98" t="s">
        <v>73</v>
      </c>
      <c r="B73" s="65">
        <v>-629.15503000000001</v>
      </c>
      <c r="C73" s="65">
        <v>-875.94870000000003</v>
      </c>
      <c r="D73" s="65">
        <f>IF(OR(-629.15503="",-875.9487="",-629.15503=0),"-",-875.9487/-629.15503*100)</f>
        <v>139.2262094765419</v>
      </c>
    </row>
    <row r="74" spans="1:5" x14ac:dyDescent="0.25">
      <c r="A74" s="98" t="s">
        <v>87</v>
      </c>
      <c r="B74" s="65">
        <v>169.10509999999999</v>
      </c>
      <c r="C74" s="65">
        <v>-854.63057000000003</v>
      </c>
      <c r="D74" s="65" t="s">
        <v>22</v>
      </c>
    </row>
    <row r="75" spans="1:5" x14ac:dyDescent="0.25">
      <c r="A75" s="96" t="s">
        <v>91</v>
      </c>
      <c r="B75" s="89">
        <v>-483.19758999999999</v>
      </c>
      <c r="C75" s="65">
        <v>-820.80002000000002</v>
      </c>
      <c r="D75" s="65" t="s">
        <v>103</v>
      </c>
    </row>
    <row r="76" spans="1:5" x14ac:dyDescent="0.25">
      <c r="A76" s="96" t="s">
        <v>86</v>
      </c>
      <c r="B76" s="89">
        <v>-1119.4984400000001</v>
      </c>
      <c r="C76" s="65">
        <v>-752.00969999999995</v>
      </c>
      <c r="D76" s="65">
        <f>IF(OR(-1119.49844="",-752.0097="",-1119.49844=0),"-",-752.0097/-1119.49844*100)</f>
        <v>67.173805083640843</v>
      </c>
      <c r="E76" s="12"/>
    </row>
    <row r="77" spans="1:5" x14ac:dyDescent="0.25">
      <c r="A77" s="98" t="s">
        <v>89</v>
      </c>
      <c r="B77" s="65">
        <v>-341.17768999999998</v>
      </c>
      <c r="C77" s="65">
        <v>-725.91858000000002</v>
      </c>
      <c r="D77" s="65" t="s">
        <v>95</v>
      </c>
    </row>
    <row r="78" spans="1:5" x14ac:dyDescent="0.25">
      <c r="A78" s="98" t="s">
        <v>63</v>
      </c>
      <c r="B78" s="65">
        <v>-2575.3703999999998</v>
      </c>
      <c r="C78" s="65">
        <v>-551.96594000000005</v>
      </c>
      <c r="D78" s="65">
        <f>IF(OR(-2575.3704="",-551.96594="",-2575.3704=0),"-",-551.96594/-2575.3704*100)</f>
        <v>21.432487536550084</v>
      </c>
    </row>
    <row r="79" spans="1:5" x14ac:dyDescent="0.25">
      <c r="A79" s="98" t="s">
        <v>160</v>
      </c>
      <c r="B79" s="65">
        <v>-253.36744999999999</v>
      </c>
      <c r="C79" s="65">
        <v>-418.68472000000003</v>
      </c>
      <c r="D79" s="65" t="s">
        <v>103</v>
      </c>
    </row>
    <row r="80" spans="1:5" x14ac:dyDescent="0.25">
      <c r="A80" s="98" t="s">
        <v>38</v>
      </c>
      <c r="B80" s="65">
        <v>-563.29013999999995</v>
      </c>
      <c r="C80" s="65">
        <v>-411.98316</v>
      </c>
      <c r="D80" s="65">
        <f>IF(OR(-563.29014="",-411.98316="",-563.29014=0),"-",-411.98316/-563.29014*100)</f>
        <v>73.138713203820686</v>
      </c>
    </row>
    <row r="81" spans="1:5" x14ac:dyDescent="0.25">
      <c r="A81" s="96" t="s">
        <v>266</v>
      </c>
      <c r="B81" s="89">
        <v>-36.163080000000001</v>
      </c>
      <c r="C81" s="65">
        <v>-385.90233999999998</v>
      </c>
      <c r="D81" s="65" t="s">
        <v>379</v>
      </c>
    </row>
    <row r="82" spans="1:5" x14ac:dyDescent="0.25">
      <c r="A82" s="98" t="s">
        <v>67</v>
      </c>
      <c r="B82" s="65">
        <v>413.06554999999997</v>
      </c>
      <c r="C82" s="65">
        <v>-363.94974999999999</v>
      </c>
      <c r="D82" s="65" t="s">
        <v>22</v>
      </c>
    </row>
    <row r="83" spans="1:5" x14ac:dyDescent="0.25">
      <c r="A83" s="96" t="s">
        <v>159</v>
      </c>
      <c r="B83" s="89">
        <v>-94.179029999999997</v>
      </c>
      <c r="C83" s="65">
        <v>-349.13877000000002</v>
      </c>
      <c r="D83" s="65" t="s">
        <v>247</v>
      </c>
    </row>
    <row r="84" spans="1:5" x14ac:dyDescent="0.25">
      <c r="A84" s="96" t="s">
        <v>97</v>
      </c>
      <c r="B84" s="89">
        <v>-294.16994999999997</v>
      </c>
      <c r="C84" s="65">
        <v>-343.92746</v>
      </c>
      <c r="D84" s="65">
        <f>IF(OR(-294.16995="",-343.92746="",-294.16995=0),"-",-343.92746/-294.16995*100)</f>
        <v>116.91454548637617</v>
      </c>
    </row>
    <row r="85" spans="1:5" x14ac:dyDescent="0.25">
      <c r="A85" s="96" t="s">
        <v>64</v>
      </c>
      <c r="B85" s="89">
        <v>217.68195</v>
      </c>
      <c r="C85" s="65">
        <v>-332.31382000000002</v>
      </c>
      <c r="D85" s="65" t="s">
        <v>22</v>
      </c>
    </row>
    <row r="86" spans="1:5" x14ac:dyDescent="0.25">
      <c r="A86" s="98" t="s">
        <v>98</v>
      </c>
      <c r="B86" s="65">
        <v>-142.40797000000001</v>
      </c>
      <c r="C86" s="65">
        <v>-311.89861000000002</v>
      </c>
      <c r="D86" s="65" t="s">
        <v>222</v>
      </c>
    </row>
    <row r="87" spans="1:5" x14ac:dyDescent="0.25">
      <c r="A87" s="98" t="s">
        <v>81</v>
      </c>
      <c r="B87" s="65">
        <v>-1091.7504100000001</v>
      </c>
      <c r="C87" s="65">
        <v>-287.09005000000002</v>
      </c>
      <c r="D87" s="65">
        <f>IF(OR(-1091.75041="",-287.09005="",-1091.75041=0),"-",-287.09005/-1091.75041*100)</f>
        <v>26.296307962916178</v>
      </c>
    </row>
    <row r="88" spans="1:5" x14ac:dyDescent="0.25">
      <c r="A88" s="96" t="s">
        <v>137</v>
      </c>
      <c r="B88" s="89">
        <v>-344.03071999999997</v>
      </c>
      <c r="C88" s="65">
        <v>-283.68223</v>
      </c>
      <c r="D88" s="65">
        <f>IF(OR(-344.03072="",-283.68223="",-344.03072=0),"-",-283.68223/-344.03072*100)</f>
        <v>82.458400807927859</v>
      </c>
    </row>
    <row r="89" spans="1:5" x14ac:dyDescent="0.25">
      <c r="A89" s="96" t="s">
        <v>128</v>
      </c>
      <c r="B89" s="89">
        <v>176.90977000000001</v>
      </c>
      <c r="C89" s="65">
        <v>-235.91269</v>
      </c>
      <c r="D89" s="65" t="s">
        <v>22</v>
      </c>
    </row>
    <row r="90" spans="1:5" x14ac:dyDescent="0.25">
      <c r="A90" s="98" t="s">
        <v>102</v>
      </c>
      <c r="B90" s="65">
        <v>-122.76624</v>
      </c>
      <c r="C90" s="65">
        <v>-200.57643999999999</v>
      </c>
      <c r="D90" s="65" t="s">
        <v>104</v>
      </c>
    </row>
    <row r="91" spans="1:5" x14ac:dyDescent="0.25">
      <c r="A91" s="98" t="s">
        <v>130</v>
      </c>
      <c r="B91" s="65">
        <v>-59.30321</v>
      </c>
      <c r="C91" s="65">
        <v>-176.79671999999999</v>
      </c>
      <c r="D91" s="65" t="s">
        <v>277</v>
      </c>
    </row>
    <row r="92" spans="1:5" x14ac:dyDescent="0.25">
      <c r="A92" s="98" t="s">
        <v>92</v>
      </c>
      <c r="B92" s="65">
        <v>-326.12387000000001</v>
      </c>
      <c r="C92" s="65">
        <v>-169.95782</v>
      </c>
      <c r="D92" s="65">
        <f>IF(OR(-326.12387="",-169.95782="",-326.12387=0),"-",-169.95782/-326.12387*100)</f>
        <v>52.114498702594204</v>
      </c>
    </row>
    <row r="93" spans="1:5" x14ac:dyDescent="0.25">
      <c r="A93" s="96" t="s">
        <v>94</v>
      </c>
      <c r="B93" s="89">
        <v>-365.77771999999999</v>
      </c>
      <c r="C93" s="65">
        <v>-155.70050000000001</v>
      </c>
      <c r="D93" s="65">
        <f>IF(OR(-365.77772="",-155.7005="",-365.77772=0),"-",-155.7005/-365.77772*100)</f>
        <v>42.566972094418439</v>
      </c>
    </row>
    <row r="94" spans="1:5" x14ac:dyDescent="0.25">
      <c r="A94" s="98" t="s">
        <v>39</v>
      </c>
      <c r="B94" s="65">
        <v>-415.80759</v>
      </c>
      <c r="C94" s="65">
        <v>-147.06800999999999</v>
      </c>
      <c r="D94" s="65">
        <f>IF(OR(-415.80759="",-147.06801="",-415.80759=0),"-",-147.06801/-415.80759*100)</f>
        <v>35.369246145795458</v>
      </c>
    </row>
    <row r="95" spans="1:5" x14ac:dyDescent="0.25">
      <c r="A95" s="96" t="s">
        <v>90</v>
      </c>
      <c r="B95" s="89">
        <v>-154.58011999999999</v>
      </c>
      <c r="C95" s="65">
        <v>-138.62723</v>
      </c>
      <c r="D95" s="65">
        <f>IF(OR(-154.58012="",-138.62723="",-154.58012=0),"-",-138.62723/-154.58012*100)</f>
        <v>89.679856633569699</v>
      </c>
    </row>
    <row r="96" spans="1:5" x14ac:dyDescent="0.25">
      <c r="A96" s="98" t="s">
        <v>144</v>
      </c>
      <c r="B96" s="65">
        <v>-65.341070000000002</v>
      </c>
      <c r="C96" s="65">
        <v>-113.83225</v>
      </c>
      <c r="D96" s="65" t="s">
        <v>103</v>
      </c>
      <c r="E96" s="12"/>
    </row>
    <row r="97" spans="1:5" x14ac:dyDescent="0.25">
      <c r="A97" s="98" t="s">
        <v>111</v>
      </c>
      <c r="B97" s="65">
        <v>-255.61042</v>
      </c>
      <c r="C97" s="65">
        <v>-98.930499999999995</v>
      </c>
      <c r="D97" s="65">
        <f>IF(OR(-255.61042="",-98.9305="",-255.61042=0),"-",-98.9305/-255.61042*100)</f>
        <v>38.70362561901819</v>
      </c>
    </row>
    <row r="98" spans="1:5" x14ac:dyDescent="0.25">
      <c r="A98" s="96" t="s">
        <v>143</v>
      </c>
      <c r="B98" s="89">
        <v>-108.26423</v>
      </c>
      <c r="C98" s="65">
        <v>-77.379540000000006</v>
      </c>
      <c r="D98" s="65">
        <f>IF(OR(-108.26423="",-77.37954="",-108.26423=0),"-",-77.37954/-108.26423*100)</f>
        <v>71.472858579421853</v>
      </c>
      <c r="E98" s="11"/>
    </row>
    <row r="99" spans="1:5" x14ac:dyDescent="0.25">
      <c r="A99" s="96" t="s">
        <v>220</v>
      </c>
      <c r="B99" s="89">
        <v>-1.96451</v>
      </c>
      <c r="C99" s="65">
        <v>-73.772970000000001</v>
      </c>
      <c r="D99" s="65" t="s">
        <v>288</v>
      </c>
    </row>
    <row r="100" spans="1:5" x14ac:dyDescent="0.25">
      <c r="A100" s="98" t="s">
        <v>229</v>
      </c>
      <c r="B100" s="65">
        <v>-22.750620000000001</v>
      </c>
      <c r="C100" s="65">
        <v>-52.425879999999999</v>
      </c>
      <c r="D100" s="65" t="s">
        <v>241</v>
      </c>
      <c r="E100" s="11"/>
    </row>
    <row r="101" spans="1:5" x14ac:dyDescent="0.25">
      <c r="A101" s="96" t="s">
        <v>267</v>
      </c>
      <c r="B101" s="89">
        <v>-1.15011</v>
      </c>
      <c r="C101" s="65">
        <v>-45.381309999999999</v>
      </c>
      <c r="D101" s="65" t="s">
        <v>289</v>
      </c>
      <c r="E101" s="1"/>
    </row>
    <row r="102" spans="1:5" x14ac:dyDescent="0.25">
      <c r="A102" s="96" t="s">
        <v>152</v>
      </c>
      <c r="B102" s="89">
        <v>-36.193289999999998</v>
      </c>
      <c r="C102" s="65">
        <v>-45.027700000000003</v>
      </c>
      <c r="D102" s="65">
        <f>IF(OR(-36.19329="",-45.0277="",-36.19329=0),"-",-45.0277/-36.19329*100)</f>
        <v>124.40897193927385</v>
      </c>
    </row>
    <row r="103" spans="1:5" x14ac:dyDescent="0.25">
      <c r="A103" s="98" t="s">
        <v>140</v>
      </c>
      <c r="B103" s="65">
        <v>-23.008990000000001</v>
      </c>
      <c r="C103" s="65">
        <v>-29.317920000000001</v>
      </c>
      <c r="D103" s="65">
        <f>IF(OR(-23.00899="",-29.31792="",-23.00899=0),"-",-29.31792/-23.00899*100)</f>
        <v>127.41941302073667</v>
      </c>
    </row>
    <row r="104" spans="1:5" x14ac:dyDescent="0.25">
      <c r="A104" s="96" t="s">
        <v>268</v>
      </c>
      <c r="B104" s="89">
        <v>-27.96997</v>
      </c>
      <c r="C104" s="65">
        <v>-22.75001</v>
      </c>
      <c r="D104" s="65">
        <f>IF(OR(-27.96997="",-22.75001="",-27.96997=0),"-",-22.75001/-27.96997*100)</f>
        <v>81.337269936292387</v>
      </c>
    </row>
    <row r="105" spans="1:5" x14ac:dyDescent="0.25">
      <c r="A105" s="96" t="s">
        <v>269</v>
      </c>
      <c r="B105" s="89">
        <v>-24.186730000000001</v>
      </c>
      <c r="C105" s="65">
        <v>-21.38897</v>
      </c>
      <c r="D105" s="65">
        <f>IF(OR(-24.18673="",-21.38897="",-24.18673=0),"-",-21.38897/-24.18673*100)</f>
        <v>88.432665349966697</v>
      </c>
      <c r="E105" s="12"/>
    </row>
    <row r="106" spans="1:5" x14ac:dyDescent="0.25">
      <c r="A106" s="98" t="s">
        <v>270</v>
      </c>
      <c r="B106" s="65">
        <v>-3.9657399999999998</v>
      </c>
      <c r="C106" s="65">
        <v>-21.186440000000001</v>
      </c>
      <c r="D106" s="65" t="s">
        <v>236</v>
      </c>
      <c r="E106" s="10"/>
    </row>
    <row r="107" spans="1:5" x14ac:dyDescent="0.25">
      <c r="A107" s="98" t="s">
        <v>272</v>
      </c>
      <c r="B107" s="65">
        <v>-34.017479999999999</v>
      </c>
      <c r="C107" s="65">
        <v>-17.44509</v>
      </c>
      <c r="D107" s="65">
        <f>IF(OR(-34.01748="",-17.44509="",-34.01748=0),"-",-17.44509/-34.01748*100)</f>
        <v>51.282722882471013</v>
      </c>
    </row>
    <row r="108" spans="1:5" x14ac:dyDescent="0.25">
      <c r="A108" s="98" t="s">
        <v>273</v>
      </c>
      <c r="B108" s="65">
        <v>34.044620000000002</v>
      </c>
      <c r="C108" s="65">
        <v>-14.85225</v>
      </c>
      <c r="D108" s="65" t="s">
        <v>22</v>
      </c>
    </row>
    <row r="109" spans="1:5" x14ac:dyDescent="0.25">
      <c r="A109" s="98" t="s">
        <v>37</v>
      </c>
      <c r="B109" s="65">
        <v>202.01485</v>
      </c>
      <c r="C109" s="65">
        <v>15.175280000000001</v>
      </c>
      <c r="D109" s="65">
        <f>IF(OR(202.01485="",15.17528="",202.01485=0),"-",15.17528/202.01485*100)</f>
        <v>7.511962610669463</v>
      </c>
    </row>
    <row r="110" spans="1:5" x14ac:dyDescent="0.25">
      <c r="A110" s="96" t="s">
        <v>263</v>
      </c>
      <c r="B110" s="89">
        <v>-9.2714200000000009</v>
      </c>
      <c r="C110" s="65">
        <v>24.63456</v>
      </c>
      <c r="D110" s="65" t="s">
        <v>22</v>
      </c>
    </row>
    <row r="111" spans="1:5" x14ac:dyDescent="0.25">
      <c r="A111" s="98" t="s">
        <v>244</v>
      </c>
      <c r="B111" s="99" t="s">
        <v>225</v>
      </c>
      <c r="C111" s="65">
        <v>26.497630000000001</v>
      </c>
      <c r="D111" s="65" t="str">
        <f>IF(OR(0="",26.49763="",0=0),"-",26.49763/0*100)</f>
        <v>-</v>
      </c>
    </row>
    <row r="112" spans="1:5" x14ac:dyDescent="0.25">
      <c r="A112" s="98" t="s">
        <v>262</v>
      </c>
      <c r="B112" s="65" t="s">
        <v>225</v>
      </c>
      <c r="C112" s="65">
        <v>31.226220000000001</v>
      </c>
      <c r="D112" s="65" t="str">
        <f>IF(OR(0="",31.22622="",0=0),"-",31.22622/0*100)</f>
        <v>-</v>
      </c>
    </row>
    <row r="113" spans="1:4" x14ac:dyDescent="0.25">
      <c r="A113" s="98" t="s">
        <v>261</v>
      </c>
      <c r="B113" s="65">
        <v>11.17423</v>
      </c>
      <c r="C113" s="65">
        <v>34.976550000000003</v>
      </c>
      <c r="D113" s="65" t="s">
        <v>380</v>
      </c>
    </row>
    <row r="114" spans="1:4" x14ac:dyDescent="0.25">
      <c r="A114" s="96" t="s">
        <v>107</v>
      </c>
      <c r="B114" s="89">
        <v>-1.49407</v>
      </c>
      <c r="C114" s="65">
        <v>37.459919999999997</v>
      </c>
      <c r="D114" s="65" t="s">
        <v>22</v>
      </c>
    </row>
    <row r="115" spans="1:4" x14ac:dyDescent="0.25">
      <c r="A115" s="98" t="s">
        <v>240</v>
      </c>
      <c r="B115" s="65" t="s">
        <v>225</v>
      </c>
      <c r="C115" s="65">
        <v>39.464750000000002</v>
      </c>
      <c r="D115" s="65" t="str">
        <f>IF(OR(0="",39.46475="",0=0),"-",39.46475/0*100)</f>
        <v>-</v>
      </c>
    </row>
    <row r="116" spans="1:4" x14ac:dyDescent="0.25">
      <c r="A116" s="96" t="s">
        <v>132</v>
      </c>
      <c r="B116" s="89">
        <v>86.193939999999998</v>
      </c>
      <c r="C116" s="65">
        <v>90.25273</v>
      </c>
      <c r="D116" s="65">
        <f>IF(OR(86.19394="",90.25273="",86.19394=0),"-",90.25273/86.19394*100)</f>
        <v>104.70890412945504</v>
      </c>
    </row>
    <row r="117" spans="1:4" x14ac:dyDescent="0.25">
      <c r="A117" s="96" t="s">
        <v>96</v>
      </c>
      <c r="B117" s="89">
        <v>144.76891000000001</v>
      </c>
      <c r="C117" s="65">
        <v>119.72808000000001</v>
      </c>
      <c r="D117" s="65">
        <f>IF(OR(144.76891="",119.72808="",144.76891=0),"-",119.72808/144.76891*100)</f>
        <v>82.702895255618074</v>
      </c>
    </row>
    <row r="118" spans="1:4" x14ac:dyDescent="0.25">
      <c r="A118" s="98" t="s">
        <v>233</v>
      </c>
      <c r="B118" s="65">
        <v>272.39447000000001</v>
      </c>
      <c r="C118" s="65">
        <v>123.56912</v>
      </c>
      <c r="D118" s="65">
        <f>IF(OR(272.39447="",123.56912="",272.39447=0),"-",123.56912/272.39447*100)</f>
        <v>45.364034005536155</v>
      </c>
    </row>
    <row r="119" spans="1:4" x14ac:dyDescent="0.25">
      <c r="A119" s="98" t="s">
        <v>131</v>
      </c>
      <c r="B119" s="65">
        <v>185.27808999999999</v>
      </c>
      <c r="C119" s="65">
        <v>140.52190999999999</v>
      </c>
      <c r="D119" s="65">
        <f>IF(OR(185.27809="",140.52191="",185.27809=0),"-",140.52191/185.27809*100)</f>
        <v>75.843781636565879</v>
      </c>
    </row>
    <row r="120" spans="1:4" x14ac:dyDescent="0.25">
      <c r="A120" s="96" t="s">
        <v>239</v>
      </c>
      <c r="B120" s="89">
        <v>-1.2163200000000001</v>
      </c>
      <c r="C120" s="65">
        <v>161.74339000000001</v>
      </c>
      <c r="D120" s="65" t="s">
        <v>22</v>
      </c>
    </row>
    <row r="121" spans="1:4" x14ac:dyDescent="0.25">
      <c r="A121" s="98" t="s">
        <v>136</v>
      </c>
      <c r="B121" s="65">
        <v>222.09554</v>
      </c>
      <c r="C121" s="65">
        <v>161.83010999999999</v>
      </c>
      <c r="D121" s="65">
        <f>IF(OR(222.09554="",161.83011="",222.09554=0),"-",161.83011/222.09554*100)</f>
        <v>72.865087700545445</v>
      </c>
    </row>
    <row r="122" spans="1:4" x14ac:dyDescent="0.25">
      <c r="A122" s="96" t="s">
        <v>153</v>
      </c>
      <c r="B122" s="89">
        <v>45.004809999999999</v>
      </c>
      <c r="C122" s="65">
        <v>168.98978</v>
      </c>
      <c r="D122" s="65" t="s">
        <v>243</v>
      </c>
    </row>
    <row r="123" spans="1:4" x14ac:dyDescent="0.25">
      <c r="A123" s="96" t="s">
        <v>142</v>
      </c>
      <c r="B123" s="89">
        <v>50.180970000000002</v>
      </c>
      <c r="C123" s="65">
        <v>182.67859999999999</v>
      </c>
      <c r="D123" s="65" t="s">
        <v>279</v>
      </c>
    </row>
    <row r="124" spans="1:4" x14ac:dyDescent="0.25">
      <c r="A124" s="96" t="s">
        <v>101</v>
      </c>
      <c r="B124" s="89">
        <v>68.48415</v>
      </c>
      <c r="C124" s="65">
        <v>221.38569000000001</v>
      </c>
      <c r="D124" s="65" t="s">
        <v>250</v>
      </c>
    </row>
    <row r="125" spans="1:4" x14ac:dyDescent="0.25">
      <c r="A125" s="98" t="s">
        <v>161</v>
      </c>
      <c r="B125" s="65">
        <v>-1.30369</v>
      </c>
      <c r="C125" s="65">
        <v>242.54123000000001</v>
      </c>
      <c r="D125" s="65" t="s">
        <v>22</v>
      </c>
    </row>
    <row r="126" spans="1:4" x14ac:dyDescent="0.25">
      <c r="A126" s="98" t="s">
        <v>138</v>
      </c>
      <c r="B126" s="65">
        <v>-361.96516000000003</v>
      </c>
      <c r="C126" s="65">
        <v>263.80464000000001</v>
      </c>
      <c r="D126" s="65" t="s">
        <v>22</v>
      </c>
    </row>
    <row r="127" spans="1:4" x14ac:dyDescent="0.25">
      <c r="A127" s="96" t="s">
        <v>158</v>
      </c>
      <c r="B127" s="89">
        <v>35.044800000000002</v>
      </c>
      <c r="C127" s="65">
        <v>269.14800000000002</v>
      </c>
      <c r="D127" s="65" t="s">
        <v>246</v>
      </c>
    </row>
    <row r="128" spans="1:4" x14ac:dyDescent="0.25">
      <c r="A128" s="96" t="s">
        <v>109</v>
      </c>
      <c r="B128" s="89">
        <v>117.54805</v>
      </c>
      <c r="C128" s="65">
        <v>486.54316</v>
      </c>
      <c r="D128" s="65" t="s">
        <v>242</v>
      </c>
    </row>
    <row r="129" spans="1:4" x14ac:dyDescent="0.25">
      <c r="A129" s="96" t="s">
        <v>77</v>
      </c>
      <c r="B129" s="89">
        <v>401.13159999999999</v>
      </c>
      <c r="C129" s="65">
        <v>557.86451999999997</v>
      </c>
      <c r="D129" s="65">
        <f>IF(OR(401.1316="",557.86452="",401.1316=0),"-",557.86452/401.1316*100)</f>
        <v>139.0726933505114</v>
      </c>
    </row>
    <row r="130" spans="1:4" x14ac:dyDescent="0.25">
      <c r="A130" s="98" t="s">
        <v>68</v>
      </c>
      <c r="B130" s="65">
        <v>220.49863999999999</v>
      </c>
      <c r="C130" s="65">
        <v>1191.5937200000001</v>
      </c>
      <c r="D130" s="65" t="s">
        <v>381</v>
      </c>
    </row>
    <row r="131" spans="1:4" x14ac:dyDescent="0.25">
      <c r="A131" s="98" t="s">
        <v>57</v>
      </c>
      <c r="B131" s="65">
        <v>2040.7399600000001</v>
      </c>
      <c r="C131" s="65">
        <v>1463.6411499999999</v>
      </c>
      <c r="D131" s="65">
        <f>IF(OR(2040.73996="",1463.64115="",2040.73996=0),"-",1463.64115/2040.73996*100)</f>
        <v>71.72110012487822</v>
      </c>
    </row>
    <row r="132" spans="1:4" x14ac:dyDescent="0.25">
      <c r="A132" s="98" t="s">
        <v>127</v>
      </c>
      <c r="B132" s="65">
        <v>20109.86044</v>
      </c>
      <c r="C132" s="65">
        <v>1785.83915</v>
      </c>
      <c r="D132" s="65">
        <f>IF(OR(20109.86044="",1785.83915="",20109.86044=0),"-",1785.83915/20109.86044*100)</f>
        <v>8.8804154326592624</v>
      </c>
    </row>
    <row r="133" spans="1:4" x14ac:dyDescent="0.25">
      <c r="A133" s="96" t="s">
        <v>235</v>
      </c>
      <c r="B133" s="89">
        <v>0</v>
      </c>
      <c r="C133" s="65">
        <v>2085.5038500000001</v>
      </c>
      <c r="D133" s="65" t="str">
        <f>IF(OR(0="",2085.50385="",0=0),"-",2085.50385/0*100)</f>
        <v>-</v>
      </c>
    </row>
    <row r="134" spans="1:4" x14ac:dyDescent="0.25">
      <c r="A134" s="98" t="s">
        <v>58</v>
      </c>
      <c r="B134" s="65">
        <v>3766.2426099999998</v>
      </c>
      <c r="C134" s="65">
        <v>3898.1445899999999</v>
      </c>
      <c r="D134" s="65">
        <f>IF(OR(3766.24261="",3898.14459="",3766.24261=0),"-",3898.14459/3766.24261*100)</f>
        <v>103.50221676239811</v>
      </c>
    </row>
    <row r="135" spans="1:4" x14ac:dyDescent="0.25">
      <c r="A135" s="100" t="s">
        <v>60</v>
      </c>
      <c r="B135" s="66">
        <v>3776.7410300000001</v>
      </c>
      <c r="C135" s="66">
        <v>7298.70784</v>
      </c>
      <c r="D135" s="66" t="s">
        <v>105</v>
      </c>
    </row>
    <row r="136" spans="1:4" x14ac:dyDescent="0.25">
      <c r="A136" s="101" t="s">
        <v>122</v>
      </c>
      <c r="B136" s="90">
        <v>-4908.6601700000001</v>
      </c>
      <c r="C136" s="67">
        <v>23054.641970000001</v>
      </c>
      <c r="D136" s="67" t="s">
        <v>22</v>
      </c>
    </row>
    <row r="137" spans="1:4" x14ac:dyDescent="0.25">
      <c r="A137" s="33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workbookViewId="0">
      <selection activeCell="J32" sqref="J32"/>
    </sheetView>
  </sheetViews>
  <sheetFormatPr defaultRowHeight="15.75" x14ac:dyDescent="0.25"/>
  <cols>
    <col min="1" max="1" width="29.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102" t="s">
        <v>375</v>
      </c>
      <c r="B1" s="102"/>
      <c r="C1" s="102"/>
      <c r="D1" s="102"/>
      <c r="E1" s="102"/>
    </row>
    <row r="2" spans="1:6" x14ac:dyDescent="0.25">
      <c r="A2" s="9"/>
      <c r="B2" s="9"/>
      <c r="C2" s="9"/>
      <c r="D2" s="9"/>
      <c r="E2" s="9"/>
    </row>
    <row r="3" spans="1:6" ht="18.75" customHeight="1" x14ac:dyDescent="0.25">
      <c r="A3" s="103"/>
      <c r="B3" s="106" t="s">
        <v>253</v>
      </c>
      <c r="C3" s="107"/>
      <c r="D3" s="106" t="s">
        <v>108</v>
      </c>
      <c r="E3" s="122"/>
      <c r="F3" s="1"/>
    </row>
    <row r="4" spans="1:6" ht="18.75" customHeight="1" x14ac:dyDescent="0.25">
      <c r="A4" s="104"/>
      <c r="B4" s="110" t="s">
        <v>121</v>
      </c>
      <c r="C4" s="112" t="s">
        <v>254</v>
      </c>
      <c r="D4" s="114" t="s">
        <v>255</v>
      </c>
      <c r="E4" s="106"/>
      <c r="F4" s="1"/>
    </row>
    <row r="5" spans="1:6" ht="23.25" customHeight="1" x14ac:dyDescent="0.25">
      <c r="A5" s="105"/>
      <c r="B5" s="111"/>
      <c r="C5" s="113"/>
      <c r="D5" s="23">
        <v>2020</v>
      </c>
      <c r="E5" s="22">
        <v>2021</v>
      </c>
      <c r="F5" s="1"/>
    </row>
    <row r="6" spans="1:6" ht="15.75" customHeight="1" x14ac:dyDescent="0.25">
      <c r="A6" s="38" t="s">
        <v>145</v>
      </c>
      <c r="B6" s="84">
        <v>712715.47793000005</v>
      </c>
      <c r="C6" s="63">
        <v>105.58322464852297</v>
      </c>
      <c r="D6" s="85">
        <v>100</v>
      </c>
      <c r="E6" s="85">
        <v>100</v>
      </c>
    </row>
    <row r="7" spans="1:6" ht="15.75" customHeight="1" x14ac:dyDescent="0.25">
      <c r="A7" s="39" t="s">
        <v>133</v>
      </c>
      <c r="B7" s="43"/>
      <c r="C7" s="86"/>
      <c r="D7" s="31"/>
      <c r="E7" s="31"/>
    </row>
    <row r="8" spans="1:6" x14ac:dyDescent="0.25">
      <c r="A8" s="40" t="s">
        <v>112</v>
      </c>
      <c r="B8" s="65">
        <v>42008.563430000002</v>
      </c>
      <c r="C8" s="87">
        <v>70.260374591842549</v>
      </c>
      <c r="D8" s="65">
        <v>8.8573967944301106</v>
      </c>
      <c r="E8" s="65">
        <v>5.8941561858610161</v>
      </c>
    </row>
    <row r="9" spans="1:6" x14ac:dyDescent="0.25">
      <c r="A9" s="40" t="s">
        <v>113</v>
      </c>
      <c r="B9" s="65">
        <v>6506.5590899999997</v>
      </c>
      <c r="C9" s="87">
        <v>17.585214406869348</v>
      </c>
      <c r="D9" s="65">
        <v>5.4812857315667092</v>
      </c>
      <c r="E9" s="65">
        <v>0.91292518424007718</v>
      </c>
    </row>
    <row r="10" spans="1:6" x14ac:dyDescent="0.25">
      <c r="A10" s="40" t="s">
        <v>114</v>
      </c>
      <c r="B10" s="65">
        <v>627189.53399999999</v>
      </c>
      <c r="C10" s="87">
        <v>110.22009456393242</v>
      </c>
      <c r="D10" s="65">
        <v>84.297899790762372</v>
      </c>
      <c r="E10" s="65">
        <v>87.999987852319379</v>
      </c>
    </row>
    <row r="11" spans="1:6" x14ac:dyDescent="0.25">
      <c r="A11" s="40" t="s">
        <v>115</v>
      </c>
      <c r="B11" s="65">
        <v>36336.971899999997</v>
      </c>
      <c r="C11" s="87" t="s">
        <v>242</v>
      </c>
      <c r="D11" s="65">
        <v>1.3256265390416182</v>
      </c>
      <c r="E11" s="65">
        <v>5.0983840010794408</v>
      </c>
    </row>
    <row r="12" spans="1:6" x14ac:dyDescent="0.25">
      <c r="A12" s="40" t="s">
        <v>116</v>
      </c>
      <c r="B12" s="65">
        <v>619.23546999999996</v>
      </c>
      <c r="C12" s="87" t="s">
        <v>365</v>
      </c>
      <c r="D12" s="65">
        <v>3.5245346019384512E-2</v>
      </c>
      <c r="E12" s="65">
        <v>8.6883965505912403E-2</v>
      </c>
    </row>
    <row r="13" spans="1:6" x14ac:dyDescent="0.25">
      <c r="A13" s="40" t="s">
        <v>117</v>
      </c>
      <c r="B13" s="65">
        <v>1.39716</v>
      </c>
      <c r="C13" s="87">
        <v>79.814910025706936</v>
      </c>
      <c r="D13" s="65">
        <v>2.5932288615933784E-4</v>
      </c>
      <c r="E13" s="65">
        <v>1.9603334616190602E-4</v>
      </c>
    </row>
    <row r="14" spans="1:6" x14ac:dyDescent="0.25">
      <c r="A14" s="40" t="s">
        <v>118</v>
      </c>
      <c r="B14" s="65">
        <v>53.216880000000003</v>
      </c>
      <c r="C14" s="87" t="s">
        <v>249</v>
      </c>
      <c r="D14" s="65">
        <v>2.2864752936507583E-3</v>
      </c>
      <c r="E14" s="65">
        <v>7.4667776480121205E-3</v>
      </c>
    </row>
    <row r="15" spans="1:6" x14ac:dyDescent="0.25">
      <c r="A15" s="37" t="s">
        <v>374</v>
      </c>
      <c r="B15" s="64">
        <v>439251.64598999999</v>
      </c>
      <c r="C15" s="88">
        <v>98.170087156995251</v>
      </c>
      <c r="D15" s="64">
        <v>66.284647704225833</v>
      </c>
      <c r="E15" s="64">
        <v>61.63071514396681</v>
      </c>
    </row>
    <row r="16" spans="1:6" x14ac:dyDescent="0.25">
      <c r="A16" s="39" t="s">
        <v>133</v>
      </c>
      <c r="B16" s="35"/>
      <c r="C16" s="88"/>
      <c r="D16" s="35"/>
      <c r="E16" s="35"/>
    </row>
    <row r="17" spans="1:11" x14ac:dyDescent="0.25">
      <c r="A17" s="40" t="s">
        <v>112</v>
      </c>
      <c r="B17" s="65">
        <v>23591.679270000001</v>
      </c>
      <c r="C17" s="89">
        <v>67.548606968561586</v>
      </c>
      <c r="D17" s="65">
        <v>5.1739376349828881</v>
      </c>
      <c r="E17" s="65">
        <v>3.3101118188872949</v>
      </c>
      <c r="K17" s="25"/>
    </row>
    <row r="18" spans="1:11" x14ac:dyDescent="0.25">
      <c r="A18" s="40" t="s">
        <v>113</v>
      </c>
      <c r="B18" s="65">
        <v>1871.4112399999999</v>
      </c>
      <c r="C18" s="89">
        <v>22.12524171687307</v>
      </c>
      <c r="D18" s="65">
        <v>1.2530255912766206</v>
      </c>
      <c r="E18" s="65">
        <v>0.26257479989564675</v>
      </c>
    </row>
    <row r="19" spans="1:11" x14ac:dyDescent="0.25">
      <c r="A19" s="40" t="s">
        <v>114</v>
      </c>
      <c r="B19" s="65">
        <v>411964.66986999998</v>
      </c>
      <c r="C19" s="89">
        <v>102.27010528411881</v>
      </c>
      <c r="D19" s="65">
        <v>59.674666535536659</v>
      </c>
      <c r="E19" s="65">
        <v>57.802121972502107</v>
      </c>
    </row>
    <row r="20" spans="1:11" x14ac:dyDescent="0.25">
      <c r="A20" s="40" t="s">
        <v>115</v>
      </c>
      <c r="B20" s="65">
        <v>1224.1504600000001</v>
      </c>
      <c r="C20" s="89">
        <v>107.78745419133975</v>
      </c>
      <c r="D20" s="65">
        <v>0.16824622049145893</v>
      </c>
      <c r="E20" s="65">
        <v>0.1717586467401275</v>
      </c>
    </row>
    <row r="21" spans="1:11" x14ac:dyDescent="0.25">
      <c r="A21" s="40" t="s">
        <v>116</v>
      </c>
      <c r="B21" s="65">
        <v>581.69736999999998</v>
      </c>
      <c r="C21" s="89" t="s">
        <v>251</v>
      </c>
      <c r="D21" s="65">
        <v>1.4771721938194867E-2</v>
      </c>
      <c r="E21" s="65">
        <v>8.1617053089610592E-2</v>
      </c>
    </row>
    <row r="22" spans="1:11" x14ac:dyDescent="0.25">
      <c r="A22" s="36" t="s">
        <v>118</v>
      </c>
      <c r="B22" s="65">
        <v>18.037780000000001</v>
      </c>
      <c r="C22" s="89" t="s">
        <v>225</v>
      </c>
      <c r="D22" s="65" t="s">
        <v>225</v>
      </c>
      <c r="E22" s="65">
        <v>2.5308528520228933E-3</v>
      </c>
    </row>
    <row r="23" spans="1:11" x14ac:dyDescent="0.25">
      <c r="A23" s="37" t="s">
        <v>224</v>
      </c>
      <c r="B23" s="64">
        <v>112019.90213</v>
      </c>
      <c r="C23" s="88">
        <v>118.08832846883506</v>
      </c>
      <c r="D23" s="64">
        <v>14.05293200821415</v>
      </c>
      <c r="E23" s="64">
        <v>15.71733820841788</v>
      </c>
    </row>
    <row r="24" spans="1:11" x14ac:dyDescent="0.25">
      <c r="A24" s="39" t="s">
        <v>133</v>
      </c>
      <c r="B24" s="64"/>
      <c r="C24" s="88"/>
      <c r="D24" s="35"/>
      <c r="E24" s="64"/>
    </row>
    <row r="25" spans="1:11" x14ac:dyDescent="0.25">
      <c r="A25" s="40" t="s">
        <v>112</v>
      </c>
      <c r="B25" s="65">
        <v>10270.452499999999</v>
      </c>
      <c r="C25" s="89" t="s">
        <v>377</v>
      </c>
      <c r="D25" s="65">
        <v>0.18547653671518355</v>
      </c>
      <c r="E25" s="65">
        <v>1.4410312134414907</v>
      </c>
    </row>
    <row r="26" spans="1:11" x14ac:dyDescent="0.25">
      <c r="A26" s="40" t="s">
        <v>113</v>
      </c>
      <c r="B26" s="65">
        <v>949.37699999999995</v>
      </c>
      <c r="C26" s="89">
        <v>42.406781915464443</v>
      </c>
      <c r="D26" s="65">
        <v>0.33165161822424694</v>
      </c>
      <c r="E26" s="65">
        <v>0.13320561000826808</v>
      </c>
      <c r="F26" s="1"/>
      <c r="G26" s="1"/>
    </row>
    <row r="27" spans="1:11" x14ac:dyDescent="0.25">
      <c r="A27" s="40" t="s">
        <v>114</v>
      </c>
      <c r="B27" s="65">
        <v>97364.702170000004</v>
      </c>
      <c r="C27" s="89">
        <v>109.88744839404443</v>
      </c>
      <c r="D27" s="65">
        <v>13.12599341341418</v>
      </c>
      <c r="E27" s="65">
        <v>13.661089899827145</v>
      </c>
      <c r="F27" s="12"/>
      <c r="G27" s="12"/>
    </row>
    <row r="28" spans="1:11" x14ac:dyDescent="0.25">
      <c r="A28" s="40" t="s">
        <v>115</v>
      </c>
      <c r="B28" s="65">
        <v>3390.4054000000001</v>
      </c>
      <c r="C28" s="89">
        <v>125.22255879178508</v>
      </c>
      <c r="D28" s="65">
        <v>0.40109549910188924</v>
      </c>
      <c r="E28" s="65">
        <v>0.47570250752053844</v>
      </c>
    </row>
    <row r="29" spans="1:11" x14ac:dyDescent="0.25">
      <c r="A29" s="40" t="s">
        <v>116</v>
      </c>
      <c r="B29" s="65">
        <v>8.3887999999999998</v>
      </c>
      <c r="C29" s="89">
        <v>20.144373452785665</v>
      </c>
      <c r="D29" s="65">
        <v>6.1691425788397069E-3</v>
      </c>
      <c r="E29" s="65">
        <v>1.1770194782866651E-3</v>
      </c>
    </row>
    <row r="30" spans="1:11" x14ac:dyDescent="0.25">
      <c r="A30" s="40" t="s">
        <v>117</v>
      </c>
      <c r="B30" s="65">
        <v>1.39716</v>
      </c>
      <c r="C30" s="89">
        <v>79.814910025706936</v>
      </c>
      <c r="D30" s="65">
        <v>2.5932288615933784E-4</v>
      </c>
      <c r="E30" s="65">
        <v>1.9603334616190602E-4</v>
      </c>
    </row>
    <row r="31" spans="1:11" x14ac:dyDescent="0.25">
      <c r="A31" s="40" t="s">
        <v>118</v>
      </c>
      <c r="B31" s="65">
        <v>35.179099999999998</v>
      </c>
      <c r="C31" s="89" t="s">
        <v>241</v>
      </c>
      <c r="D31" s="65">
        <v>2.2864752936507583E-3</v>
      </c>
      <c r="E31" s="65">
        <v>4.9359247959892272E-3</v>
      </c>
    </row>
    <row r="32" spans="1:11" x14ac:dyDescent="0.25">
      <c r="A32" s="37" t="s">
        <v>155</v>
      </c>
      <c r="B32" s="64">
        <v>161443.92981</v>
      </c>
      <c r="C32" s="88">
        <v>121.63637724368428</v>
      </c>
      <c r="D32" s="64">
        <v>19.662420287560028</v>
      </c>
      <c r="E32" s="64">
        <v>22.651946647615297</v>
      </c>
    </row>
    <row r="33" spans="1:5" x14ac:dyDescent="0.25">
      <c r="A33" s="39" t="s">
        <v>133</v>
      </c>
      <c r="B33" s="35"/>
      <c r="C33" s="88"/>
      <c r="D33" s="35"/>
      <c r="E33" s="35"/>
    </row>
    <row r="34" spans="1:5" x14ac:dyDescent="0.25">
      <c r="A34" s="40" t="s">
        <v>112</v>
      </c>
      <c r="B34" s="65">
        <v>8146.4316600000002</v>
      </c>
      <c r="C34" s="89">
        <v>34.500747311132386</v>
      </c>
      <c r="D34" s="65">
        <v>3.4979826227320379</v>
      </c>
      <c r="E34" s="65">
        <v>1.1430131535322303</v>
      </c>
    </row>
    <row r="35" spans="1:5" x14ac:dyDescent="0.25">
      <c r="A35" s="40" t="s">
        <v>113</v>
      </c>
      <c r="B35" s="65">
        <v>3685.7708499999999</v>
      </c>
      <c r="C35" s="89">
        <v>14.01265037925771</v>
      </c>
      <c r="D35" s="65">
        <v>3.8966085220658417</v>
      </c>
      <c r="E35" s="65">
        <v>0.51714477433616235</v>
      </c>
    </row>
    <row r="36" spans="1:5" x14ac:dyDescent="0.25">
      <c r="A36" s="40" t="s">
        <v>114</v>
      </c>
      <c r="B36" s="65">
        <v>117860.16196</v>
      </c>
      <c r="C36" s="89" t="s">
        <v>248</v>
      </c>
      <c r="D36" s="65">
        <v>11.497239841811529</v>
      </c>
      <c r="E36" s="65">
        <v>16.536775979990114</v>
      </c>
    </row>
    <row r="37" spans="1:5" x14ac:dyDescent="0.25">
      <c r="A37" s="40" t="s">
        <v>115</v>
      </c>
      <c r="B37" s="65">
        <v>31722.41604</v>
      </c>
      <c r="C37" s="89" t="s">
        <v>237</v>
      </c>
      <c r="D37" s="65">
        <v>0.75628481944826997</v>
      </c>
      <c r="E37" s="65">
        <v>4.4509228468187754</v>
      </c>
    </row>
    <row r="38" spans="1:5" x14ac:dyDescent="0.25">
      <c r="A38" s="41" t="s">
        <v>116</v>
      </c>
      <c r="B38" s="67">
        <v>29.1493</v>
      </c>
      <c r="C38" s="90">
        <v>30.188027772409736</v>
      </c>
      <c r="D38" s="67">
        <v>1.4304481502349937E-2</v>
      </c>
      <c r="E38" s="67">
        <v>4.0898929380151503E-3</v>
      </c>
    </row>
    <row r="39" spans="1:5" x14ac:dyDescent="0.25">
      <c r="A39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E8" sqref="E8:E14"/>
    </sheetView>
  </sheetViews>
  <sheetFormatPr defaultRowHeight="15.75" x14ac:dyDescent="0.25"/>
  <cols>
    <col min="1" max="1" width="30.125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102" t="s">
        <v>376</v>
      </c>
      <c r="B1" s="102"/>
      <c r="C1" s="102"/>
      <c r="D1" s="102"/>
      <c r="E1" s="102"/>
    </row>
    <row r="2" spans="1:6" x14ac:dyDescent="0.25">
      <c r="A2" s="9"/>
      <c r="B2" s="9"/>
      <c r="C2" s="9"/>
      <c r="D2" s="9"/>
      <c r="E2" s="9"/>
    </row>
    <row r="3" spans="1:6" ht="17.25" customHeight="1" x14ac:dyDescent="0.25">
      <c r="A3" s="103"/>
      <c r="B3" s="106" t="s">
        <v>253</v>
      </c>
      <c r="C3" s="107"/>
      <c r="D3" s="106" t="s">
        <v>108</v>
      </c>
      <c r="E3" s="122"/>
      <c r="F3" s="1"/>
    </row>
    <row r="4" spans="1:6" ht="20.25" customHeight="1" x14ac:dyDescent="0.25">
      <c r="A4" s="104"/>
      <c r="B4" s="110" t="s">
        <v>121</v>
      </c>
      <c r="C4" s="112" t="s">
        <v>254</v>
      </c>
      <c r="D4" s="114" t="s">
        <v>255</v>
      </c>
      <c r="E4" s="106"/>
      <c r="F4" s="1"/>
    </row>
    <row r="5" spans="1:6" ht="20.25" customHeight="1" x14ac:dyDescent="0.25">
      <c r="A5" s="105"/>
      <c r="B5" s="111"/>
      <c r="C5" s="113"/>
      <c r="D5" s="30">
        <v>2020</v>
      </c>
      <c r="E5" s="29">
        <v>2021</v>
      </c>
      <c r="F5" s="1"/>
    </row>
    <row r="6" spans="1:6" ht="15.75" customHeight="1" x14ac:dyDescent="0.25">
      <c r="A6" s="38" t="s">
        <v>134</v>
      </c>
      <c r="B6" s="84">
        <v>1551105.23673</v>
      </c>
      <c r="C6" s="91">
        <v>113.62464272312131</v>
      </c>
      <c r="D6" s="85">
        <v>100</v>
      </c>
      <c r="E6" s="85">
        <v>100</v>
      </c>
    </row>
    <row r="7" spans="1:6" ht="15.75" customHeight="1" x14ac:dyDescent="0.25">
      <c r="A7" s="39" t="s">
        <v>133</v>
      </c>
      <c r="B7" s="43"/>
      <c r="C7" s="86"/>
      <c r="D7" s="43"/>
      <c r="E7" s="43"/>
    </row>
    <row r="8" spans="1:6" x14ac:dyDescent="0.25">
      <c r="A8" s="40" t="s">
        <v>112</v>
      </c>
      <c r="B8" s="65">
        <v>32168.312559999998</v>
      </c>
      <c r="C8" s="87">
        <v>134.56591220477102</v>
      </c>
      <c r="D8" s="65">
        <v>1.7511545895264613</v>
      </c>
      <c r="E8" s="65">
        <v>2.0738961998359571</v>
      </c>
    </row>
    <row r="9" spans="1:6" x14ac:dyDescent="0.25">
      <c r="A9" s="40" t="s">
        <v>113</v>
      </c>
      <c r="B9" s="65">
        <v>73464.099610000005</v>
      </c>
      <c r="C9" s="87">
        <v>119.28499294288896</v>
      </c>
      <c r="D9" s="65">
        <v>4.5114964247888096</v>
      </c>
      <c r="E9" s="65">
        <v>4.7362421240273243</v>
      </c>
    </row>
    <row r="10" spans="1:6" x14ac:dyDescent="0.25">
      <c r="A10" s="40" t="s">
        <v>114</v>
      </c>
      <c r="B10" s="65">
        <v>1330476.8553299999</v>
      </c>
      <c r="C10" s="87">
        <v>115.29541406810861</v>
      </c>
      <c r="D10" s="65">
        <v>84.533053587255537</v>
      </c>
      <c r="E10" s="65">
        <v>85.776053347281376</v>
      </c>
    </row>
    <row r="11" spans="1:6" x14ac:dyDescent="0.25">
      <c r="A11" s="40" t="s">
        <v>115</v>
      </c>
      <c r="B11" s="65">
        <v>33562.281710000003</v>
      </c>
      <c r="C11" s="87">
        <v>113.40107480232429</v>
      </c>
      <c r="D11" s="65">
        <v>2.1680314315175533</v>
      </c>
      <c r="E11" s="65">
        <v>2.1637656114652244</v>
      </c>
    </row>
    <row r="12" spans="1:6" x14ac:dyDescent="0.25">
      <c r="A12" s="40" t="s">
        <v>116</v>
      </c>
      <c r="B12" s="65">
        <v>2884.0965700000002</v>
      </c>
      <c r="C12" s="87">
        <v>124.41149949785637</v>
      </c>
      <c r="D12" s="65">
        <v>0.1698167559010344</v>
      </c>
      <c r="E12" s="65">
        <v>0.18593816213786873</v>
      </c>
    </row>
    <row r="13" spans="1:6" x14ac:dyDescent="0.25">
      <c r="A13" s="40" t="s">
        <v>117</v>
      </c>
      <c r="B13" s="65">
        <v>69871.701180000004</v>
      </c>
      <c r="C13" s="87">
        <v>80.165744914682719</v>
      </c>
      <c r="D13" s="65">
        <v>6.384747861785975</v>
      </c>
      <c r="E13" s="65">
        <v>4.5046396289204544</v>
      </c>
    </row>
    <row r="14" spans="1:6" x14ac:dyDescent="0.25">
      <c r="A14" s="40" t="s">
        <v>118</v>
      </c>
      <c r="B14" s="65">
        <v>8677.8897699999998</v>
      </c>
      <c r="C14" s="87">
        <v>131.968213104065</v>
      </c>
      <c r="D14" s="65">
        <v>0.48169934922464064</v>
      </c>
      <c r="E14" s="65">
        <v>0.55946492633178802</v>
      </c>
    </row>
    <row r="15" spans="1:6" x14ac:dyDescent="0.25">
      <c r="A15" s="37" t="s">
        <v>226</v>
      </c>
      <c r="B15" s="64">
        <v>731469.01980999997</v>
      </c>
      <c r="C15" s="88">
        <v>112.99478724014969</v>
      </c>
      <c r="D15" s="64">
        <v>47.420791098744033</v>
      </c>
      <c r="E15" s="64">
        <v>47.157923427043805</v>
      </c>
    </row>
    <row r="16" spans="1:6" x14ac:dyDescent="0.25">
      <c r="A16" s="39" t="s">
        <v>133</v>
      </c>
      <c r="B16" s="43"/>
      <c r="C16" s="88"/>
      <c r="D16" s="43"/>
      <c r="E16" s="43"/>
    </row>
    <row r="17" spans="1:7" x14ac:dyDescent="0.25">
      <c r="A17" s="40" t="s">
        <v>112</v>
      </c>
      <c r="B17" s="65">
        <v>12849.761189999999</v>
      </c>
      <c r="C17" s="89">
        <v>140.08272104908764</v>
      </c>
      <c r="D17" s="65">
        <v>0.67195741993678715</v>
      </c>
      <c r="E17" s="65">
        <v>0.82842613677776844</v>
      </c>
    </row>
    <row r="18" spans="1:7" x14ac:dyDescent="0.25">
      <c r="A18" s="40" t="s">
        <v>113</v>
      </c>
      <c r="B18" s="65">
        <v>20946.655360000001</v>
      </c>
      <c r="C18" s="89" t="s">
        <v>250</v>
      </c>
      <c r="D18" s="65">
        <v>0.47855502292659718</v>
      </c>
      <c r="E18" s="65">
        <v>1.3504341848628658</v>
      </c>
    </row>
    <row r="19" spans="1:7" x14ac:dyDescent="0.25">
      <c r="A19" s="40" t="s">
        <v>114</v>
      </c>
      <c r="B19" s="65">
        <v>681400.18840999994</v>
      </c>
      <c r="C19" s="89">
        <v>110.74186563936617</v>
      </c>
      <c r="D19" s="65">
        <v>45.073541249243263</v>
      </c>
      <c r="E19" s="65">
        <v>43.929977945694404</v>
      </c>
    </row>
    <row r="20" spans="1:7" x14ac:dyDescent="0.25">
      <c r="A20" s="40" t="s">
        <v>115</v>
      </c>
      <c r="B20" s="65">
        <v>7756.3001000000004</v>
      </c>
      <c r="C20" s="89">
        <v>82.474502007393298</v>
      </c>
      <c r="D20" s="65">
        <v>0.68891583731278938</v>
      </c>
      <c r="E20" s="65">
        <v>0.50004989450951964</v>
      </c>
    </row>
    <row r="21" spans="1:7" x14ac:dyDescent="0.25">
      <c r="A21" s="40" t="s">
        <v>116</v>
      </c>
      <c r="B21" s="65">
        <v>1378.71774</v>
      </c>
      <c r="C21" s="89">
        <v>131.26692383240254</v>
      </c>
      <c r="D21" s="65">
        <v>7.6939847711691628E-2</v>
      </c>
      <c r="E21" s="65">
        <v>8.8886150813762776E-2</v>
      </c>
    </row>
    <row r="22" spans="1:7" x14ac:dyDescent="0.25">
      <c r="A22" s="40" t="s">
        <v>118</v>
      </c>
      <c r="B22" s="65">
        <v>7137.3970099999997</v>
      </c>
      <c r="C22" s="89">
        <v>121.34253113754205</v>
      </c>
      <c r="D22" s="65">
        <v>0.4308817216129045</v>
      </c>
      <c r="E22" s="65">
        <v>0.46014911438548656</v>
      </c>
    </row>
    <row r="23" spans="1:7" x14ac:dyDescent="0.25">
      <c r="A23" s="37" t="s">
        <v>227</v>
      </c>
      <c r="B23" s="64">
        <v>360672.47761</v>
      </c>
      <c r="C23" s="92">
        <v>105.68900750844124</v>
      </c>
      <c r="D23" s="64">
        <v>24.998528778097931</v>
      </c>
      <c r="E23" s="64">
        <v>23.252611690639405</v>
      </c>
    </row>
    <row r="24" spans="1:7" x14ac:dyDescent="0.25">
      <c r="A24" s="40" t="s">
        <v>133</v>
      </c>
      <c r="B24" s="43"/>
      <c r="C24" s="93"/>
      <c r="D24" s="43"/>
      <c r="E24" s="43"/>
    </row>
    <row r="25" spans="1:7" x14ac:dyDescent="0.25">
      <c r="A25" s="40" t="s">
        <v>112</v>
      </c>
      <c r="B25" s="65">
        <v>18760.39615</v>
      </c>
      <c r="C25" s="87" t="s">
        <v>223</v>
      </c>
      <c r="D25" s="65">
        <v>0.77615996661761544</v>
      </c>
      <c r="E25" s="65">
        <v>1.2094857077234928</v>
      </c>
    </row>
    <row r="26" spans="1:7" x14ac:dyDescent="0.25">
      <c r="A26" s="40" t="s">
        <v>113</v>
      </c>
      <c r="B26" s="65">
        <v>52517.44425</v>
      </c>
      <c r="C26" s="87">
        <v>95.581233993881185</v>
      </c>
      <c r="D26" s="65">
        <v>4.0249660036958437</v>
      </c>
      <c r="E26" s="65">
        <v>3.3858079391644575</v>
      </c>
      <c r="F26" s="1"/>
      <c r="G26" s="1"/>
    </row>
    <row r="27" spans="1:7" x14ac:dyDescent="0.25">
      <c r="A27" s="40" t="s">
        <v>114</v>
      </c>
      <c r="B27" s="65">
        <v>213663.01689999999</v>
      </c>
      <c r="C27" s="87">
        <v>114.87130298113723</v>
      </c>
      <c r="D27" s="65">
        <v>13.62539419255328</v>
      </c>
      <c r="E27" s="65">
        <v>13.774888501468723</v>
      </c>
      <c r="F27" s="1"/>
      <c r="G27" s="1"/>
    </row>
    <row r="28" spans="1:7" x14ac:dyDescent="0.25">
      <c r="A28" s="40" t="s">
        <v>115</v>
      </c>
      <c r="B28" s="65">
        <v>5374.2208300000002</v>
      </c>
      <c r="C28" s="87" t="s">
        <v>222</v>
      </c>
      <c r="D28" s="65">
        <v>0.17875182305082954</v>
      </c>
      <c r="E28" s="65">
        <v>0.34647686712281328</v>
      </c>
      <c r="F28" s="12"/>
      <c r="G28" s="12"/>
    </row>
    <row r="29" spans="1:7" x14ac:dyDescent="0.25">
      <c r="A29" s="40" t="s">
        <v>116</v>
      </c>
      <c r="B29" s="65">
        <v>61.205710000000003</v>
      </c>
      <c r="C29" s="87">
        <v>66.182730773439587</v>
      </c>
      <c r="D29" s="65">
        <v>6.7745199198926132E-3</v>
      </c>
      <c r="E29" s="65">
        <v>3.9459418065683474E-3</v>
      </c>
    </row>
    <row r="30" spans="1:7" x14ac:dyDescent="0.25">
      <c r="A30" s="40" t="s">
        <v>117</v>
      </c>
      <c r="B30" s="65">
        <v>69871.701180000004</v>
      </c>
      <c r="C30" s="87">
        <v>80.165744914682719</v>
      </c>
      <c r="D30" s="65">
        <v>6.384747861785975</v>
      </c>
      <c r="E30" s="65">
        <v>4.5046396289204544</v>
      </c>
    </row>
    <row r="31" spans="1:7" x14ac:dyDescent="0.25">
      <c r="A31" s="40" t="s">
        <v>118</v>
      </c>
      <c r="B31" s="65">
        <v>424.49259000000001</v>
      </c>
      <c r="C31" s="87" t="s">
        <v>225</v>
      </c>
      <c r="D31" s="65">
        <v>1.7344104744915743E-3</v>
      </c>
      <c r="E31" s="65">
        <v>2.7367104432894852E-2</v>
      </c>
    </row>
    <row r="32" spans="1:7" x14ac:dyDescent="0.25">
      <c r="A32" s="37" t="s">
        <v>228</v>
      </c>
      <c r="B32" s="64">
        <v>458963.73930999998</v>
      </c>
      <c r="C32" s="88">
        <v>121.90027079131447</v>
      </c>
      <c r="D32" s="64">
        <v>27.580680123158039</v>
      </c>
      <c r="E32" s="64">
        <v>29.589464882316786</v>
      </c>
    </row>
    <row r="33" spans="1:5" x14ac:dyDescent="0.25">
      <c r="A33" s="40" t="s">
        <v>133</v>
      </c>
      <c r="B33" s="43"/>
      <c r="C33" s="88"/>
      <c r="D33" s="44"/>
      <c r="E33" s="44"/>
    </row>
    <row r="34" spans="1:5" x14ac:dyDescent="0.25">
      <c r="A34" s="40" t="s">
        <v>112</v>
      </c>
      <c r="B34" s="66">
        <v>558.15521999999999</v>
      </c>
      <c r="C34" s="89">
        <v>13.492434191004815</v>
      </c>
      <c r="D34" s="65">
        <v>0.30303720297205877</v>
      </c>
      <c r="E34" s="65">
        <v>3.5984355334695947E-2</v>
      </c>
    </row>
    <row r="35" spans="1:5" x14ac:dyDescent="0.25">
      <c r="A35" s="40" t="s">
        <v>113</v>
      </c>
      <c r="B35" s="66" t="s">
        <v>225</v>
      </c>
      <c r="C35" s="89" t="s">
        <v>225</v>
      </c>
      <c r="D35" s="65">
        <v>7.9753981663692689E-3</v>
      </c>
      <c r="E35" s="65" t="s">
        <v>225</v>
      </c>
    </row>
    <row r="36" spans="1:5" x14ac:dyDescent="0.25">
      <c r="A36" s="40" t="s">
        <v>114</v>
      </c>
      <c r="B36" s="66">
        <v>435413.65002</v>
      </c>
      <c r="C36" s="89">
        <v>123.46380721730003</v>
      </c>
      <c r="D36" s="65">
        <v>25.834118145458984</v>
      </c>
      <c r="E36" s="65">
        <v>28.071186900118256</v>
      </c>
    </row>
    <row r="37" spans="1:5" x14ac:dyDescent="0.25">
      <c r="A37" s="40" t="s">
        <v>115</v>
      </c>
      <c r="B37" s="66">
        <v>20431.760780000001</v>
      </c>
      <c r="C37" s="89">
        <v>115.09917225736046</v>
      </c>
      <c r="D37" s="65">
        <v>1.3003637711539344</v>
      </c>
      <c r="E37" s="65">
        <v>1.3172388498328915</v>
      </c>
    </row>
    <row r="38" spans="1:5" x14ac:dyDescent="0.25">
      <c r="A38" s="40" t="s">
        <v>116</v>
      </c>
      <c r="B38" s="66">
        <v>1444.1731199999999</v>
      </c>
      <c r="C38" s="94">
        <v>122.86702026403458</v>
      </c>
      <c r="D38" s="65">
        <v>8.6102388269450159E-2</v>
      </c>
      <c r="E38" s="65">
        <v>9.3106069517537596E-2</v>
      </c>
    </row>
    <row r="39" spans="1:5" x14ac:dyDescent="0.25">
      <c r="A39" s="41" t="s">
        <v>118</v>
      </c>
      <c r="B39" s="67">
        <v>1116.00017</v>
      </c>
      <c r="C39" s="90" t="s">
        <v>103</v>
      </c>
      <c r="D39" s="67">
        <v>4.9083217137244547E-2</v>
      </c>
      <c r="E39" s="67">
        <v>7.1948707513406554E-2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8"/>
  <sheetViews>
    <sheetView topLeftCell="A70" zoomScaleNormal="100" workbookViewId="0">
      <selection activeCell="B81" sqref="B81"/>
    </sheetView>
  </sheetViews>
  <sheetFormatPr defaultRowHeight="15.75" x14ac:dyDescent="0.25"/>
  <cols>
    <col min="1" max="1" width="5.625" customWidth="1"/>
    <col min="2" max="2" width="26.125" customWidth="1"/>
    <col min="3" max="3" width="10.625" customWidth="1"/>
    <col min="4" max="4" width="9.75" customWidth="1"/>
    <col min="5" max="5" width="8" customWidth="1"/>
    <col min="6" max="6" width="8.375" customWidth="1"/>
    <col min="7" max="7" width="9.125" customWidth="1"/>
    <col min="8" max="8" width="9.5" customWidth="1"/>
  </cols>
  <sheetData>
    <row r="1" spans="1:10" x14ac:dyDescent="0.25">
      <c r="B1" s="115" t="s">
        <v>149</v>
      </c>
      <c r="C1" s="115"/>
      <c r="D1" s="115"/>
      <c r="E1" s="115"/>
      <c r="F1" s="115"/>
      <c r="G1" s="115"/>
      <c r="H1" s="115"/>
    </row>
    <row r="2" spans="1:10" x14ac:dyDescent="0.25">
      <c r="B2" s="115" t="s">
        <v>382</v>
      </c>
      <c r="C2" s="115"/>
      <c r="D2" s="115"/>
      <c r="E2" s="115"/>
      <c r="F2" s="115"/>
      <c r="G2" s="115"/>
      <c r="H2" s="115"/>
    </row>
    <row r="3" spans="1:10" x14ac:dyDescent="0.25">
      <c r="B3" s="6"/>
    </row>
    <row r="4" spans="1:10" ht="57" customHeight="1" x14ac:dyDescent="0.25">
      <c r="A4" s="123" t="s">
        <v>291</v>
      </c>
      <c r="B4" s="127"/>
      <c r="C4" s="130" t="s">
        <v>253</v>
      </c>
      <c r="D4" s="121"/>
      <c r="E4" s="130" t="s">
        <v>0</v>
      </c>
      <c r="F4" s="121"/>
      <c r="G4" s="118" t="s">
        <v>106</v>
      </c>
      <c r="H4" s="131"/>
    </row>
    <row r="5" spans="1:10" ht="19.5" customHeight="1" x14ac:dyDescent="0.25">
      <c r="A5" s="124"/>
      <c r="B5" s="128"/>
      <c r="C5" s="132" t="s">
        <v>110</v>
      </c>
      <c r="D5" s="116" t="s">
        <v>254</v>
      </c>
      <c r="E5" s="134" t="s">
        <v>255</v>
      </c>
      <c r="F5" s="134"/>
      <c r="G5" s="134" t="s">
        <v>386</v>
      </c>
      <c r="H5" s="130"/>
    </row>
    <row r="6" spans="1:10" ht="22.5" customHeight="1" x14ac:dyDescent="0.25">
      <c r="A6" s="125"/>
      <c r="B6" s="129"/>
      <c r="C6" s="133"/>
      <c r="D6" s="117"/>
      <c r="E6" s="24">
        <v>2020</v>
      </c>
      <c r="F6" s="24">
        <v>2021</v>
      </c>
      <c r="G6" s="24" t="s">
        <v>135</v>
      </c>
      <c r="H6" s="20" t="s">
        <v>238</v>
      </c>
    </row>
    <row r="7" spans="1:10" ht="16.5" customHeight="1" x14ac:dyDescent="0.25">
      <c r="A7" s="52"/>
      <c r="B7" s="45" t="s">
        <v>100</v>
      </c>
      <c r="C7" s="53">
        <v>712715.47793000005</v>
      </c>
      <c r="D7" s="63">
        <f>IF(675027.19329="","-",712715.47793/675027.19329*100)</f>
        <v>105.58322464852297</v>
      </c>
      <c r="E7" s="63">
        <v>100</v>
      </c>
      <c r="F7" s="63">
        <v>100</v>
      </c>
      <c r="G7" s="63">
        <f>IF(732895.97599="","-",(675027.19329-732895.97599)/732895.97599*100)</f>
        <v>-7.8959067310787878</v>
      </c>
      <c r="H7" s="63">
        <f>IF(675027.19329="","-",(712715.47793-675027.19329)/675027.19329*100)</f>
        <v>5.5832246485229717</v>
      </c>
    </row>
    <row r="8" spans="1:10" ht="13.5" customHeight="1" x14ac:dyDescent="0.25">
      <c r="A8" s="54" t="s">
        <v>292</v>
      </c>
      <c r="B8" s="48" t="s">
        <v>199</v>
      </c>
      <c r="C8" s="55">
        <v>121320.01128999999</v>
      </c>
      <c r="D8" s="64">
        <f>IF(196330.0303="","-",121320.01129/196330.0303*100)</f>
        <v>61.79391461643349</v>
      </c>
      <c r="E8" s="64">
        <f>IF(196330.0303="","-",196330.0303/675027.19329*100)</f>
        <v>29.084758695884748</v>
      </c>
      <c r="F8" s="64">
        <f>IF(121320.01129="","-",121320.01129/712715.47793*100)</f>
        <v>17.022222057301182</v>
      </c>
      <c r="G8" s="64">
        <f>IF(732895.97599="","-",(196330.0303-174240.52819)/732895.97599*100)</f>
        <v>3.0140023732783332</v>
      </c>
      <c r="H8" s="64">
        <f>IF(675027.19329="","-",(121320.01129-196330.0303)/675027.19329*100)</f>
        <v>-11.112147740954015</v>
      </c>
    </row>
    <row r="9" spans="1:10" x14ac:dyDescent="0.25">
      <c r="A9" s="56" t="s">
        <v>293</v>
      </c>
      <c r="B9" s="46" t="s">
        <v>23</v>
      </c>
      <c r="C9" s="57">
        <v>3107.1464900000001</v>
      </c>
      <c r="D9" s="65">
        <f>IF(OR(4372.55013="",3107.14649=""),"-",3107.14649/4372.55013*100)</f>
        <v>71.060282846888725</v>
      </c>
      <c r="E9" s="65">
        <f>IF(4372.55013="","-",4372.55013/675027.19329*100)</f>
        <v>0.64775910859068142</v>
      </c>
      <c r="F9" s="65">
        <f>IF(3107.14649="","-",3107.14649/712715.47793*100)</f>
        <v>0.43595889049924225</v>
      </c>
      <c r="G9" s="65">
        <f>IF(OR(732895.97599="",1683.24035="",4372.55013=""),"-",(4372.55013-1683.24035)/732895.97599*100)</f>
        <v>0.366942904327898</v>
      </c>
      <c r="H9" s="65">
        <f>IF(OR(675027.19329="",3107.14649="",4372.55013=""),"-",(3107.14649-4372.55013)/675027.19329*100)</f>
        <v>-0.18745965385965815</v>
      </c>
      <c r="J9" s="17"/>
    </row>
    <row r="10" spans="1:10" s="9" customFormat="1" x14ac:dyDescent="0.25">
      <c r="A10" s="56" t="s">
        <v>294</v>
      </c>
      <c r="B10" s="46" t="s">
        <v>200</v>
      </c>
      <c r="C10" s="57">
        <v>1363.27531</v>
      </c>
      <c r="D10" s="65" t="s">
        <v>104</v>
      </c>
      <c r="E10" s="65">
        <f>IF(846.06403="","-",846.06403/675027.19329*100)</f>
        <v>0.12533776985729828</v>
      </c>
      <c r="F10" s="65">
        <f>IF(1363.27531="","-",1363.27531/712715.47793*100)</f>
        <v>0.19127903801941779</v>
      </c>
      <c r="G10" s="65">
        <f>IF(OR(732895.97599="",1653.3648="",846.06403=""),"-",(846.06403-1653.3648)/732895.97599*100)</f>
        <v>-0.11015216298731803</v>
      </c>
      <c r="H10" s="65">
        <f>IF(OR(675027.19329="",1363.27531="",846.06403=""),"-",(1363.27531-846.06403)/675027.19329*100)</f>
        <v>7.6620806560277296E-2</v>
      </c>
      <c r="J10" s="17"/>
    </row>
    <row r="11" spans="1:10" s="9" customFormat="1" x14ac:dyDescent="0.25">
      <c r="A11" s="56" t="s">
        <v>295</v>
      </c>
      <c r="B11" s="46" t="s">
        <v>201</v>
      </c>
      <c r="C11" s="57">
        <v>2005.07556</v>
      </c>
      <c r="D11" s="65">
        <f>IF(OR(1727.17086="",2005.07556=""),"-",2005.07556/1727.17086*100)</f>
        <v>116.09016840406861</v>
      </c>
      <c r="E11" s="65">
        <f>IF(1727.17086="","-",1727.17086/675027.19329*100)</f>
        <v>0.25586685650128854</v>
      </c>
      <c r="F11" s="65">
        <f>IF(2005.07556="","-",2005.07556/712715.47793*100)</f>
        <v>0.28132903270510001</v>
      </c>
      <c r="G11" s="65">
        <f>IF(OR(732895.97599="",3498.08691="",1727.17086=""),"-",(1727.17086-3498.08691)/732895.97599*100)</f>
        <v>-0.24163266111644791</v>
      </c>
      <c r="H11" s="65">
        <f>IF(OR(675027.19329="",2005.07556="",1727.17086=""),"-",(2005.07556-1727.17086)/675027.19329*100)</f>
        <v>4.1169408101253899E-2</v>
      </c>
      <c r="J11" s="17"/>
    </row>
    <row r="12" spans="1:10" s="9" customFormat="1" x14ac:dyDescent="0.25">
      <c r="A12" s="56" t="s">
        <v>296</v>
      </c>
      <c r="B12" s="46" t="s">
        <v>202</v>
      </c>
      <c r="C12" s="57">
        <v>1.1313200000000001</v>
      </c>
      <c r="D12" s="65">
        <f>IF(OR(2.63029="",1.13132=""),"-",1.13132/2.63029*100)</f>
        <v>43.011226898935099</v>
      </c>
      <c r="E12" s="65">
        <f>IF(2.63029="","-",2.63029/675027.19329*100)</f>
        <v>3.896568947363866E-4</v>
      </c>
      <c r="F12" s="65">
        <f>IF(1.13132="","-",1.13132/712715.47793*100)</f>
        <v>1.58733749305654E-4</v>
      </c>
      <c r="G12" s="65">
        <f>IF(OR(732895.97599="",12.21815="",2.63029=""),"-",(2.63029-12.21815)/732895.97599*100)</f>
        <v>-1.3082156696315142E-3</v>
      </c>
      <c r="H12" s="65">
        <f>IF(OR(675027.19329="",1.13132="",2.63029=""),"-",(1.13132-2.63029)/675027.19329*100)</f>
        <v>-2.2206068361397467E-4</v>
      </c>
      <c r="J12" s="17"/>
    </row>
    <row r="13" spans="1:10" s="9" customFormat="1" ht="15.75" customHeight="1" x14ac:dyDescent="0.25">
      <c r="A13" s="56" t="s">
        <v>297</v>
      </c>
      <c r="B13" s="46" t="s">
        <v>203</v>
      </c>
      <c r="C13" s="57">
        <v>30371.988730000001</v>
      </c>
      <c r="D13" s="65">
        <f>IF(OR(75967.78326="",30371.98873=""),"-",30371.98873/75967.78326*100)</f>
        <v>39.98009080514008</v>
      </c>
      <c r="E13" s="65">
        <f>IF(75967.78326="","-",75967.78326/675027.19329*100)</f>
        <v>11.254033024913014</v>
      </c>
      <c r="F13" s="65">
        <f>IF(30371.98873="","-",30371.98873/712715.47793*100)</f>
        <v>4.2614464916928618</v>
      </c>
      <c r="G13" s="65">
        <f>IF(OR(732895.97599="",72421.84877="",75967.78326=""),"-",(75967.78326-72421.84877)/732895.97599*100)</f>
        <v>0.48382507288433829</v>
      </c>
      <c r="H13" s="65">
        <f>IF(OR(675027.19329="",30371.98873="",75967.78326=""),"-",(30371.98873-75967.78326)/675027.19329*100)</f>
        <v>-6.7546604023123384</v>
      </c>
      <c r="J13" s="17"/>
    </row>
    <row r="14" spans="1:10" s="9" customFormat="1" x14ac:dyDescent="0.25">
      <c r="A14" s="56" t="s">
        <v>298</v>
      </c>
      <c r="B14" s="46" t="s">
        <v>204</v>
      </c>
      <c r="C14" s="57">
        <v>72588.882180000001</v>
      </c>
      <c r="D14" s="65">
        <f>IF(OR(94325.04613="",72588.88218=""),"-",72588.88218/94325.04613*100)</f>
        <v>76.956105677337334</v>
      </c>
      <c r="E14" s="65">
        <f>IF(94325.04613="","-",94325.04613/675027.19329*100)</f>
        <v>13.973517966035006</v>
      </c>
      <c r="F14" s="65">
        <f>IF(72588.88218="","-",72588.88218/712715.47793*100)</f>
        <v>10.184833138579513</v>
      </c>
      <c r="G14" s="65">
        <f>IF(OR(732895.97599="",79438.75736="",94325.04613=""),"-",(94325.04613-79438.75736)/732895.97599*100)</f>
        <v>2.0311598450095891</v>
      </c>
      <c r="H14" s="65">
        <f>IF(OR(675027.19329="",72588.88218="",94325.04613=""),"-",(72588.88218-94325.04613)/675027.19329*100)</f>
        <v>-3.2200427132513871</v>
      </c>
      <c r="J14" s="17"/>
    </row>
    <row r="15" spans="1:10" s="9" customFormat="1" ht="25.5" x14ac:dyDescent="0.25">
      <c r="A15" s="56" t="s">
        <v>299</v>
      </c>
      <c r="B15" s="46" t="s">
        <v>162</v>
      </c>
      <c r="C15" s="57">
        <v>2317.8512500000002</v>
      </c>
      <c r="D15" s="65">
        <f>IF(OR(6202.71232="",2317.85125=""),"-",2317.85125/6202.71232*100)</f>
        <v>37.368350012402324</v>
      </c>
      <c r="E15" s="65">
        <f>IF(6202.71232="","-",6202.71232/675027.19329*100)</f>
        <v>0.91888332524334893</v>
      </c>
      <c r="F15" s="65">
        <f>IF(2317.85125="","-",2317.85125/712715.47793*100)</f>
        <v>0.32521410321155531</v>
      </c>
      <c r="G15" s="65">
        <f>IF(OR(732895.97599="",3244.46493="",6202.71232=""),"-",(6202.71232-3244.46493)/732895.97599*100)</f>
        <v>0.40363809966400516</v>
      </c>
      <c r="H15" s="65">
        <f>IF(OR(675027.19329="",2317.85125="",6202.71232=""),"-",(2317.85125-6202.71232)/675027.19329*100)</f>
        <v>-0.57551178806081305</v>
      </c>
      <c r="J15" s="17"/>
    </row>
    <row r="16" spans="1:10" s="9" customFormat="1" ht="25.5" x14ac:dyDescent="0.25">
      <c r="A16" s="56" t="s">
        <v>300</v>
      </c>
      <c r="B16" s="46" t="s">
        <v>205</v>
      </c>
      <c r="C16" s="57">
        <v>2669.5278600000001</v>
      </c>
      <c r="D16" s="65">
        <f>IF(OR(2716.00033="",2669.52786=""),"-",2669.52786/2716.00033*100)</f>
        <v>98.288937247662275</v>
      </c>
      <c r="E16" s="65">
        <f>IF(2716.00033="","-",2716.00033/675027.19329*100)</f>
        <v>0.40235420987450099</v>
      </c>
      <c r="F16" s="65">
        <f>IF(2669.52786="","-",2669.52786/712715.47793*100)</f>
        <v>0.37455730128849402</v>
      </c>
      <c r="G16" s="65">
        <f>IF(OR(732895.97599="",2803.52807="",2716.00033=""),"-",(2716.00033-2803.52807)/732895.97599*100)</f>
        <v>-1.1942723506124731E-2</v>
      </c>
      <c r="H16" s="65">
        <f>IF(OR(675027.19329="",2669.52786="",2716.00033=""),"-",(2669.52786-2716.00033)/675027.19329*100)</f>
        <v>-6.8845330176253456E-3</v>
      </c>
      <c r="J16" s="17"/>
    </row>
    <row r="17" spans="1:10" s="9" customFormat="1" ht="25.5" x14ac:dyDescent="0.25">
      <c r="A17" s="56" t="s">
        <v>301</v>
      </c>
      <c r="B17" s="46" t="s">
        <v>163</v>
      </c>
      <c r="C17" s="57">
        <v>5658.9794499999998</v>
      </c>
      <c r="D17" s="65">
        <f>IF(OR(9439.63342="",5658.97945=""),"-",5658.97945/9439.63342*100)</f>
        <v>59.949144190389546</v>
      </c>
      <c r="E17" s="65">
        <f>IF(9439.63342="","-",9439.63342/675027.19329*100)</f>
        <v>1.3984078736135623</v>
      </c>
      <c r="F17" s="65">
        <f>IF(5658.97945="","-",5658.97945/712715.47793*100)</f>
        <v>0.79400260345627027</v>
      </c>
      <c r="G17" s="65">
        <f>IF(OR(732895.97599="",8859.99411="",9439.63342=""),"-",(9439.63342-8859.99411)/732895.97599*100)</f>
        <v>7.9088892419830858E-2</v>
      </c>
      <c r="H17" s="65">
        <f>IF(OR(675027.19329="",5658.97945="",9439.63342=""),"-",(5658.97945-9439.63342)/675027.19329*100)</f>
        <v>-0.56007432109120747</v>
      </c>
      <c r="J17" s="17"/>
    </row>
    <row r="18" spans="1:10" s="9" customFormat="1" ht="25.5" x14ac:dyDescent="0.25">
      <c r="A18" s="56" t="s">
        <v>302</v>
      </c>
      <c r="B18" s="46" t="s">
        <v>206</v>
      </c>
      <c r="C18" s="57">
        <v>1236.1531399999999</v>
      </c>
      <c r="D18" s="65" t="s">
        <v>103</v>
      </c>
      <c r="E18" s="65">
        <f>IF(730.43953="","-",730.43953/675027.19329*100)</f>
        <v>0.10820890436130833</v>
      </c>
      <c r="F18" s="65">
        <f>IF(1236.15314="","-",1236.15314/712715.47793*100)</f>
        <v>0.17344272409942102</v>
      </c>
      <c r="G18" s="65">
        <f>IF(OR(732895.97599="",625.02474="",730.43953=""),"-",(730.43953-625.02474)/732895.97599*100)</f>
        <v>1.4383322252193451E-2</v>
      </c>
      <c r="H18" s="65">
        <f>IF(OR(675027.19329="",1236.15314="",730.43953=""),"-",(1236.15314-730.43953)/675027.19329*100)</f>
        <v>7.4917516661101261E-2</v>
      </c>
      <c r="J18" s="17"/>
    </row>
    <row r="19" spans="1:10" s="9" customFormat="1" x14ac:dyDescent="0.25">
      <c r="A19" s="54" t="s">
        <v>303</v>
      </c>
      <c r="B19" s="48" t="s">
        <v>207</v>
      </c>
      <c r="C19" s="55">
        <v>48856.941290000002</v>
      </c>
      <c r="D19" s="64">
        <f>IF(46802.60652="","-",48856.94129/46802.60652*100)</f>
        <v>104.38935974457348</v>
      </c>
      <c r="E19" s="64">
        <f>IF(46802.60652="","-",46802.60652/675027.19329*100)</f>
        <v>6.9334401614088801</v>
      </c>
      <c r="F19" s="64">
        <f>IF(48856.94129="","-",48856.94129/712715.47793*100)</f>
        <v>6.8550414299826006</v>
      </c>
      <c r="G19" s="64">
        <f>IF(732895.97599="","-",(46802.60652-49314.08197)/732895.97599*100)</f>
        <v>-0.34267829709495717</v>
      </c>
      <c r="H19" s="64">
        <f>IF(675027.19329="","-",(48856.94129-46802.60652)/675027.19329*100)</f>
        <v>0.30433363135897162</v>
      </c>
    </row>
    <row r="20" spans="1:10" s="9" customFormat="1" x14ac:dyDescent="0.25">
      <c r="A20" s="56" t="s">
        <v>304</v>
      </c>
      <c r="B20" s="46" t="s">
        <v>208</v>
      </c>
      <c r="C20" s="57">
        <v>45286.535029999999</v>
      </c>
      <c r="D20" s="65">
        <f>IF(OR(42837.44039="",45286.53503=""),"-",45286.53503/42837.44039*100)</f>
        <v>105.71718248733582</v>
      </c>
      <c r="E20" s="65">
        <f>IF(42837.44039="","-",42837.44039/675027.19329*100)</f>
        <v>6.3460318066914549</v>
      </c>
      <c r="F20" s="65">
        <f>IF(45286.53503="","-",45286.53503/712715.47793*100)</f>
        <v>6.3540832818068607</v>
      </c>
      <c r="G20" s="65">
        <f>IF(OR(732895.97599="",43398.50873="",42837.44039=""),"-",(42837.44039-43398.50873)/732895.97599*100)</f>
        <v>-7.6554976201377523E-2</v>
      </c>
      <c r="H20" s="65">
        <f>IF(OR(675027.19329="",45286.53503="",42837.44039=""),"-",(45286.53503-42837.44039)/675027.19329*100)</f>
        <v>0.36281421909292394</v>
      </c>
    </row>
    <row r="21" spans="1:10" s="9" customFormat="1" x14ac:dyDescent="0.25">
      <c r="A21" s="56" t="s">
        <v>305</v>
      </c>
      <c r="B21" s="46" t="s">
        <v>209</v>
      </c>
      <c r="C21" s="57">
        <v>3570.4062600000002</v>
      </c>
      <c r="D21" s="65">
        <f>IF(OR(3965.16613="",3570.40626=""),"-",3570.40626/3965.16613*100)</f>
        <v>90.044304398413701</v>
      </c>
      <c r="E21" s="65">
        <f>IF(3965.16613="","-",3965.16613/675027.19329*100)</f>
        <v>0.58740835471742481</v>
      </c>
      <c r="F21" s="65">
        <f>IF(3570.40626="","-",3570.40626/712715.47793*100)</f>
        <v>0.50095814817573958</v>
      </c>
      <c r="G21" s="65">
        <f>IF(OR(732895.97599="",5915.57324="",3965.16613=""),"-",(3965.16613-5915.57324)/732895.97599*100)</f>
        <v>-0.2661233208935796</v>
      </c>
      <c r="H21" s="65">
        <f>IF(OR(675027.19329="",3570.40626="",3965.16613=""),"-",(3570.40626-3965.16613)/675027.19329*100)</f>
        <v>-5.8480587733953142E-2</v>
      </c>
    </row>
    <row r="22" spans="1:10" s="9" customFormat="1" ht="25.5" x14ac:dyDescent="0.25">
      <c r="A22" s="54" t="s">
        <v>306</v>
      </c>
      <c r="B22" s="48" t="s">
        <v>24</v>
      </c>
      <c r="C22" s="55">
        <v>78118.921390000003</v>
      </c>
      <c r="D22" s="64">
        <f>IF(64999.42874="","-",78118.92139/64999.42874*100)</f>
        <v>120.1840122356743</v>
      </c>
      <c r="E22" s="64">
        <f>IF(64999.42874="","-",64999.42874/675027.19329*100)</f>
        <v>9.6291570748729001</v>
      </c>
      <c r="F22" s="64">
        <f>IF(78118.92139="","-",78118.92139/712715.47793*100)</f>
        <v>10.960744337542296</v>
      </c>
      <c r="G22" s="64">
        <f>IF(732895.97599="","-",(64999.42874-93530.17845)/732895.97599*100)</f>
        <v>-3.8928784772573639</v>
      </c>
      <c r="H22" s="64">
        <f>IF(675027.19329="","-",(78118.92139-64999.42874)/675027.19329*100)</f>
        <v>1.943550242184644</v>
      </c>
    </row>
    <row r="23" spans="1:10" s="9" customFormat="1" ht="15" customHeight="1" x14ac:dyDescent="0.25">
      <c r="A23" s="56" t="s">
        <v>307</v>
      </c>
      <c r="B23" s="46" t="s">
        <v>216</v>
      </c>
      <c r="C23" s="57">
        <v>445.97507000000002</v>
      </c>
      <c r="D23" s="65">
        <f>IF(OR(570.00194="",445.97507=""),"-",445.97507/570.00194*100)</f>
        <v>78.240974057035672</v>
      </c>
      <c r="E23" s="65">
        <f>IF(570.00194="","-",570.00194/675027.19329*100)</f>
        <v>8.4441330018407146E-2</v>
      </c>
      <c r="F23" s="65">
        <f>IF(445.97507="","-",445.97507/712715.47793*100)</f>
        <v>6.2574068307774539E-2</v>
      </c>
      <c r="G23" s="65">
        <f>IF(OR(732895.97599="",417.25646="",570.00194=""),"-",(570.00194-417.25646)/732895.97599*100)</f>
        <v>2.0841358801795922E-2</v>
      </c>
      <c r="H23" s="65">
        <f>IF(OR(675027.19329="",445.97507="",570.00194=""),"-",(445.97507-570.00194)/675027.19329*100)</f>
        <v>-1.8373610905289339E-2</v>
      </c>
      <c r="I23" s="7"/>
    </row>
    <row r="24" spans="1:10" s="9" customFormat="1" x14ac:dyDescent="0.25">
      <c r="A24" s="56" t="s">
        <v>308</v>
      </c>
      <c r="B24" s="46" t="s">
        <v>210</v>
      </c>
      <c r="C24" s="57">
        <v>57031.620009999999</v>
      </c>
      <c r="D24" s="65">
        <f>IF(OR(57050.04184="",57031.62001=""),"-",57031.62001/57050.04184*100)</f>
        <v>99.967709348835072</v>
      </c>
      <c r="E24" s="65">
        <f>IF(57050.04184="","-",57050.04184/675027.19329*100)</f>
        <v>8.4515175695285798</v>
      </c>
      <c r="F24" s="65">
        <f>IF(57031.62001="","-",57031.62001/712715.47793*100)</f>
        <v>8.0020178845619814</v>
      </c>
      <c r="G24" s="65">
        <f>IF(OR(732895.97599="",84852.91975="",57050.04184=""),"-",(57050.04184-84852.91975)/732895.97599*100)</f>
        <v>-3.7935640010089728</v>
      </c>
      <c r="H24" s="65">
        <f>IF(OR(675027.19329="",57031.62001="",57050.04184=""),"-",(57031.62001-57050.04184)/675027.19329*100)</f>
        <v>-2.7290500565189933E-3</v>
      </c>
      <c r="I24" s="8"/>
    </row>
    <row r="25" spans="1:10" s="9" customFormat="1" x14ac:dyDescent="0.25">
      <c r="A25" s="56" t="s">
        <v>309</v>
      </c>
      <c r="B25" s="46" t="s">
        <v>212</v>
      </c>
      <c r="C25" s="57">
        <v>384.23511999999999</v>
      </c>
      <c r="D25" s="65">
        <f>IF(OR(423.40512="",384.23512=""),"-",384.23512/423.40512*100)</f>
        <v>90.748812862725885</v>
      </c>
      <c r="E25" s="65">
        <f>IF(423.40512="","-",423.40512/675027.19329*100)</f>
        <v>6.2724157516732812E-2</v>
      </c>
      <c r="F25" s="65">
        <f>IF(384.23512="","-",384.23512/712715.47793*100)</f>
        <v>5.3911431966647702E-2</v>
      </c>
      <c r="G25" s="65">
        <f>IF(OR(732895.97599="",131.42262="",423.40512=""),"-",(423.40512-131.42262)/732895.97599*100)</f>
        <v>3.9839555621190091E-2</v>
      </c>
      <c r="H25" s="65">
        <f>IF(OR(675027.19329="",384.23512="",423.40512=""),"-",(384.23512-423.40512)/675027.19329*100)</f>
        <v>-5.8027291921515381E-3</v>
      </c>
      <c r="I25" s="8"/>
    </row>
    <row r="26" spans="1:10" s="9" customFormat="1" ht="14.25" customHeight="1" x14ac:dyDescent="0.25">
      <c r="A26" s="56" t="s">
        <v>310</v>
      </c>
      <c r="B26" s="46" t="s">
        <v>164</v>
      </c>
      <c r="C26" s="57">
        <v>861.70284000000004</v>
      </c>
      <c r="D26" s="65" t="s">
        <v>95</v>
      </c>
      <c r="E26" s="65">
        <f>IF(410.7934="","-",410.7934/675027.19329*100)</f>
        <v>6.0855829821883659E-2</v>
      </c>
      <c r="F26" s="65">
        <f>IF(861.70284="","-",861.70284/712715.47793*100)</f>
        <v>0.1209041850055953</v>
      </c>
      <c r="G26" s="65">
        <f>IF(OR(732895.97599="",604.78153="",410.7934=""),"-",(410.7934-604.78153)/732895.97599*100)</f>
        <v>-2.6468712662524815E-2</v>
      </c>
      <c r="H26" s="65">
        <f>IF(OR(675027.19329="",861.70284="",410.7934=""),"-",(861.70284-410.7934)/675027.19329*100)</f>
        <v>6.6798707442039862E-2</v>
      </c>
      <c r="I26" s="8"/>
    </row>
    <row r="27" spans="1:10" s="9" customFormat="1" ht="41.25" customHeight="1" x14ac:dyDescent="0.25">
      <c r="A27" s="56" t="s">
        <v>311</v>
      </c>
      <c r="B27" s="46" t="s">
        <v>165</v>
      </c>
      <c r="C27" s="57">
        <v>36.833779999999997</v>
      </c>
      <c r="D27" s="65" t="s">
        <v>277</v>
      </c>
      <c r="E27" s="65">
        <f>IF(12.29931="","-",12.29931/675027.19329*100)</f>
        <v>1.8220465963829796E-3</v>
      </c>
      <c r="F27" s="65">
        <f>IF(36.83378="","-",36.83378/712715.47793*100)</f>
        <v>5.1680903727500714E-3</v>
      </c>
      <c r="G27" s="65">
        <f>IF(OR(732895.97599="",72.22715="",12.29931=""),"-",(12.29931-72.22715)/732895.97599*100)</f>
        <v>-8.1768548284153336E-3</v>
      </c>
      <c r="H27" s="65">
        <f>IF(OR(675027.19329="",36.83378="",12.29931=""),"-",(36.83378-12.29931)/675027.19329*100)</f>
        <v>3.6345898719164177E-3</v>
      </c>
      <c r="I27" s="8"/>
    </row>
    <row r="28" spans="1:10" s="9" customFormat="1" ht="38.25" x14ac:dyDescent="0.25">
      <c r="A28" s="56" t="s">
        <v>312</v>
      </c>
      <c r="B28" s="46" t="s">
        <v>166</v>
      </c>
      <c r="C28" s="57">
        <v>1403.5361499999999</v>
      </c>
      <c r="D28" s="65">
        <f>IF(OR(2171.24546="",1403.53615=""),"-",1403.53615/2171.24546*100)</f>
        <v>64.641984329123233</v>
      </c>
      <c r="E28" s="65">
        <f>IF(2171.24546="","-",2171.24546/675027.19329*100)</f>
        <v>0.32165303584550653</v>
      </c>
      <c r="F28" s="65">
        <f>IF(1403.53615="","-",1403.53615/712715.47793*100)</f>
        <v>0.19692797384959407</v>
      </c>
      <c r="G28" s="65">
        <f>IF(OR(732895.97599="",2287.31558="",2171.24546=""),"-",(2171.24546-2287.31558)/732895.97599*100)</f>
        <v>-1.5837188878436902E-2</v>
      </c>
      <c r="H28" s="65">
        <f>IF(OR(675027.19329="",1403.53615="",2171.24546=""),"-",(1403.53615-2171.24546)/675027.19329*100)</f>
        <v>-0.11373013082010502</v>
      </c>
      <c r="I28" s="8"/>
    </row>
    <row r="29" spans="1:10" s="9" customFormat="1" ht="25.5" x14ac:dyDescent="0.25">
      <c r="A29" s="56" t="s">
        <v>313</v>
      </c>
      <c r="B29" s="46" t="s">
        <v>167</v>
      </c>
      <c r="C29" s="57">
        <v>16982.228859999999</v>
      </c>
      <c r="D29" s="65" t="s">
        <v>361</v>
      </c>
      <c r="E29" s="65">
        <f>IF(2766.18783="","-",2766.18783/675027.19329*100)</f>
        <v>0.4097890955352389</v>
      </c>
      <c r="F29" s="65">
        <f>IF(16982.22886="","-",16982.22886/712715.47793*100)</f>
        <v>2.3827501135969329</v>
      </c>
      <c r="G29" s="65">
        <f>IF(OR(732895.97599="",3954.32632="",2766.18783=""),"-",(2766.18783-3954.32632)/732895.97599*100)</f>
        <v>-0.16211557013873029</v>
      </c>
      <c r="H29" s="65">
        <f>IF(OR(675027.19329="",16982.22886="",2766.18783=""),"-",(16982.22886-2766.18783)/675027.19329*100)</f>
        <v>2.105995309716747</v>
      </c>
    </row>
    <row r="30" spans="1:10" s="9" customFormat="1" ht="25.5" x14ac:dyDescent="0.25">
      <c r="A30" s="56" t="s">
        <v>314</v>
      </c>
      <c r="B30" s="46" t="s">
        <v>168</v>
      </c>
      <c r="C30" s="57">
        <v>972.78502000000003</v>
      </c>
      <c r="D30" s="65">
        <f>IF(OR(1595.33765="",972.78502=""),"-",972.78502/1595.33765*100)</f>
        <v>60.976748088406239</v>
      </c>
      <c r="E30" s="65">
        <f>IF(1595.33765="","-",1595.33765/675027.19329*100)</f>
        <v>0.23633679737026878</v>
      </c>
      <c r="F30" s="65">
        <f>IF(972.78502="","-",972.78502/712715.47793*100)</f>
        <v>0.13648995288068416</v>
      </c>
      <c r="G30" s="65">
        <f>IF(OR(732895.97599="",1209.7718="",1595.33765=""),"-",(1595.33765-1209.7718)/732895.97599*100)</f>
        <v>5.2608536904459796E-2</v>
      </c>
      <c r="H30" s="65">
        <f>IF(OR(675027.19329="",972.78502="",1595.33765=""),"-",(972.78502-1595.33765)/675027.19329*100)</f>
        <v>-9.2226303797592876E-2</v>
      </c>
    </row>
    <row r="31" spans="1:10" s="9" customFormat="1" ht="25.5" x14ac:dyDescent="0.25">
      <c r="A31" s="54" t="s">
        <v>315</v>
      </c>
      <c r="B31" s="48" t="s">
        <v>169</v>
      </c>
      <c r="C31" s="55">
        <v>12219.62579</v>
      </c>
      <c r="D31" s="64" t="s">
        <v>362</v>
      </c>
      <c r="E31" s="64">
        <f>IF(1658.79914="","-",1658.79914/675027.19329*100)</f>
        <v>0.24573812084743074</v>
      </c>
      <c r="F31" s="64">
        <f>IF(12219.62579="","-",12219.62579/712715.47793*100)</f>
        <v>1.7145166856051022</v>
      </c>
      <c r="G31" s="64">
        <f>IF(732895.97599="","-",(1658.79914-4461.40887)/732895.97599*100)</f>
        <v>-0.38240211732834517</v>
      </c>
      <c r="H31" s="64">
        <f>IF(675027.19329="","-",(12219.62579-1658.79914)/675027.19329*100)</f>
        <v>1.5645038829514144</v>
      </c>
    </row>
    <row r="32" spans="1:10" s="9" customFormat="1" x14ac:dyDescent="0.25">
      <c r="A32" s="56" t="s">
        <v>316</v>
      </c>
      <c r="B32" s="46" t="s">
        <v>213</v>
      </c>
      <c r="C32" s="57">
        <v>324.18759</v>
      </c>
      <c r="D32" s="65" t="s">
        <v>363</v>
      </c>
      <c r="E32" s="65">
        <f>IF(29.03046="","-",29.03046/675027.19329*100)</f>
        <v>4.3006356319527051E-3</v>
      </c>
      <c r="F32" s="65">
        <f>IF(324.18759="","-",324.18759/712715.47793*100)</f>
        <v>4.5486256442972932E-2</v>
      </c>
      <c r="G32" s="65">
        <f>IF(OR(732895.97599="",0.09731="",29.03046=""),"-",(29.03046-0.09731)/732895.97599*100)</f>
        <v>3.9477839895241534E-3</v>
      </c>
      <c r="H32" s="65">
        <f>IF(OR(675027.19329="",324.18759="",29.03046=""),"-",(324.18759-29.03046)/675027.19329*100)</f>
        <v>4.3725220692434667E-2</v>
      </c>
    </row>
    <row r="33" spans="1:8" s="9" customFormat="1" ht="25.5" x14ac:dyDescent="0.25">
      <c r="A33" s="56" t="s">
        <v>317</v>
      </c>
      <c r="B33" s="46" t="s">
        <v>170</v>
      </c>
      <c r="C33" s="57">
        <v>11894.04104</v>
      </c>
      <c r="D33" s="65" t="s">
        <v>364</v>
      </c>
      <c r="E33" s="65">
        <f>IF(1628.01818="","-",1628.01818/675027.19329*100)</f>
        <v>0.24117816232931871</v>
      </c>
      <c r="F33" s="65">
        <f>IF(11894.04104="","-",11894.04104/712715.47793*100)</f>
        <v>1.6688343958159675</v>
      </c>
      <c r="G33" s="65">
        <f>IF(OR(732895.97599="",4459.45047="",1628.01818=""),"-",(1628.01818-4459.45047)/732895.97599*100)</f>
        <v>-0.38633481186402818</v>
      </c>
      <c r="H33" s="65">
        <f>IF(OR(675027.19329="",11894.04104="",1628.01818=""),"-",(11894.04104-1628.01818)/675027.19329*100)</f>
        <v>1.5208310068168753</v>
      </c>
    </row>
    <row r="34" spans="1:8" s="9" customFormat="1" ht="25.5" x14ac:dyDescent="0.25">
      <c r="A34" s="54" t="s">
        <v>318</v>
      </c>
      <c r="B34" s="48" t="s">
        <v>171</v>
      </c>
      <c r="C34" s="55">
        <v>24704.88883</v>
      </c>
      <c r="D34" s="64">
        <f>IF(30451.45886="","-",24704.88883/30451.45886*100)</f>
        <v>81.128752955910116</v>
      </c>
      <c r="E34" s="64">
        <f>IF(30451.45886="","-",30451.45886/675027.19329*100)</f>
        <v>4.5111455009069061</v>
      </c>
      <c r="F34" s="64">
        <f>IF(24704.88883="","-",24704.88883/712715.47793*100)</f>
        <v>3.4663045205293566</v>
      </c>
      <c r="G34" s="64">
        <f>IF(732895.97599="","-",(30451.45886-25240.32196)/732895.97599*100)</f>
        <v>0.71103363515685369</v>
      </c>
      <c r="H34" s="64">
        <f>IF(675027.19329="","-",(24704.88883-30451.45886)/675027.19329*100)</f>
        <v>-0.85130941199448862</v>
      </c>
    </row>
    <row r="35" spans="1:8" s="9" customFormat="1" x14ac:dyDescent="0.25">
      <c r="A35" s="56" t="s">
        <v>319</v>
      </c>
      <c r="B35" s="46" t="s">
        <v>217</v>
      </c>
      <c r="C35" s="57">
        <v>4.1630200000000004</v>
      </c>
      <c r="D35" s="65" t="str">
        <f>IF(OR(""="",4.16302=""),"-",4.16302/""*100)</f>
        <v>-</v>
      </c>
      <c r="E35" s="65" t="str">
        <f>IF(""="","-",""/675027.19329*100)</f>
        <v>-</v>
      </c>
      <c r="F35" s="65">
        <f>IF(4.16302="","-",4.16302/712715.47793*100)</f>
        <v>5.8410686015842E-4</v>
      </c>
      <c r="G35" s="65" t="str">
        <f>IF(OR(732895.97599="",""="",""=""),"-",(""-"")/732895.97599*100)</f>
        <v>-</v>
      </c>
      <c r="H35" s="65" t="str">
        <f>IF(OR(675027.19329="",4.16302="",""=""),"-",(4.16302-"")/675027.19329*100)</f>
        <v>-</v>
      </c>
    </row>
    <row r="36" spans="1:8" s="9" customFormat="1" ht="25.5" x14ac:dyDescent="0.25">
      <c r="A36" s="56" t="s">
        <v>320</v>
      </c>
      <c r="B36" s="46" t="s">
        <v>172</v>
      </c>
      <c r="C36" s="57">
        <v>24697.163479999999</v>
      </c>
      <c r="D36" s="65">
        <f>IF(OR(30435.96176="",24697.16348=""),"-",24697.16348/30435.96176*100)</f>
        <v>81.14467903050749</v>
      </c>
      <c r="E36" s="65">
        <f>IF(30435.96176="","-",30435.96176/675027.19329*100)</f>
        <v>4.5088497267286147</v>
      </c>
      <c r="F36" s="65">
        <f>IF(24697.16348="","-",24697.16348/712715.47793*100)</f>
        <v>3.4652205886884992</v>
      </c>
      <c r="G36" s="65">
        <f>IF(OR(732895.97599="",25240.32196="",30435.96176=""),"-",(30435.96176-25240.32196)/732895.97599*100)</f>
        <v>0.70891913316643584</v>
      </c>
      <c r="H36" s="65">
        <f>IF(OR(675027.19329="",24697.16348="",30435.96176=""),"-",(24697.16348-30435.96176)/675027.19329*100)</f>
        <v>-0.85015808800676573</v>
      </c>
    </row>
    <row r="37" spans="1:8" s="9" customFormat="1" ht="63.75" x14ac:dyDescent="0.25">
      <c r="A37" s="56" t="s">
        <v>321</v>
      </c>
      <c r="B37" s="46" t="s">
        <v>215</v>
      </c>
      <c r="C37" s="57">
        <v>3.5623300000000002</v>
      </c>
      <c r="D37" s="65">
        <f>IF(OR(15.4971="",3.56233=""),"-",3.56233/15.4971*100)</f>
        <v>22.987075001129245</v>
      </c>
      <c r="E37" s="65">
        <f>IF(15.4971="","-",15.4971/675027.19329*100)</f>
        <v>2.2957741782918448E-3</v>
      </c>
      <c r="F37" s="65">
        <f>IF(3.56233="","-",3.56233/712715.47793*100)</f>
        <v>4.9982498069866209E-4</v>
      </c>
      <c r="G37" s="65" t="str">
        <f>IF(OR(732895.97599="",""="",15.4971=""),"-",(15.4971-"")/732895.97599*100)</f>
        <v>-</v>
      </c>
      <c r="H37" s="65">
        <f>IF(OR(675027.19329="",3.56233="",15.4971=""),"-",(3.56233-15.4971)/675027.19329*100)</f>
        <v>-1.7680428460713398E-3</v>
      </c>
    </row>
    <row r="38" spans="1:8" s="9" customFormat="1" ht="25.5" x14ac:dyDescent="0.25">
      <c r="A38" s="54" t="s">
        <v>322</v>
      </c>
      <c r="B38" s="48" t="s">
        <v>173</v>
      </c>
      <c r="C38" s="55">
        <v>35218.815799999997</v>
      </c>
      <c r="D38" s="64" t="s">
        <v>103</v>
      </c>
      <c r="E38" s="64">
        <f>IF(21270.89485="","-",21270.89485/675027.19329*100)</f>
        <v>3.1511167344723194</v>
      </c>
      <c r="F38" s="64">
        <f>IF(35218.8158="","-",35218.8158/712715.47793*100)</f>
        <v>4.9414972581048735</v>
      </c>
      <c r="G38" s="64">
        <f>IF(732895.97599="","-",(21270.89485-27313.83058)/732895.97599*100)</f>
        <v>-0.82452843622686967</v>
      </c>
      <c r="H38" s="64">
        <f>IF(675027.19329="","-",(35218.8158-21270.89485)/675027.19329*100)</f>
        <v>2.0662754165531516</v>
      </c>
    </row>
    <row r="39" spans="1:8" s="9" customFormat="1" x14ac:dyDescent="0.25">
      <c r="A39" s="56" t="s">
        <v>323</v>
      </c>
      <c r="B39" s="46" t="s">
        <v>25</v>
      </c>
      <c r="C39" s="57">
        <v>8059.8788500000001</v>
      </c>
      <c r="D39" s="65">
        <f>IF(OR(7963.96529="",8059.87885=""),"-",8059.87885/7963.96529*100)</f>
        <v>101.20434427458436</v>
      </c>
      <c r="E39" s="65">
        <f>IF(7963.96529="","-",7963.96529/675027.19329*100)</f>
        <v>1.1797991798203873</v>
      </c>
      <c r="F39" s="65">
        <f>IF(8059.87885="","-",8059.87885/712715.47793*100)</f>
        <v>1.1308690634036727</v>
      </c>
      <c r="G39" s="65">
        <f>IF(OR(732895.97599="",4130.45827="",7963.96529=""),"-",(7963.96529-4130.45827)/732895.97599*100)</f>
        <v>0.52306291009739514</v>
      </c>
      <c r="H39" s="65">
        <f>IF(OR(675027.19329="",8059.87885="",7963.96529=""),"-",(8059.87885-7963.96529)/675027.19329*100)</f>
        <v>1.4208843873759959E-2</v>
      </c>
    </row>
    <row r="40" spans="1:8" s="9" customFormat="1" x14ac:dyDescent="0.25">
      <c r="A40" s="56" t="s">
        <v>324</v>
      </c>
      <c r="B40" s="46" t="s">
        <v>26</v>
      </c>
      <c r="C40" s="57">
        <v>188.00881000000001</v>
      </c>
      <c r="D40" s="65">
        <f>IF(OR(284.28203="",188.00881=""),"-",188.00881/284.28203*100)</f>
        <v>66.134609352550356</v>
      </c>
      <c r="E40" s="65">
        <f>IF(284.28203="","-",284.28203/675027.19329*100)</f>
        <v>4.2114159670285901E-2</v>
      </c>
      <c r="F40" s="65">
        <f>IF(188.00881="","-",188.00881/712715.47793*100)</f>
        <v>2.63792236624424E-2</v>
      </c>
      <c r="G40" s="65">
        <f>IF(OR(732895.97599="",241.6246="",284.28203=""),"-",(284.28203-241.6246)/732895.97599*100)</f>
        <v>5.8203935343454629E-3</v>
      </c>
      <c r="H40" s="65">
        <f>IF(OR(675027.19329="",188.00881="",284.28203=""),"-",(188.00881-284.28203)/675027.19329*100)</f>
        <v>-1.4262124690233012E-2</v>
      </c>
    </row>
    <row r="41" spans="1:8" s="9" customFormat="1" x14ac:dyDescent="0.25">
      <c r="A41" s="56" t="s">
        <v>325</v>
      </c>
      <c r="B41" s="46" t="s">
        <v>174</v>
      </c>
      <c r="C41" s="57">
        <v>394.03345000000002</v>
      </c>
      <c r="D41" s="65" t="s">
        <v>223</v>
      </c>
      <c r="E41" s="65">
        <f>IF(216.69822="","-",216.69822/675027.19329*100)</f>
        <v>3.2102146721503085E-2</v>
      </c>
      <c r="F41" s="65">
        <f>IF(394.03345="","-",394.03345/712715.47793*100)</f>
        <v>5.5286220406553364E-2</v>
      </c>
      <c r="G41" s="65">
        <f>IF(OR(732895.97599="",206.76989="",216.69822=""),"-",(216.69822-206.76989)/732895.97599*100)</f>
        <v>1.3546711027562601E-3</v>
      </c>
      <c r="H41" s="65">
        <f>IF(OR(675027.19329="",394.03345="",216.69822=""),"-",(394.03345-216.69822)/675027.19329*100)</f>
        <v>2.6270827570025707E-2</v>
      </c>
    </row>
    <row r="42" spans="1:8" s="9" customFormat="1" x14ac:dyDescent="0.25">
      <c r="A42" s="56" t="s">
        <v>326</v>
      </c>
      <c r="B42" s="46" t="s">
        <v>175</v>
      </c>
      <c r="C42" s="57">
        <v>20962.798200000001</v>
      </c>
      <c r="D42" s="65" t="s">
        <v>365</v>
      </c>
      <c r="E42" s="65">
        <f>IF(8037.17211="","-",8037.17211/675027.19329*100)</f>
        <v>1.1906441977289546</v>
      </c>
      <c r="F42" s="65">
        <f>IF(20962.7982="","-",20962.7982/712715.47793*100)</f>
        <v>2.9412576054730888</v>
      </c>
      <c r="G42" s="65">
        <f>IF(OR(732895.97599="",17877.39862="",8037.17211=""),"-",(8037.17211-17877.39862)/732895.97599*100)</f>
        <v>-1.3426498210346658</v>
      </c>
      <c r="H42" s="65">
        <f>IF(OR(675027.19329="",20962.7982="",8037.17211=""),"-",(20962.7982-8037.17211)/675027.19329*100)</f>
        <v>1.9148304273494645</v>
      </c>
    </row>
    <row r="43" spans="1:8" s="9" customFormat="1" ht="40.5" customHeight="1" x14ac:dyDescent="0.25">
      <c r="A43" s="56" t="s">
        <v>327</v>
      </c>
      <c r="B43" s="46" t="s">
        <v>176</v>
      </c>
      <c r="C43" s="57">
        <v>2298.4060599999998</v>
      </c>
      <c r="D43" s="65">
        <f>IF(OR(3184.41495="",2298.40606=""),"-",2298.40606/3184.41495*100)</f>
        <v>72.176713653476597</v>
      </c>
      <c r="E43" s="65">
        <f>IF(3184.41495="","-",3184.41495/675027.19329*100)</f>
        <v>0.47174617284372661</v>
      </c>
      <c r="F43" s="65">
        <f>IF(2298.40606="","-",2298.40606/712715.47793*100)</f>
        <v>0.32248577885181551</v>
      </c>
      <c r="G43" s="65">
        <f>IF(OR(732895.97599="",3475.83397="",3184.41495=""),"-",(3184.41495-3475.83397)/732895.97599*100)</f>
        <v>-3.9762671586011898E-2</v>
      </c>
      <c r="H43" s="65">
        <f>IF(OR(675027.19329="",2298.40606="",3184.41495=""),"-",(2298.40606-3184.41495)/675027.19329*100)</f>
        <v>-0.13125528849907531</v>
      </c>
    </row>
    <row r="44" spans="1:8" s="9" customFormat="1" x14ac:dyDescent="0.25">
      <c r="A44" s="56" t="s">
        <v>328</v>
      </c>
      <c r="B44" s="46" t="s">
        <v>177</v>
      </c>
      <c r="C44" s="57">
        <v>46.68694</v>
      </c>
      <c r="D44" s="65" t="str">
        <f>IF(OR(""="",46.68694=""),"-",46.68694/""*100)</f>
        <v>-</v>
      </c>
      <c r="E44" s="65" t="str">
        <f>IF(""="","-",""/675027.19329*100)</f>
        <v>-</v>
      </c>
      <c r="F44" s="65">
        <f>IF(46.68694="","-",46.68694/712715.47793*100)</f>
        <v>6.5505719246615546E-3</v>
      </c>
      <c r="G44" s="65" t="str">
        <f>IF(OR(732895.97599="",20.17404="",""=""),"-",(""-20.17404)/732895.97599*100)</f>
        <v>-</v>
      </c>
      <c r="H44" s="65" t="str">
        <f>IF(OR(675027.19329="",46.68694="",""=""),"-",(46.68694-"")/675027.19329*100)</f>
        <v>-</v>
      </c>
    </row>
    <row r="45" spans="1:8" s="9" customFormat="1" x14ac:dyDescent="0.25">
      <c r="A45" s="56" t="s">
        <v>329</v>
      </c>
      <c r="B45" s="46" t="s">
        <v>27</v>
      </c>
      <c r="C45" s="57">
        <v>345.69904000000002</v>
      </c>
      <c r="D45" s="65">
        <f>IF(OR(529.7841="",345.69904=""),"-",345.69904/529.7841*100)</f>
        <v>65.252815250589819</v>
      </c>
      <c r="E45" s="65">
        <f>IF(529.7841="","-",529.7841/675027.19329*100)</f>
        <v>7.8483371524322915E-2</v>
      </c>
      <c r="F45" s="65">
        <f>IF(345.69904="","-",345.69904/712715.47793*100)</f>
        <v>4.8504494529015008E-2</v>
      </c>
      <c r="G45" s="65">
        <f>IF(OR(732895.97599="",355.42885="",529.7841=""),"-",(529.7841-355.42885)/732895.97599*100)</f>
        <v>2.378990412172477E-2</v>
      </c>
      <c r="H45" s="65">
        <f>IF(OR(675027.19329="",345.69904="",529.7841=""),"-",(345.69904-529.7841)/675027.19329*100)</f>
        <v>-2.7270762101122455E-2</v>
      </c>
    </row>
    <row r="46" spans="1:8" x14ac:dyDescent="0.25">
      <c r="A46" s="56" t="s">
        <v>330</v>
      </c>
      <c r="B46" s="46" t="s">
        <v>28</v>
      </c>
      <c r="C46" s="57">
        <v>909.97910999999999</v>
      </c>
      <c r="D46" s="65" t="s">
        <v>223</v>
      </c>
      <c r="E46" s="65">
        <f>IF(500.98201="","-",500.98201/675027.19329*100)</f>
        <v>7.4216567122025859E-2</v>
      </c>
      <c r="F46" s="65">
        <f>IF(909.97911="","-",909.97911/712715.47793*100)</f>
        <v>0.12767775335017689</v>
      </c>
      <c r="G46" s="65">
        <f>IF(OR(732895.97599="",518.77271="",500.98201=""),"-",(500.98201-518.77271)/732895.97599*100)</f>
        <v>-2.4274522691938895E-3</v>
      </c>
      <c r="H46" s="65">
        <f>IF(OR(675027.19329="",909.97911="",500.98201=""),"-",(909.97911-500.98201)/675027.19329*100)</f>
        <v>6.0589722023878502E-2</v>
      </c>
    </row>
    <row r="47" spans="1:8" x14ac:dyDescent="0.25">
      <c r="A47" s="56" t="s">
        <v>331</v>
      </c>
      <c r="B47" s="46" t="s">
        <v>178</v>
      </c>
      <c r="C47" s="57">
        <v>2013.3253400000001</v>
      </c>
      <c r="D47" s="65" t="s">
        <v>279</v>
      </c>
      <c r="E47" s="65">
        <f>IF(553.59614="","-",553.59614/675027.19329*100)</f>
        <v>8.2010939041113312E-2</v>
      </c>
      <c r="F47" s="65">
        <f>IF(2013.32534="","-",2013.32534/712715.47793*100)</f>
        <v>0.28248654650344784</v>
      </c>
      <c r="G47" s="65">
        <f>IF(OR(732895.97599="",487.36963="",553.59614=""),"-",(553.59614-487.36963)/732895.97599*100)</f>
        <v>9.0362769300978748E-3</v>
      </c>
      <c r="H47" s="65">
        <f>IF(OR(675027.19329="",2013.32534="",553.59614=""),"-",(2013.32534-553.59614)/675027.19329*100)</f>
        <v>0.21624746595547634</v>
      </c>
    </row>
    <row r="48" spans="1:8" ht="25.5" x14ac:dyDescent="0.25">
      <c r="A48" s="54" t="s">
        <v>332</v>
      </c>
      <c r="B48" s="48" t="s">
        <v>221</v>
      </c>
      <c r="C48" s="55">
        <v>49912.400099999999</v>
      </c>
      <c r="D48" s="64">
        <f>IF(41764.89556="","-",49912.4001/41764.89556*100)</f>
        <v>119.50802086478389</v>
      </c>
      <c r="E48" s="64">
        <f>IF(41764.89556="","-",41764.89556/675027.19329*100)</f>
        <v>6.1871426773850411</v>
      </c>
      <c r="F48" s="64">
        <f>IF(49912.4001="","-",49912.4001/712715.47793*100)</f>
        <v>7.0031312137298904</v>
      </c>
      <c r="G48" s="64">
        <f>IF(732895.97599="","-",(41764.89556-40350.51316)/732895.97599*100)</f>
        <v>0.19298542307991789</v>
      </c>
      <c r="H48" s="64">
        <f>IF(675027.19329="","-",(49912.4001-41764.89556)/675027.19329*100)</f>
        <v>1.2069890844382225</v>
      </c>
    </row>
    <row r="49" spans="1:8" x14ac:dyDescent="0.25">
      <c r="A49" s="56" t="s">
        <v>333</v>
      </c>
      <c r="B49" s="46" t="s">
        <v>179</v>
      </c>
      <c r="C49" s="57">
        <v>322.37898999999999</v>
      </c>
      <c r="D49" s="65" t="s">
        <v>103</v>
      </c>
      <c r="E49" s="65">
        <f>IF(189.04695="","-",189.04695/675027.19329*100)</f>
        <v>2.8005827302839206E-2</v>
      </c>
      <c r="F49" s="65">
        <f>IF(322.37899="","-",322.37899/712715.47793*100)</f>
        <v>4.5232494590451804E-2</v>
      </c>
      <c r="G49" s="65">
        <f>IF(OR(732895.97599="",69.1275="",189.04695=""),"-",(189.04695-69.1275)/732895.97599*100)</f>
        <v>1.636241075522514E-2</v>
      </c>
      <c r="H49" s="65">
        <f>IF(OR(675027.19329="",322.37899="",189.04695=""),"-",(322.37899-189.04695)/675027.19329*100)</f>
        <v>1.9752099074728521E-2</v>
      </c>
    </row>
    <row r="50" spans="1:8" x14ac:dyDescent="0.25">
      <c r="A50" s="56" t="s">
        <v>334</v>
      </c>
      <c r="B50" s="46" t="s">
        <v>29</v>
      </c>
      <c r="C50" s="57">
        <v>539.07730000000004</v>
      </c>
      <c r="D50" s="65">
        <f>IF(OR(435.75078="",539.0773=""),"-",539.0773/435.75078*100)</f>
        <v>123.71229719887134</v>
      </c>
      <c r="E50" s="65">
        <f>IF(435.75078="","-",435.75078/675027.19329*100)</f>
        <v>6.4553070503160628E-2</v>
      </c>
      <c r="F50" s="65">
        <f>IF(539.0773="","-",539.0773/712715.47793*100)</f>
        <v>7.5637097368179501E-2</v>
      </c>
      <c r="G50" s="65">
        <f>IF(OR(732895.97599="",456.4971="",435.75078=""),"-",(435.75078-456.4971)/732895.97599*100)</f>
        <v>-2.8307318745986734E-3</v>
      </c>
      <c r="H50" s="65">
        <f>IF(OR(675027.19329="",539.0773="",435.75078=""),"-",(539.0773-435.75078)/675027.19329*100)</f>
        <v>1.5307015928706398E-2</v>
      </c>
    </row>
    <row r="51" spans="1:8" x14ac:dyDescent="0.25">
      <c r="A51" s="56" t="s">
        <v>335</v>
      </c>
      <c r="B51" s="46" t="s">
        <v>180</v>
      </c>
      <c r="C51" s="57">
        <v>5680.1598999999997</v>
      </c>
      <c r="D51" s="65">
        <f>IF(OR(4450.46994="",5680.1599=""),"-",5680.1599/4450.46994*100)</f>
        <v>127.63056433541486</v>
      </c>
      <c r="E51" s="65">
        <f>IF(4450.46994="","-",4450.46994/675027.19329*100)</f>
        <v>0.6593023191123536</v>
      </c>
      <c r="F51" s="65">
        <f>IF(5680.1599="","-",5680.1599/712715.47793*100)</f>
        <v>0.79697439944721971</v>
      </c>
      <c r="G51" s="65">
        <f>IF(OR(732895.97599="",5037.65914="",4450.46994=""),"-",(4450.46994-5037.65914)/732895.97599*100)</f>
        <v>-8.0119037249020419E-2</v>
      </c>
      <c r="H51" s="65">
        <f>IF(OR(675027.19329="",5680.1599="",4450.46994=""),"-",(5680.1599-4450.46994)/675027.19329*100)</f>
        <v>0.18216895144722114</v>
      </c>
    </row>
    <row r="52" spans="1:8" ht="25.5" x14ac:dyDescent="0.25">
      <c r="A52" s="56" t="s">
        <v>336</v>
      </c>
      <c r="B52" s="46" t="s">
        <v>181</v>
      </c>
      <c r="C52" s="57">
        <v>2311.43003</v>
      </c>
      <c r="D52" s="65">
        <f>IF(OR(2200.93635="",2311.43003=""),"-",2311.43003/2200.93635*100)</f>
        <v>105.0203032904609</v>
      </c>
      <c r="E52" s="65">
        <f>IF(2200.93635="","-",2200.93635/675027.19329*100)</f>
        <v>0.32605150901742275</v>
      </c>
      <c r="F52" s="65">
        <f>IF(2311.43003="","-",2311.43003/712715.47793*100)</f>
        <v>0.32431315182227866</v>
      </c>
      <c r="G52" s="65">
        <f>IF(OR(732895.97599="",2438.64797="",2200.93635=""),"-",(2200.93635-2438.64797)/732895.97599*100)</f>
        <v>-3.2434564766015785E-2</v>
      </c>
      <c r="H52" s="65">
        <f>IF(OR(675027.19329="",2311.43003="",2200.93635=""),"-",(2311.43003-2200.93635)/675027.19329*100)</f>
        <v>1.6368774635799093E-2</v>
      </c>
    </row>
    <row r="53" spans="1:8" ht="38.25" x14ac:dyDescent="0.25">
      <c r="A53" s="56" t="s">
        <v>337</v>
      </c>
      <c r="B53" s="46" t="s">
        <v>182</v>
      </c>
      <c r="C53" s="57">
        <v>19607.852309999998</v>
      </c>
      <c r="D53" s="65">
        <f>IF(OR(15713.2501="",19607.85231=""),"-",19607.85231/15713.2501*100)</f>
        <v>124.78546567523927</v>
      </c>
      <c r="E53" s="65">
        <f>IF(15713.2501="","-",15713.2501/675027.19329*100)</f>
        <v>2.3277951253216242</v>
      </c>
      <c r="F53" s="65">
        <f>IF(19607.85231="","-",19607.85231/712715.47793*100)</f>
        <v>2.7511472554165297</v>
      </c>
      <c r="G53" s="65">
        <f>IF(OR(732895.97599="",15417.33237="",15713.2501=""),"-",(15713.2501-15417.33237)/732895.97599*100)</f>
        <v>4.0376498124481019E-2</v>
      </c>
      <c r="H53" s="65">
        <f>IF(OR(675027.19329="",19607.85231="",15713.2501=""),"-",(19607.85231-15713.2501)/675027.19329*100)</f>
        <v>0.57695486177648403</v>
      </c>
    </row>
    <row r="54" spans="1:8" x14ac:dyDescent="0.25">
      <c r="A54" s="56" t="s">
        <v>338</v>
      </c>
      <c r="B54" s="46" t="s">
        <v>30</v>
      </c>
      <c r="C54" s="57">
        <v>11873.58043</v>
      </c>
      <c r="D54" s="65">
        <f>IF(OR(11764.76394="",11873.58043=""),"-",11873.58043/11764.76394*100)</f>
        <v>100.92493560053531</v>
      </c>
      <c r="E54" s="65">
        <f>IF(11764.76394="","-",11764.76394/675027.19329*100)</f>
        <v>1.7428577777229952</v>
      </c>
      <c r="F54" s="65">
        <f>IF(11873.58043="","-",11873.58043/712715.47793*100)</f>
        <v>1.6659635994556266</v>
      </c>
      <c r="G54" s="65">
        <f>IF(OR(732895.97599="",10911.89629="",11764.76394=""),"-",(11764.76394-10911.89629)/732895.97599*100)</f>
        <v>0.1163695364608793</v>
      </c>
      <c r="H54" s="65">
        <f>IF(OR(675027.19329="",11873.58043="",11764.76394=""),"-",(11873.58043-11764.76394)/675027.19329*100)</f>
        <v>1.6120312052858344E-2</v>
      </c>
    </row>
    <row r="55" spans="1:8" x14ac:dyDescent="0.25">
      <c r="A55" s="56" t="s">
        <v>339</v>
      </c>
      <c r="B55" s="46" t="s">
        <v>183</v>
      </c>
      <c r="C55" s="57">
        <v>1403.7021</v>
      </c>
      <c r="D55" s="65" t="s">
        <v>277</v>
      </c>
      <c r="E55" s="65">
        <f>IF(464.52772="","-",464.52772/675027.19329*100)</f>
        <v>6.8816149129629675E-2</v>
      </c>
      <c r="F55" s="65">
        <f>IF(1403.7021="","-",1403.7021/712715.47793*100)</f>
        <v>0.19695125803594035</v>
      </c>
      <c r="G55" s="65">
        <f>IF(OR(732895.97599="",467.51476="",464.52772=""),"-",(464.52772-467.51476)/732895.97599*100)</f>
        <v>-4.0756670767159363E-4</v>
      </c>
      <c r="H55" s="65">
        <f>IF(OR(675027.19329="",1403.7021="",464.52772=""),"-",(1403.7021-464.52772)/675027.19329*100)</f>
        <v>0.13913134009054937</v>
      </c>
    </row>
    <row r="56" spans="1:8" ht="15.75" customHeight="1" x14ac:dyDescent="0.25">
      <c r="A56" s="56" t="s">
        <v>340</v>
      </c>
      <c r="B56" s="46" t="s">
        <v>31</v>
      </c>
      <c r="C56" s="57">
        <v>236.69343000000001</v>
      </c>
      <c r="D56" s="65">
        <f>IF(OR(514.56329="",236.69343=""),"-",236.69343/514.56329*100)</f>
        <v>45.998895490581923</v>
      </c>
      <c r="E56" s="65">
        <f>IF(514.56329="","-",514.56329/675027.19329*100)</f>
        <v>7.6228527548954206E-2</v>
      </c>
      <c r="F56" s="65">
        <f>IF(236.69343="","-",236.69343/712715.47793*100)</f>
        <v>3.3210086960290069E-2</v>
      </c>
      <c r="G56" s="65">
        <f>IF(OR(732895.97599="",111.03171="",514.56329=""),"-",(514.56329-111.03171)/732895.97599*100)</f>
        <v>5.5059871144047069E-2</v>
      </c>
      <c r="H56" s="65">
        <f>IF(OR(675027.19329="",236.69343="",514.56329=""),"-",(236.69343-514.56329)/675027.19329*100)</f>
        <v>-4.1164246827701312E-2</v>
      </c>
    </row>
    <row r="57" spans="1:8" x14ac:dyDescent="0.25">
      <c r="A57" s="56" t="s">
        <v>341</v>
      </c>
      <c r="B57" s="46" t="s">
        <v>32</v>
      </c>
      <c r="C57" s="57">
        <v>7937.5256099999997</v>
      </c>
      <c r="D57" s="65">
        <f>IF(OR(6031.58649="",7937.52561=""),"-",7937.52561/6031.58649*100)</f>
        <v>131.59930017019451</v>
      </c>
      <c r="E57" s="65">
        <f>IF(6031.58649="","-",6031.58649/675027.19329*100)</f>
        <v>0.89353237172606104</v>
      </c>
      <c r="F57" s="65">
        <f>IF(7937.52561="","-",7937.52561/712715.47793*100)</f>
        <v>1.1137018706333737</v>
      </c>
      <c r="G57" s="65">
        <f>IF(OR(732895.97599="",5440.80632="",6031.58649=""),"-",(6031.58649-5440.80632)/732895.97599*100)</f>
        <v>8.0609007192592494E-2</v>
      </c>
      <c r="H57" s="65">
        <f>IF(OR(675027.19329="",7937.52561="",6031.58649=""),"-",(7937.52561-6031.58649)/675027.19329*100)</f>
        <v>0.28234997625957647</v>
      </c>
    </row>
    <row r="58" spans="1:8" ht="25.5" x14ac:dyDescent="0.25">
      <c r="A58" s="54" t="s">
        <v>342</v>
      </c>
      <c r="B58" s="48" t="s">
        <v>184</v>
      </c>
      <c r="C58" s="55">
        <v>201980.71523</v>
      </c>
      <c r="D58" s="64">
        <f>IF(141995.65497="","-",201980.71523/141995.65497*100)</f>
        <v>142.24429280788436</v>
      </c>
      <c r="E58" s="64">
        <f>IF(141995.65497="","-",141995.65497/675027.19329*100)</f>
        <v>21.035545883408126</v>
      </c>
      <c r="F58" s="64">
        <f>IF(201980.71523="","-",201980.71523/712715.47793*100)</f>
        <v>28.339599950407941</v>
      </c>
      <c r="G58" s="64">
        <f>IF(732895.97599="","-",(141995.65497-181085.54231)/732895.97599*100)</f>
        <v>-5.3336201344532084</v>
      </c>
      <c r="H58" s="64">
        <f>IF(675027.19329="","-",(201980.71523-141995.65497)/675027.19329*100)</f>
        <v>8.886317596723794</v>
      </c>
    </row>
    <row r="59" spans="1:8" ht="25.5" x14ac:dyDescent="0.25">
      <c r="A59" s="56" t="s">
        <v>343</v>
      </c>
      <c r="B59" s="46" t="s">
        <v>185</v>
      </c>
      <c r="C59" s="57">
        <v>454.27573999999998</v>
      </c>
      <c r="D59" s="65">
        <f>IF(OR(613.21099="",454.27574=""),"-",454.27574/613.21099*100)</f>
        <v>74.081473980105926</v>
      </c>
      <c r="E59" s="65">
        <f>IF(613.21099="","-",613.21099/675027.19329*100)</f>
        <v>9.0842412882847681E-2</v>
      </c>
      <c r="F59" s="65">
        <f>IF(454.27574="","-",454.27574/712715.47793*100)</f>
        <v>6.3738722402857245E-2</v>
      </c>
      <c r="G59" s="65">
        <f>IF(OR(732895.97599="",1154.55312="",613.21099=""),"-",(613.21099-1154.55312)/732895.97599*100)</f>
        <v>-7.3863433247638194E-2</v>
      </c>
      <c r="H59" s="65">
        <f>IF(OR(675027.19329="",454.27574="",613.21099=""),"-",(454.27574-613.21099)/675027.19329*100)</f>
        <v>-2.3545014420140481E-2</v>
      </c>
    </row>
    <row r="60" spans="1:8" ht="25.5" x14ac:dyDescent="0.25">
      <c r="A60" s="56" t="s">
        <v>344</v>
      </c>
      <c r="B60" s="46" t="s">
        <v>186</v>
      </c>
      <c r="C60" s="57">
        <v>4076.25</v>
      </c>
      <c r="D60" s="65" t="s">
        <v>365</v>
      </c>
      <c r="E60" s="65">
        <f>IF(1546.34254="","-",1546.34254/675027.19329*100)</f>
        <v>0.22907855496358834</v>
      </c>
      <c r="F60" s="65">
        <f>IF(4076.25="","-",4076.25/712715.47793*100)</f>
        <v>0.57193229643882559</v>
      </c>
      <c r="G60" s="65">
        <f>IF(OR(732895.97599="",3342.69541="",1546.34254=""),"-",(1546.34254-3342.69541)/732895.97599*100)</f>
        <v>-0.24510338831830483</v>
      </c>
      <c r="H60" s="65">
        <f>IF(OR(675027.19329="",4076.25="",1546.34254=""),"-",(4076.25-1546.34254)/675027.19329*100)</f>
        <v>0.37478600642287319</v>
      </c>
    </row>
    <row r="61" spans="1:8" ht="25.5" x14ac:dyDescent="0.25">
      <c r="A61" s="56" t="s">
        <v>345</v>
      </c>
      <c r="B61" s="46" t="s">
        <v>187</v>
      </c>
      <c r="C61" s="57">
        <v>1502.9681800000001</v>
      </c>
      <c r="D61" s="65" t="s">
        <v>366</v>
      </c>
      <c r="E61" s="65">
        <f>IF(531.21268="","-",531.21268/675027.19329*100)</f>
        <v>7.8695004479883895E-2</v>
      </c>
      <c r="F61" s="65">
        <f>IF(1502.96818="","-",1502.96818/712715.47793*100)</f>
        <v>0.21087912730128971</v>
      </c>
      <c r="G61" s="65">
        <f>IF(OR(732895.97599="",533.6363="",531.21268=""),"-",(531.21268-533.6363)/732895.97599*100)</f>
        <v>-3.3069085919406075E-4</v>
      </c>
      <c r="H61" s="65">
        <f>IF(OR(675027.19329="",1502.96818="",531.21268=""),"-",(1502.96818-531.21268)/675027.19329*100)</f>
        <v>0.14395797823548157</v>
      </c>
    </row>
    <row r="62" spans="1:8" ht="38.25" x14ac:dyDescent="0.25">
      <c r="A62" s="56" t="s">
        <v>346</v>
      </c>
      <c r="B62" s="46" t="s">
        <v>188</v>
      </c>
      <c r="C62" s="57">
        <v>5897.0509400000001</v>
      </c>
      <c r="D62" s="65">
        <f>IF(OR(5498.29735="",5897.05094=""),"-",5897.05094/5498.29735*100)</f>
        <v>107.25231039023382</v>
      </c>
      <c r="E62" s="65">
        <f>IF(5498.29735="","-",5498.29735/675027.19329*100)</f>
        <v>0.81452975593501231</v>
      </c>
      <c r="F62" s="65">
        <f>IF(5897.05094="","-",5897.05094/712715.47793*100)</f>
        <v>0.82740604387143446</v>
      </c>
      <c r="G62" s="65">
        <f>IF(OR(732895.97599="",4406.46799="",5498.29735=""),"-",(5498.29735-4406.46799)/732895.97599*100)</f>
        <v>0.14897466977153892</v>
      </c>
      <c r="H62" s="65">
        <f>IF(OR(675027.19329="",5897.05094="",5498.29735=""),"-",(5897.05094-5498.29735)/675027.19329*100)</f>
        <v>5.9072226121220983E-2</v>
      </c>
    </row>
    <row r="63" spans="1:8" ht="25.5" x14ac:dyDescent="0.25">
      <c r="A63" s="56" t="s">
        <v>347</v>
      </c>
      <c r="B63" s="46" t="s">
        <v>189</v>
      </c>
      <c r="C63" s="57">
        <v>530.76900000000001</v>
      </c>
      <c r="D63" s="65" t="s">
        <v>223</v>
      </c>
      <c r="E63" s="65">
        <f>IF(293.5848="","-",293.5848/675027.19329*100)</f>
        <v>4.3492292298492975E-2</v>
      </c>
      <c r="F63" s="65">
        <f>IF(530.769="","-",530.769/712715.47793*100)</f>
        <v>7.4471372719666112E-2</v>
      </c>
      <c r="G63" s="65">
        <f>IF(OR(732895.97599="",215.08494="",293.5848=""),"-",(293.5848-215.08494)/732895.97599*100)</f>
        <v>1.0710914314130588E-2</v>
      </c>
      <c r="H63" s="65">
        <f>IF(OR(675027.19329="",530.769="",293.5848=""),"-",(530.769-293.5848)/675027.19329*100)</f>
        <v>3.5136984458950943E-2</v>
      </c>
    </row>
    <row r="64" spans="1:8" ht="40.5" customHeight="1" x14ac:dyDescent="0.25">
      <c r="A64" s="56" t="s">
        <v>348</v>
      </c>
      <c r="B64" s="46" t="s">
        <v>190</v>
      </c>
      <c r="C64" s="57">
        <v>817.61694</v>
      </c>
      <c r="D64" s="65" t="s">
        <v>223</v>
      </c>
      <c r="E64" s="65">
        <f>IF(446.81349="","-",446.81349/675027.19329*100)</f>
        <v>6.6191924479706621E-2</v>
      </c>
      <c r="F64" s="65">
        <f>IF(817.61694="","-",817.61694/712715.47793*100)</f>
        <v>0.11471856095712613</v>
      </c>
      <c r="G64" s="65">
        <f>IF(OR(732895.97599="",1060.7533="",446.81349=""),"-",(446.81349-1060.7533)/732895.97599*100)</f>
        <v>-8.3769024542764983E-2</v>
      </c>
      <c r="H64" s="65">
        <f>IF(OR(675027.19329="",817.61694="",446.81349=""),"-",(817.61694-446.81349)/675027.19329*100)</f>
        <v>5.4931631449208637E-2</v>
      </c>
    </row>
    <row r="65" spans="1:8" ht="51" x14ac:dyDescent="0.25">
      <c r="A65" s="56" t="s">
        <v>349</v>
      </c>
      <c r="B65" s="46" t="s">
        <v>191</v>
      </c>
      <c r="C65" s="57">
        <v>148789.54495000001</v>
      </c>
      <c r="D65" s="65">
        <f>IF(OR(126021.5015="",148789.54495=""),"-",148789.54495/126021.5015*100)</f>
        <v>118.06679271314667</v>
      </c>
      <c r="E65" s="65">
        <f>IF(126021.5015="","-",126021.5015/675027.19329*100)</f>
        <v>18.66909996407502</v>
      </c>
      <c r="F65" s="65">
        <f>IF(148789.54495="","-",148789.54495/712715.47793*100)</f>
        <v>20.876429593214684</v>
      </c>
      <c r="G65" s="65">
        <f>IF(OR(732895.97599="",160971.67552="",126021.5015=""),"-",(126021.5015-160971.67552)/732895.97599*100)</f>
        <v>-4.7687769021775708</v>
      </c>
      <c r="H65" s="65">
        <f>IF(OR(675027.19329="",148789.54495="",126021.5015=""),"-",(148789.54495-126021.5015)/675027.19329*100)</f>
        <v>3.3729075919195717</v>
      </c>
    </row>
    <row r="66" spans="1:8" ht="25.5" x14ac:dyDescent="0.25">
      <c r="A66" s="56" t="s">
        <v>350</v>
      </c>
      <c r="B66" s="46" t="s">
        <v>192</v>
      </c>
      <c r="C66" s="57">
        <v>11644.30364</v>
      </c>
      <c r="D66" s="65" t="s">
        <v>103</v>
      </c>
      <c r="E66" s="65">
        <f>IF(6958.43761="","-",6958.43761/675027.19329*100)</f>
        <v>1.0308381172150156</v>
      </c>
      <c r="F66" s="65">
        <f>IF(11644.30364="","-",11644.30364/712715.47793*100)</f>
        <v>1.6337941297163265</v>
      </c>
      <c r="G66" s="65">
        <f>IF(OR(732895.97599="",6923.79195="",6958.43761=""),"-",(6958.43761-6923.79195)/732895.97599*100)</f>
        <v>4.7272274831637031E-3</v>
      </c>
      <c r="H66" s="65">
        <f>IF(OR(675027.19329="",11644.30364="",6958.43761=""),"-",(11644.30364-6958.43761)/675027.19329*100)</f>
        <v>0.69417440905775396</v>
      </c>
    </row>
    <row r="67" spans="1:8" x14ac:dyDescent="0.25">
      <c r="A67" s="56" t="s">
        <v>351</v>
      </c>
      <c r="B67" s="46" t="s">
        <v>33</v>
      </c>
      <c r="C67" s="57">
        <v>28267.935839999998</v>
      </c>
      <c r="D67" s="65" t="s">
        <v>367</v>
      </c>
      <c r="E67" s="65">
        <f>IF(86.25401="","-",86.25401/675027.19329*100)</f>
        <v>1.2777857078558347E-2</v>
      </c>
      <c r="F67" s="65">
        <f>IF(28267.93584="","-",28267.93584/712715.47793*100)</f>
        <v>3.9662301037857293</v>
      </c>
      <c r="G67" s="65">
        <f>IF(OR(732895.97599="",2476.88378="",86.25401=""),"-",(86.25401-2476.88378)/732895.97599*100)</f>
        <v>-0.32618950687656922</v>
      </c>
      <c r="H67" s="65">
        <f>IF(OR(675027.19329="",28267.93584="",86.25401=""),"-",(28267.93584-86.25401)/675027.19329*100)</f>
        <v>4.174895783478874</v>
      </c>
    </row>
    <row r="68" spans="1:8" x14ac:dyDescent="0.25">
      <c r="A68" s="54" t="s">
        <v>352</v>
      </c>
      <c r="B68" s="48" t="s">
        <v>34</v>
      </c>
      <c r="C68" s="55">
        <v>140383.15820999999</v>
      </c>
      <c r="D68" s="64">
        <f>IF(129566.20948="","-",140383.15821/129566.20948*100)</f>
        <v>108.34858777872152</v>
      </c>
      <c r="E68" s="64">
        <f>IF(129566.20948="","-",129566.20948/675027.19329*100)</f>
        <v>19.194220731836023</v>
      </c>
      <c r="F68" s="64">
        <f>IF(140383.15821="","-",140383.15821/712715.47793*100)</f>
        <v>19.696942546796752</v>
      </c>
      <c r="G68" s="64">
        <f>IF(732895.97599="","-",(129566.20948-137208.47795)/732895.97599*100)</f>
        <v>-1.0427494106072526</v>
      </c>
      <c r="H68" s="64">
        <f>IF(675027.19329="","-",(140383.15821-129566.20948)/675027.19329*100)</f>
        <v>1.6024463662388924</v>
      </c>
    </row>
    <row r="69" spans="1:8" ht="38.25" x14ac:dyDescent="0.25">
      <c r="A69" s="56" t="s">
        <v>353</v>
      </c>
      <c r="B69" s="46" t="s">
        <v>218</v>
      </c>
      <c r="C69" s="57">
        <v>4103.7711399999998</v>
      </c>
      <c r="D69" s="65" t="s">
        <v>20</v>
      </c>
      <c r="E69" s="65">
        <f>IF(2086.48971="","-",2086.48971/675027.19329*100)</f>
        <v>0.30909713426961427</v>
      </c>
      <c r="F69" s="65">
        <f>IF(4103.77114="","-",4103.77114/712715.47793*100)</f>
        <v>0.57579374478002499</v>
      </c>
      <c r="G69" s="65">
        <f>IF(OR(732895.97599="",2249.66098="",2086.48971=""),"-",(2086.48971-2249.66098)/732895.97599*100)</f>
        <v>-2.226390584005972E-2</v>
      </c>
      <c r="H69" s="65">
        <f>IF(OR(675027.19329="",4103.77114="",2086.48971=""),"-",(4103.77114-2086.48971)/675027.19329*100)</f>
        <v>0.29884446879362253</v>
      </c>
    </row>
    <row r="70" spans="1:8" x14ac:dyDescent="0.25">
      <c r="A70" s="56" t="s">
        <v>354</v>
      </c>
      <c r="B70" s="46" t="s">
        <v>193</v>
      </c>
      <c r="C70" s="57">
        <v>43988.582849999999</v>
      </c>
      <c r="D70" s="65">
        <f>IF(OR(34451.92935="",43988.58285=""),"-",43988.58285/34451.92935*100)</f>
        <v>127.68104335497831</v>
      </c>
      <c r="E70" s="65">
        <f>IF(34451.92935="","-",34451.92935/675027.19329*100)</f>
        <v>5.1037839204796338</v>
      </c>
      <c r="F70" s="65">
        <f>IF(43988.58285="","-",43988.58285/712715.47793*100)</f>
        <v>6.1719696305403335</v>
      </c>
      <c r="G70" s="65">
        <f>IF(OR(732895.97599="",36250.88392="",34451.92935=""),"-",(34451.92935-36250.88392)/732895.97599*100)</f>
        <v>-0.24545837730517811</v>
      </c>
      <c r="H70" s="65">
        <f>IF(OR(675027.19329="",43988.58285="",34451.92935=""),"-",(43988.58285-34451.92935)/675027.19329*100)</f>
        <v>1.4127806397723799</v>
      </c>
    </row>
    <row r="71" spans="1:8" x14ac:dyDescent="0.25">
      <c r="A71" s="56" t="s">
        <v>355</v>
      </c>
      <c r="B71" s="46" t="s">
        <v>194</v>
      </c>
      <c r="C71" s="57">
        <v>3628.42049</v>
      </c>
      <c r="D71" s="65">
        <f>IF(OR(3319.90567="",3628.42049=""),"-",3628.42049/3319.90567*100)</f>
        <v>109.2928790955678</v>
      </c>
      <c r="E71" s="65">
        <f>IF(3319.90567="","-",3319.90567/675027.19329*100)</f>
        <v>0.49181806347966306</v>
      </c>
      <c r="F71" s="65">
        <f>IF(3628.42049="","-",3628.42049/712715.47793*100)</f>
        <v>0.50909803453943914</v>
      </c>
      <c r="G71" s="65">
        <f>IF(OR(732895.97599="",3226.44018="",3319.90567=""),"-",(3319.90567-3226.44018)/732895.97599*100)</f>
        <v>1.2752899874193788E-2</v>
      </c>
      <c r="H71" s="65">
        <f>IF(OR(675027.19329="",3628.42049="",3319.90567=""),"-",(3628.42049-3319.90567)/675027.19329*100)</f>
        <v>4.5704058009327947E-2</v>
      </c>
    </row>
    <row r="72" spans="1:8" x14ac:dyDescent="0.25">
      <c r="A72" s="56" t="s">
        <v>356</v>
      </c>
      <c r="B72" s="46" t="s">
        <v>195</v>
      </c>
      <c r="C72" s="57">
        <v>59527.388359999997</v>
      </c>
      <c r="D72" s="65">
        <f>IF(OR(58761.24411="",59527.38836=""),"-",59527.38836/58761.24411*100)</f>
        <v>101.3038257810978</v>
      </c>
      <c r="E72" s="65">
        <f>IF(58761.24411="","-",58761.24411/675027.19329*100)</f>
        <v>8.7050188042951095</v>
      </c>
      <c r="F72" s="65">
        <f>IF(59527.38836="","-",59527.38836/712715.47793*100)</f>
        <v>8.3521952593046578</v>
      </c>
      <c r="G72" s="65">
        <f>IF(OR(732895.97599="",66637.822="",58761.24411=""),"-",(58761.24411-66637.822)/732895.97599*100)</f>
        <v>-1.0747197621545508</v>
      </c>
      <c r="H72" s="65">
        <f>IF(OR(675027.19329="",59527.38836="",58761.24411=""),"-",(59527.38836-58761.24411)/675027.19329*100)</f>
        <v>0.11349827941981183</v>
      </c>
    </row>
    <row r="73" spans="1:8" x14ac:dyDescent="0.25">
      <c r="A73" s="56" t="s">
        <v>357</v>
      </c>
      <c r="B73" s="46" t="s">
        <v>196</v>
      </c>
      <c r="C73" s="57">
        <v>8451.9533499999998</v>
      </c>
      <c r="D73" s="65">
        <f>IF(OR(9665.51042="",8451.95335=""),"-",8451.95335/9665.51042*100)</f>
        <v>87.444459554987461</v>
      </c>
      <c r="E73" s="65">
        <f>IF(9665.51042="","-",9665.51042/675027.19329*100)</f>
        <v>1.4318697848143693</v>
      </c>
      <c r="F73" s="65">
        <f>IF(8451.95335="","-",8451.95335/712715.47793*100)</f>
        <v>1.1858804265830909</v>
      </c>
      <c r="G73" s="65">
        <f>IF(OR(732895.97599="",8336.22363="",9665.51042=""),"-",(9665.51042-8336.22363)/732895.97599*100)</f>
        <v>0.18137455158003726</v>
      </c>
      <c r="H73" s="65">
        <f>IF(OR(675027.19329="",8451.95335="",9665.51042=""),"-",(8451.95335-9665.51042)/675027.19329*100)</f>
        <v>-0.17977898995228209</v>
      </c>
    </row>
    <row r="74" spans="1:8" ht="25.5" x14ac:dyDescent="0.25">
      <c r="A74" s="56" t="s">
        <v>358</v>
      </c>
      <c r="B74" s="46" t="s">
        <v>219</v>
      </c>
      <c r="C74" s="57">
        <v>6110.8172000000004</v>
      </c>
      <c r="D74" s="65">
        <f>IF(OR(4467.3961="",6110.8172=""),"-",6110.8172/4467.3961*100)</f>
        <v>136.78700216441521</v>
      </c>
      <c r="E74" s="65">
        <f>IF(4467.3961="","-",4467.3961/675027.19329*100)</f>
        <v>0.66180979735445289</v>
      </c>
      <c r="F74" s="65">
        <f>IF(6110.8172="","-",6110.8172/712715.47793*100)</f>
        <v>0.85739925527479277</v>
      </c>
      <c r="G74" s="65">
        <f>IF(OR(732895.97599="",4219.07977="",4467.3961=""),"-",(4467.3961-4219.07977)/732895.97599*100)</f>
        <v>3.388152454576826E-2</v>
      </c>
      <c r="H74" s="65">
        <f>IF(OR(675027.19329="",6110.8172="",4467.3961=""),"-",(6110.8172-4467.3961)/675027.19329*100)</f>
        <v>0.24345998447709449</v>
      </c>
    </row>
    <row r="75" spans="1:8" ht="25.5" x14ac:dyDescent="0.25">
      <c r="A75" s="59" t="s">
        <v>359</v>
      </c>
      <c r="B75" s="58" t="s">
        <v>197</v>
      </c>
      <c r="C75" s="60">
        <v>805.98437999999999</v>
      </c>
      <c r="D75" s="66">
        <f>IF(OR(697.76723="",805.98438=""),"-",805.98438/697.76723*100)</f>
        <v>115.50906166802932</v>
      </c>
      <c r="E75" s="66">
        <f>IF(697.76723="","-",697.76723/675027.19329*100)</f>
        <v>0.10336875861240016</v>
      </c>
      <c r="F75" s="66">
        <f>IF(805.98438="","-",805.98438/712715.47793*100)</f>
        <v>0.11308641455926967</v>
      </c>
      <c r="G75" s="66">
        <f>IF(OR(732895.97599="",895.0314="",697.76723=""),"-",(697.76723-895.0314)/732895.97599*100)</f>
        <v>-2.6915711978570275E-2</v>
      </c>
      <c r="H75" s="66">
        <f>IF(OR(675027.19329="",805.98438="",697.76723=""),"-",(805.98438-697.76723)/675027.19329*100)</f>
        <v>1.6031524518673509E-2</v>
      </c>
    </row>
    <row r="76" spans="1:8" x14ac:dyDescent="0.25">
      <c r="A76" s="61" t="s">
        <v>360</v>
      </c>
      <c r="B76" s="47" t="s">
        <v>35</v>
      </c>
      <c r="C76" s="62">
        <v>13766.24044</v>
      </c>
      <c r="D76" s="67">
        <f>IF(OR(16115.96689="",13766.24044=""),"-",13766.24044/16115.96689*100)</f>
        <v>85.419885347009412</v>
      </c>
      <c r="E76" s="67">
        <f>IF(16115.96689="","-",16115.96689/675027.19329*100)</f>
        <v>2.3874544685307786</v>
      </c>
      <c r="F76" s="67">
        <f>IF(13766.24044="","-",13766.24044/712715.47793*100)</f>
        <v>1.9315197812151432</v>
      </c>
      <c r="G76" s="67">
        <f>IF(OR(732895.97599="",15393.33607="",16115.96689=""),"-",(16115.96689-15393.33607)/732895.97599*100)</f>
        <v>9.8599370671106024E-2</v>
      </c>
      <c r="H76" s="67">
        <f>IF(OR(675027.19329="",13766.24044="",16115.96689=""),"-",(13766.24044-16115.96689)/675027.19329*100)</f>
        <v>-0.34809359879973439</v>
      </c>
    </row>
    <row r="77" spans="1:8" ht="15.75" customHeight="1" x14ac:dyDescent="0.25">
      <c r="A77" s="33" t="s">
        <v>387</v>
      </c>
      <c r="B77" s="9"/>
      <c r="C77" s="9"/>
      <c r="D77" s="9"/>
      <c r="E77" s="9"/>
    </row>
    <row r="78" spans="1:8" x14ac:dyDescent="0.25">
      <c r="A78" s="135" t="s">
        <v>390</v>
      </c>
      <c r="B78" s="135"/>
      <c r="C78" s="135"/>
      <c r="D78" s="135"/>
      <c r="E78" s="135"/>
    </row>
  </sheetData>
  <mergeCells count="11"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1"/>
  <sheetViews>
    <sheetView zoomScaleNormal="100" workbookViewId="0">
      <selection activeCell="B85" sqref="B85:B86"/>
    </sheetView>
  </sheetViews>
  <sheetFormatPr defaultRowHeight="15.75" x14ac:dyDescent="0.25"/>
  <cols>
    <col min="1" max="1" width="5.75" customWidth="1"/>
    <col min="2" max="2" width="26" customWidth="1"/>
    <col min="3" max="3" width="11.5" customWidth="1"/>
    <col min="4" max="4" width="9.625" customWidth="1"/>
    <col min="5" max="5" width="7.75" customWidth="1"/>
    <col min="6" max="6" width="8" customWidth="1"/>
    <col min="7" max="7" width="8.875" customWidth="1"/>
    <col min="8" max="8" width="9.625" customWidth="1"/>
  </cols>
  <sheetData>
    <row r="1" spans="1:8" x14ac:dyDescent="0.25">
      <c r="B1" s="115" t="s">
        <v>150</v>
      </c>
      <c r="C1" s="115"/>
      <c r="D1" s="115"/>
      <c r="E1" s="115"/>
      <c r="F1" s="115"/>
      <c r="G1" s="115"/>
      <c r="H1" s="115"/>
    </row>
    <row r="2" spans="1:8" x14ac:dyDescent="0.25">
      <c r="B2" s="115" t="s">
        <v>382</v>
      </c>
      <c r="C2" s="115"/>
      <c r="D2" s="115"/>
      <c r="E2" s="115"/>
      <c r="F2" s="115"/>
      <c r="G2" s="115"/>
      <c r="H2" s="115"/>
    </row>
    <row r="3" spans="1:8" x14ac:dyDescent="0.25">
      <c r="B3" s="5"/>
    </row>
    <row r="4" spans="1:8" ht="57" customHeight="1" x14ac:dyDescent="0.25">
      <c r="A4" s="123" t="s">
        <v>291</v>
      </c>
      <c r="B4" s="127"/>
      <c r="C4" s="130" t="s">
        <v>253</v>
      </c>
      <c r="D4" s="121"/>
      <c r="E4" s="130" t="s">
        <v>0</v>
      </c>
      <c r="F4" s="121"/>
      <c r="G4" s="118" t="s">
        <v>119</v>
      </c>
      <c r="H4" s="131"/>
    </row>
    <row r="5" spans="1:8" x14ac:dyDescent="0.25">
      <c r="A5" s="124"/>
      <c r="B5" s="128"/>
      <c r="C5" s="132" t="s">
        <v>110</v>
      </c>
      <c r="D5" s="116" t="s">
        <v>254</v>
      </c>
      <c r="E5" s="134" t="s">
        <v>255</v>
      </c>
      <c r="F5" s="134"/>
      <c r="G5" s="134" t="s">
        <v>386</v>
      </c>
      <c r="H5" s="130"/>
    </row>
    <row r="6" spans="1:8" ht="25.5" customHeight="1" x14ac:dyDescent="0.25">
      <c r="A6" s="125"/>
      <c r="B6" s="129"/>
      <c r="C6" s="133"/>
      <c r="D6" s="117"/>
      <c r="E6" s="24">
        <v>2020</v>
      </c>
      <c r="F6" s="24">
        <v>2021</v>
      </c>
      <c r="G6" s="24">
        <v>2020</v>
      </c>
      <c r="H6" s="20">
        <v>2021</v>
      </c>
    </row>
    <row r="7" spans="1:8" x14ac:dyDescent="0.25">
      <c r="A7" s="68"/>
      <c r="B7" s="45" t="s">
        <v>129</v>
      </c>
      <c r="C7" s="53">
        <v>1551105.23673</v>
      </c>
      <c r="D7" s="63">
        <f>IF(1365113.41163="","-",1551105.23673/1365113.41163*100)</f>
        <v>113.62464272312131</v>
      </c>
      <c r="E7" s="63">
        <v>100</v>
      </c>
      <c r="F7" s="63">
        <v>100</v>
      </c>
      <c r="G7" s="63">
        <f>IF(1365645.29487="","-",(1365113.41163-1365645.29487)/1365645.29487*100)</f>
        <v>-3.8947393001543901E-2</v>
      </c>
      <c r="H7" s="63">
        <f>IF(1365113.41163="","-",(1551105.23673-1365113.41163)/1365113.41163*100)</f>
        <v>13.624642723121323</v>
      </c>
    </row>
    <row r="8" spans="1:8" ht="12" customHeight="1" x14ac:dyDescent="0.25">
      <c r="A8" s="68"/>
      <c r="B8" s="36" t="s">
        <v>133</v>
      </c>
      <c r="C8" s="32"/>
      <c r="D8" s="42"/>
      <c r="E8" s="42"/>
      <c r="F8" s="42"/>
      <c r="G8" s="42"/>
      <c r="H8" s="42"/>
    </row>
    <row r="9" spans="1:8" x14ac:dyDescent="0.25">
      <c r="A9" s="54" t="s">
        <v>292</v>
      </c>
      <c r="B9" s="48" t="s">
        <v>199</v>
      </c>
      <c r="C9" s="55">
        <v>192691.27546</v>
      </c>
      <c r="D9" s="64">
        <f>IF(177095.38701="","-",192691.27546/177095.38701*100)</f>
        <v>108.80649050961408</v>
      </c>
      <c r="E9" s="64">
        <f>IF(177095.38701="","-",177095.38701/1365113.41163*100)</f>
        <v>12.972943163640963</v>
      </c>
      <c r="F9" s="64">
        <f>IF(192691.27546="","-",192691.27546/1551105.23673*100)</f>
        <v>12.42283701305959</v>
      </c>
      <c r="G9" s="64">
        <f>IF(1365645.29487="","-",(177095.38701-157015.58569)/1365645.29487*100)</f>
        <v>1.4703526161170171</v>
      </c>
      <c r="H9" s="64">
        <f>IF(1365113.41163="","-",(192691.27546-177095.38701)/1365113.41163*100)</f>
        <v>1.1424610085236717</v>
      </c>
    </row>
    <row r="10" spans="1:8" ht="14.25" customHeight="1" x14ac:dyDescent="0.25">
      <c r="A10" s="56" t="s">
        <v>293</v>
      </c>
      <c r="B10" s="46" t="s">
        <v>23</v>
      </c>
      <c r="C10" s="57">
        <v>771.41475000000003</v>
      </c>
      <c r="D10" s="65">
        <f>IF(OR(1802.92988="",771.41475=""),"-",771.41475/1802.92988*100)</f>
        <v>42.786730563254075</v>
      </c>
      <c r="E10" s="65">
        <f>IF(1802.92988="","-",1802.92988/1365113.41163*100)</f>
        <v>0.13207180184738126</v>
      </c>
      <c r="F10" s="65">
        <f>IF(771.41475="","-",771.41475/1551105.23673*100)</f>
        <v>4.9733230971889218E-2</v>
      </c>
      <c r="G10" s="65">
        <f>IF(OR(1365645.29487="",1407.70752="",1802.92988=""),"-",(1802.92988-1407.70752)/1365645.29487*100)</f>
        <v>2.8940337691246716E-2</v>
      </c>
      <c r="H10" s="65">
        <f>IF(OR(1365113.41163="",771.41475="",1802.92988=""),"-",(771.41475-1802.92988)/1365113.41163*100)</f>
        <v>-7.5562595840907423E-2</v>
      </c>
    </row>
    <row r="11" spans="1:8" s="9" customFormat="1" x14ac:dyDescent="0.25">
      <c r="A11" s="56" t="s">
        <v>294</v>
      </c>
      <c r="B11" s="46" t="s">
        <v>200</v>
      </c>
      <c r="C11" s="57">
        <v>10997.67784</v>
      </c>
      <c r="D11" s="65">
        <f>IF(OR(8766.54936="",10997.67784=""),"-",10997.67784/8766.54936*100)</f>
        <v>125.45047530537146</v>
      </c>
      <c r="E11" s="65">
        <f>IF(8766.54936="","-",8766.54936/1365113.41163*100)</f>
        <v>0.64218469215186968</v>
      </c>
      <c r="F11" s="65">
        <f>IF(10997.67784="","-",10997.67784/1551105.23673*100)</f>
        <v>0.70902203019989929</v>
      </c>
      <c r="G11" s="65">
        <f>IF(OR(1365645.29487="",10104.13764="",8766.54936=""),"-",(8766.54936-10104.13764)/1365645.29487*100)</f>
        <v>-9.7945512280868591E-2</v>
      </c>
      <c r="H11" s="65">
        <f>IF(OR(1365113.41163="",10997.67784="",8766.54936=""),"-",(10997.67784-8766.54936)/1365113.41163*100)</f>
        <v>0.16343905649098728</v>
      </c>
    </row>
    <row r="12" spans="1:8" s="9" customFormat="1" x14ac:dyDescent="0.25">
      <c r="A12" s="56" t="s">
        <v>295</v>
      </c>
      <c r="B12" s="46" t="s">
        <v>201</v>
      </c>
      <c r="C12" s="57">
        <v>22230.826079999999</v>
      </c>
      <c r="D12" s="65">
        <f>IF(OR(21888.74896="",22230.82608=""),"-",22230.82608/21888.74896*100)</f>
        <v>101.56279886358566</v>
      </c>
      <c r="E12" s="65">
        <f>IF(21888.74896="","-",21888.74896/1365113.41163*100)</f>
        <v>1.6034381300132388</v>
      </c>
      <c r="F12" s="65">
        <f>IF(22230.82608="","-",22230.82608/1551105.23673*100)</f>
        <v>1.4332248743396967</v>
      </c>
      <c r="G12" s="65">
        <f>IF(OR(1365645.29487="",15819.79753="",21888.74896=""),"-",(21888.74896-15819.79753)/1365645.29487*100)</f>
        <v>0.44440173834287788</v>
      </c>
      <c r="H12" s="65">
        <f>IF(OR(1365113.41163="",22230.82608="",21888.74896=""),"-",(22230.82608-21888.74896)/1365113.41163*100)</f>
        <v>2.5058512874146063E-2</v>
      </c>
    </row>
    <row r="13" spans="1:8" s="9" customFormat="1" x14ac:dyDescent="0.25">
      <c r="A13" s="56" t="s">
        <v>296</v>
      </c>
      <c r="B13" s="46" t="s">
        <v>202</v>
      </c>
      <c r="C13" s="57">
        <v>16345.566419999999</v>
      </c>
      <c r="D13" s="65">
        <f>IF(OR(14968.85328="",16345.56642=""),"-",16345.56642/14968.85328*100)</f>
        <v>109.19718507655784</v>
      </c>
      <c r="E13" s="65">
        <f>IF(14968.85328="","-",14968.85328/1365113.41163*100)</f>
        <v>1.0965281823820479</v>
      </c>
      <c r="F13" s="65">
        <f>IF(16345.56642="","-",16345.56642/1551105.23673*100)</f>
        <v>1.0538012529993968</v>
      </c>
      <c r="G13" s="65">
        <f>IF(OR(1365645.29487="",13034.60322="",14968.85328=""),"-",(14968.85328-13034.60322)/1365645.29487*100)</f>
        <v>0.14163634343895465</v>
      </c>
      <c r="H13" s="65">
        <f>IF(OR(1365113.41163="",16345.56642="",14968.85328=""),"-",(16345.56642-14968.85328)/1365113.41163*100)</f>
        <v>0.10084972635029271</v>
      </c>
    </row>
    <row r="14" spans="1:8" s="9" customFormat="1" ht="14.25" customHeight="1" x14ac:dyDescent="0.25">
      <c r="A14" s="56" t="s">
        <v>297</v>
      </c>
      <c r="B14" s="46" t="s">
        <v>203</v>
      </c>
      <c r="C14" s="57">
        <v>35378.097020000001</v>
      </c>
      <c r="D14" s="65">
        <f>IF(OR(32921.65269="",35378.09702=""),"-",35378.09702/32921.65269*100)</f>
        <v>107.46148546408227</v>
      </c>
      <c r="E14" s="65">
        <f>IF(32921.65269="","-",32921.65269/1365113.41163*100)</f>
        <v>2.4116423155414051</v>
      </c>
      <c r="F14" s="65">
        <f>IF(35378.09702="","-",35378.09702/1551105.23673*100)</f>
        <v>2.2808315117666158</v>
      </c>
      <c r="G14" s="65">
        <f>IF(OR(1365645.29487="",27062.83639="",32921.65269=""),"-",(32921.65269-27062.83639)/1365645.29487*100)</f>
        <v>0.42901449754254972</v>
      </c>
      <c r="H14" s="65">
        <f>IF(OR(1365113.41163="",35378.09702="",32921.65269=""),"-",(35378.09702-32921.65269)/1365113.41163*100)</f>
        <v>0.17994434081977892</v>
      </c>
    </row>
    <row r="15" spans="1:8" s="9" customFormat="1" x14ac:dyDescent="0.25">
      <c r="A15" s="56" t="s">
        <v>298</v>
      </c>
      <c r="B15" s="46" t="s">
        <v>204</v>
      </c>
      <c r="C15" s="57">
        <v>51615.372340000002</v>
      </c>
      <c r="D15" s="65">
        <f>IF(OR(50585.41739="",51615.37234=""),"-",51615.37234/50585.41739*100)</f>
        <v>102.03607087406104</v>
      </c>
      <c r="E15" s="65">
        <f>IF(50585.41739="","-",50585.41739/1365113.41163*100)</f>
        <v>3.7055835038349665</v>
      </c>
      <c r="F15" s="65">
        <f>IF(51615.37234="","-",51615.37234/1551105.23673*100)</f>
        <v>3.3276512204171391</v>
      </c>
      <c r="G15" s="65">
        <f>IF(OR(1365645.29487="",49122.54266="",50585.41739=""),"-",(50585.41739-49122.54266)/1365645.29487*100)</f>
        <v>0.10711966976309603</v>
      </c>
      <c r="H15" s="65">
        <f>IF(OR(1365113.41163="",51615.37234="",50585.41739=""),"-",(51615.37234-50585.41739)/1365113.41163*100)</f>
        <v>7.5448306435594387E-2</v>
      </c>
    </row>
    <row r="16" spans="1:8" s="9" customFormat="1" ht="25.5" x14ac:dyDescent="0.25">
      <c r="A16" s="56" t="s">
        <v>299</v>
      </c>
      <c r="B16" s="46" t="s">
        <v>162</v>
      </c>
      <c r="C16" s="57">
        <v>6366.3739800000003</v>
      </c>
      <c r="D16" s="65">
        <f>IF(OR(5893.29666="",6366.37398=""),"-",6366.37398/5893.29666*100)</f>
        <v>108.0273800436851</v>
      </c>
      <c r="E16" s="65">
        <f>IF(5893.29666="","-",5893.29666/1365113.41163*100)</f>
        <v>0.43170747644792151</v>
      </c>
      <c r="F16" s="65">
        <f>IF(6366.37398="","-",6366.37398/1551105.23673*100)</f>
        <v>0.41044113766396828</v>
      </c>
      <c r="G16" s="65">
        <f>IF(OR(1365645.29487="",4741.70008="",5893.29666=""),"-",(5893.29666-4741.70008)/1365645.29487*100)</f>
        <v>8.4326185161398323E-2</v>
      </c>
      <c r="H16" s="65">
        <f>IF(OR(1365113.41163="",6366.37398="",5893.29666=""),"-",(6366.37398-5893.29666)/1365113.41163*100)</f>
        <v>3.465479981147699E-2</v>
      </c>
    </row>
    <row r="17" spans="1:8" s="9" customFormat="1" ht="25.5" x14ac:dyDescent="0.25">
      <c r="A17" s="56" t="s">
        <v>300</v>
      </c>
      <c r="B17" s="46" t="s">
        <v>205</v>
      </c>
      <c r="C17" s="57">
        <v>14670.53492</v>
      </c>
      <c r="D17" s="65">
        <f>IF(OR(12527.88928="",14670.53492=""),"-",14670.53492/12527.88928*100)</f>
        <v>117.10300587841722</v>
      </c>
      <c r="E17" s="65">
        <f>IF(12527.88928="","-",12527.88928/1365113.41163*100)</f>
        <v>0.91771783745360747</v>
      </c>
      <c r="F17" s="65">
        <f>IF(14670.53492="","-",14670.53492/1551105.23673*100)</f>
        <v>0.94581170720099195</v>
      </c>
      <c r="G17" s="65">
        <f>IF(OR(1365645.29487="",11846.23424="",12527.88928=""),"-",(12527.88928-11846.23424)/1365645.29487*100)</f>
        <v>4.9914501412673805E-2</v>
      </c>
      <c r="H17" s="65">
        <f>IF(OR(1365113.41163="",14670.53492="",12527.88928=""),"-",(14670.53492-12527.88928)/1365113.41163*100)</f>
        <v>0.15695733568697387</v>
      </c>
    </row>
    <row r="18" spans="1:8" s="9" customFormat="1" ht="25.5" x14ac:dyDescent="0.25">
      <c r="A18" s="56" t="s">
        <v>301</v>
      </c>
      <c r="B18" s="46" t="s">
        <v>163</v>
      </c>
      <c r="C18" s="57">
        <v>11110.34439</v>
      </c>
      <c r="D18" s="65">
        <f>IF(OR(8429.56335="",11110.34439=""),"-",11110.34439/8429.56335*100)</f>
        <v>131.80213409274631</v>
      </c>
      <c r="E18" s="65">
        <f>IF(8429.56335="","-",8429.56335/1365113.41163*100)</f>
        <v>0.61749912338307222</v>
      </c>
      <c r="F18" s="65">
        <f>IF(11110.34439="","-",11110.34439/1551105.23673*100)</f>
        <v>0.71628566050247766</v>
      </c>
      <c r="G18" s="65">
        <f>IF(OR(1365645.29487="",7475.10217="",8429.56335=""),"-",(8429.56335-7475.10217)/1365645.29487*100)</f>
        <v>6.9890855523421863E-2</v>
      </c>
      <c r="H18" s="65">
        <f>IF(OR(1365113.41163="",11110.34439="",8429.56335=""),"-",(11110.34439-8429.56335)/1365113.41163*100)</f>
        <v>0.19637789923981774</v>
      </c>
    </row>
    <row r="19" spans="1:8" s="9" customFormat="1" ht="25.5" x14ac:dyDescent="0.25">
      <c r="A19" s="56" t="s">
        <v>302</v>
      </c>
      <c r="B19" s="46" t="s">
        <v>206</v>
      </c>
      <c r="C19" s="57">
        <v>23205.067719999999</v>
      </c>
      <c r="D19" s="65">
        <f>IF(OR(19310.48616="",23205.06772=""),"-",23205.06772/19310.48616*100)</f>
        <v>120.16822118164632</v>
      </c>
      <c r="E19" s="65">
        <f>IF(19310.48616="","-",19310.48616/1365113.41163*100)</f>
        <v>1.414570100585453</v>
      </c>
      <c r="F19" s="65">
        <f>IF(23205.06772="","-",23205.06772/1551105.23673*100)</f>
        <v>1.4960343869975143</v>
      </c>
      <c r="G19" s="65">
        <f>IF(OR(1365645.29487="",16400.92424="",19310.48616=""),"-",(19310.48616-16400.92424)/1365645.29487*100)</f>
        <v>0.21305399952166715</v>
      </c>
      <c r="H19" s="65">
        <f>IF(OR(1365113.41163="",23205.06772="",19310.48616=""),"-",(23205.06772-19310.48616)/1365113.41163*100)</f>
        <v>0.28529362665551083</v>
      </c>
    </row>
    <row r="20" spans="1:8" s="9" customFormat="1" x14ac:dyDescent="0.25">
      <c r="A20" s="54" t="s">
        <v>303</v>
      </c>
      <c r="B20" s="48" t="s">
        <v>207</v>
      </c>
      <c r="C20" s="55">
        <v>24118.12095</v>
      </c>
      <c r="D20" s="64">
        <f>IF(25986.51045="","-",24118.12095/25986.51045*100)</f>
        <v>92.810156240119568</v>
      </c>
      <c r="E20" s="64">
        <f>IF(25986.51045="","-",25986.51045/1365113.41163*100)</f>
        <v>1.9036154966033971</v>
      </c>
      <c r="F20" s="64">
        <f>IF(24118.12095="","-",24118.12095/1551105.23673*100)</f>
        <v>1.5548990731825005</v>
      </c>
      <c r="G20" s="64">
        <f>IF(1365645.29487="","-",(25986.51045-20535.6333)/1365645.29487*100)</f>
        <v>0.39914296709958541</v>
      </c>
      <c r="H20" s="64">
        <f>IF(1365113.41163="","-",(24118.12095-25986.51045)/1365113.41163*100)</f>
        <v>-0.13686697999465622</v>
      </c>
    </row>
    <row r="21" spans="1:8" s="9" customFormat="1" x14ac:dyDescent="0.25">
      <c r="A21" s="56" t="s">
        <v>304</v>
      </c>
      <c r="B21" s="46" t="s">
        <v>208</v>
      </c>
      <c r="C21" s="57">
        <v>14952.30206</v>
      </c>
      <c r="D21" s="65">
        <f>IF(OR(12854.00189="",14952.30206=""),"-",14952.30206/12854.00189*100)</f>
        <v>116.32410036933642</v>
      </c>
      <c r="E21" s="65">
        <f>IF(12854.00189="","-",12854.00189/1365113.41163*100)</f>
        <v>0.94160688632102785</v>
      </c>
      <c r="F21" s="65">
        <f>IF(14952.30206="","-",14952.30206/1551105.23673*100)</f>
        <v>0.96397727929292898</v>
      </c>
      <c r="G21" s="65">
        <f>IF(OR(1365645.29487="",10665.28313="",12854.00189=""),"-",(12854.00189-10665.28313)/1365645.29487*100)</f>
        <v>0.16026993013645982</v>
      </c>
      <c r="H21" s="65">
        <f>IF(OR(1365113.41163="",14952.30206="",12854.00189=""),"-",(14952.30206-12854.00189)/1365113.41163*100)</f>
        <v>0.15370885320762809</v>
      </c>
    </row>
    <row r="22" spans="1:8" s="9" customFormat="1" x14ac:dyDescent="0.25">
      <c r="A22" s="56" t="s">
        <v>305</v>
      </c>
      <c r="B22" s="46" t="s">
        <v>209</v>
      </c>
      <c r="C22" s="57">
        <v>9165.8188900000005</v>
      </c>
      <c r="D22" s="65">
        <f>IF(OR(13132.50856="",9165.81889=""),"-",9165.81889/13132.50856*100)</f>
        <v>69.794882281043797</v>
      </c>
      <c r="E22" s="65">
        <f>IF(13132.50856="","-",13132.50856/1365113.41163*100)</f>
        <v>0.96200861028236917</v>
      </c>
      <c r="F22" s="65">
        <f>IF(9165.81889="","-",9165.81889/1551105.23673*100)</f>
        <v>0.59092179388957156</v>
      </c>
      <c r="G22" s="65">
        <f>IF(OR(1365645.29487="",9870.35017="",13132.50856=""),"-",(13132.50856-9870.35017)/1365645.29487*100)</f>
        <v>0.23887303696312556</v>
      </c>
      <c r="H22" s="65">
        <f>IF(OR(1365113.41163="",9165.81889="",13132.50856=""),"-",(9165.81889-13132.50856)/1365113.41163*100)</f>
        <v>-0.29057583320228414</v>
      </c>
    </row>
    <row r="23" spans="1:8" s="9" customFormat="1" ht="25.5" x14ac:dyDescent="0.25">
      <c r="A23" s="54" t="s">
        <v>306</v>
      </c>
      <c r="B23" s="48" t="s">
        <v>24</v>
      </c>
      <c r="C23" s="55">
        <v>55733.879930000003</v>
      </c>
      <c r="D23" s="64">
        <f>IF(50902.158="","-",55733.87993/50902.158*100)</f>
        <v>109.49217502723559</v>
      </c>
      <c r="E23" s="64">
        <f>IF(50902.158="","-",50902.158/1365113.41163*100)</f>
        <v>3.7287860163369722</v>
      </c>
      <c r="F23" s="64">
        <f>IF(55733.87993="","-",55733.87993/1551105.23673*100)</f>
        <v>3.593172056300753</v>
      </c>
      <c r="G23" s="64">
        <f>IF(1365645.29487="","-",(50902.158-47178.41797)/1365645.29487*100)</f>
        <v>0.27267256321887562</v>
      </c>
      <c r="H23" s="64">
        <f>IF(1365113.41163="","-",(55733.87993-50902.158)/1365113.41163*100)</f>
        <v>0.35394289506179055</v>
      </c>
    </row>
    <row r="24" spans="1:8" s="9" customFormat="1" x14ac:dyDescent="0.25">
      <c r="A24" s="56" t="s">
        <v>308</v>
      </c>
      <c r="B24" s="46" t="s">
        <v>210</v>
      </c>
      <c r="C24" s="57">
        <v>23587.21758</v>
      </c>
      <c r="D24" s="65">
        <f>IF(OR(24319.16024="",23587.21758=""),"-",23587.21758/24319.16024*100)</f>
        <v>96.990263426957867</v>
      </c>
      <c r="E24" s="65">
        <f>IF(24319.16024="","-",24319.16024/1365113.41163*100)</f>
        <v>1.7814754461288278</v>
      </c>
      <c r="F24" s="65">
        <f>IF(23587.21758="","-",23587.21758/1551105.23673*100)</f>
        <v>1.520671648928603</v>
      </c>
      <c r="G24" s="65">
        <f>IF(OR(1365645.29487="",21302.88911="",24319.16024=""),"-",(24319.16024-21302.88911)/1365645.29487*100)</f>
        <v>0.22086783012620631</v>
      </c>
      <c r="H24" s="65">
        <f>IF(OR(1365113.41163="",23587.21758="",24319.16024=""),"-",(23587.21758-24319.16024)/1365113.41163*100)</f>
        <v>-5.3617718041904794E-2</v>
      </c>
    </row>
    <row r="25" spans="1:8" s="9" customFormat="1" ht="25.5" x14ac:dyDescent="0.25">
      <c r="A25" s="56" t="s">
        <v>368</v>
      </c>
      <c r="B25" s="46" t="s">
        <v>211</v>
      </c>
      <c r="C25" s="57">
        <v>550.55930999999998</v>
      </c>
      <c r="D25" s="65" t="s">
        <v>104</v>
      </c>
      <c r="E25" s="65">
        <f>IF(338.97655="","-",338.97655/1365113.41163*100)</f>
        <v>2.483138375992134E-2</v>
      </c>
      <c r="F25" s="65">
        <f>IF(550.55931="","-",550.55931/1551105.23673*100)</f>
        <v>3.5494645815307473E-2</v>
      </c>
      <c r="G25" s="65">
        <f>IF(OR(1365645.29487="",272.72914="",338.97655=""),"-",(338.97655-272.72914)/1365645.29487*100)</f>
        <v>4.8509968326955867E-3</v>
      </c>
      <c r="H25" s="65">
        <f>IF(OR(1365113.41163="",550.55931="",338.97655=""),"-",(550.55931-338.97655)/1365113.41163*100)</f>
        <v>1.5499280733559108E-2</v>
      </c>
    </row>
    <row r="26" spans="1:8" s="9" customFormat="1" x14ac:dyDescent="0.25">
      <c r="A26" s="56" t="s">
        <v>309</v>
      </c>
      <c r="B26" s="46" t="s">
        <v>212</v>
      </c>
      <c r="C26" s="57">
        <v>6977.8387199999997</v>
      </c>
      <c r="D26" s="65">
        <f>IF(OR(6853.75549="",6977.83872=""),"-",6977.83872/6853.75549*100)</f>
        <v>101.81044144602247</v>
      </c>
      <c r="E26" s="65">
        <f>IF(6853.75549="","-",6853.75549/1365113.41163*100)</f>
        <v>0.50206491501803807</v>
      </c>
      <c r="F26" s="65">
        <f>IF(6977.83872="","-",6977.83872/1551105.23673*100)</f>
        <v>0.44986236618673919</v>
      </c>
      <c r="G26" s="65">
        <f>IF(OR(1365645.29487="",6926.05123="",6853.75549=""),"-",(6853.75549-6926.05123)/1365645.29487*100)</f>
        <v>-5.2938885574150881E-3</v>
      </c>
      <c r="H26" s="65">
        <f>IF(OR(1365113.41163="",6977.83872="",6853.75549=""),"-",(6977.83872-6853.75549)/1365113.41163*100)</f>
        <v>9.0895913074240369E-3</v>
      </c>
    </row>
    <row r="27" spans="1:8" s="9" customFormat="1" ht="14.25" customHeight="1" x14ac:dyDescent="0.25">
      <c r="A27" s="56" t="s">
        <v>310</v>
      </c>
      <c r="B27" s="46" t="s">
        <v>164</v>
      </c>
      <c r="C27" s="57">
        <v>98.948340000000002</v>
      </c>
      <c r="D27" s="65">
        <f>IF(OR(85.5725="",98.94834=""),"-",98.94834/85.5725*100)</f>
        <v>115.63100295071432</v>
      </c>
      <c r="E27" s="65">
        <f>IF(85.5725="","-",85.5725/1365113.41163*100)</f>
        <v>6.2685267957204383E-3</v>
      </c>
      <c r="F27" s="65">
        <f>IF(98.94834="","-",98.94834/1551105.23673*100)</f>
        <v>6.3792151336295099E-3</v>
      </c>
      <c r="G27" s="65">
        <f>IF(OR(1365645.29487="",82.08981="",85.5725=""),"-",(85.5725-82.08981)/1365645.29487*100)</f>
        <v>2.5502156475642768E-4</v>
      </c>
      <c r="H27" s="65">
        <f>IF(OR(1365113.41163="",98.94834="",85.5725=""),"-",(98.94834-85.5725)/1365113.41163*100)</f>
        <v>9.7983360840537864E-4</v>
      </c>
    </row>
    <row r="28" spans="1:8" s="9" customFormat="1" ht="38.25" x14ac:dyDescent="0.25">
      <c r="A28" s="56" t="s">
        <v>311</v>
      </c>
      <c r="B28" s="46" t="s">
        <v>165</v>
      </c>
      <c r="C28" s="57">
        <v>2304.3082199999999</v>
      </c>
      <c r="D28" s="65">
        <f>IF(OR(1920.49854="",2304.30822=""),"-",2304.30822/1920.49854*100)</f>
        <v>119.98489829625176</v>
      </c>
      <c r="E28" s="65">
        <f>IF(1920.49854="","-",1920.49854/1365113.41163*100)</f>
        <v>0.14068417492923521</v>
      </c>
      <c r="F28" s="65">
        <f>IF(2304.30822="","-",2304.30822/1551105.23673*100)</f>
        <v>0.14855911548966741</v>
      </c>
      <c r="G28" s="65">
        <f>IF(OR(1365645.29487="",1945.26478="",1920.49854=""),"-",(1920.49854-1945.26478)/1365645.29487*100)</f>
        <v>-1.8135192273596563E-3</v>
      </c>
      <c r="H28" s="65">
        <f>IF(OR(1365113.41163="",2304.30822="",1920.49854=""),"-",(2304.30822-1920.49854)/1365113.41163*100)</f>
        <v>2.8115589278528568E-2</v>
      </c>
    </row>
    <row r="29" spans="1:8" s="9" customFormat="1" ht="38.25" x14ac:dyDescent="0.25">
      <c r="A29" s="56" t="s">
        <v>312</v>
      </c>
      <c r="B29" s="46" t="s">
        <v>166</v>
      </c>
      <c r="C29" s="57">
        <v>3927.9976099999999</v>
      </c>
      <c r="D29" s="65">
        <f>IF(OR(3407.77764="",3927.99761=""),"-",3927.99761/3407.77764*100)</f>
        <v>115.26566651220824</v>
      </c>
      <c r="E29" s="65">
        <f>IF(3407.77764="","-",3407.77764/1365113.41163*100)</f>
        <v>0.24963329866717646</v>
      </c>
      <c r="F29" s="65">
        <f>IF(3927.99761="","-",3927.99761/1551105.23673*100)</f>
        <v>0.25323862733394564</v>
      </c>
      <c r="G29" s="65">
        <f>IF(OR(1365645.29487="",5866.13893="",3407.77764=""),"-",(3407.77764-5866.13893)/1365645.29487*100)</f>
        <v>-0.18001462746108016</v>
      </c>
      <c r="H29" s="65">
        <f>IF(OR(1365113.41163="",3927.99761="",3407.77764=""),"-",(3927.99761-3407.77764)/1365113.41163*100)</f>
        <v>3.8108186877955925E-2</v>
      </c>
    </row>
    <row r="30" spans="1:8" s="9" customFormat="1" ht="25.5" x14ac:dyDescent="0.25">
      <c r="A30" s="56" t="s">
        <v>313</v>
      </c>
      <c r="B30" s="46" t="s">
        <v>167</v>
      </c>
      <c r="C30" s="57">
        <v>326.21893</v>
      </c>
      <c r="D30" s="65">
        <f>IF(OR(438.9795="",326.21893=""),"-",326.21893/438.9795*100)</f>
        <v>74.313021450887803</v>
      </c>
      <c r="E30" s="65">
        <f>IF(438.9795="","-",438.9795/1365113.41163*100)</f>
        <v>3.2156998551192965E-2</v>
      </c>
      <c r="F30" s="65">
        <f>IF(326.21893="","-",326.21893/1551105.23673*100)</f>
        <v>2.1031386025601097E-2</v>
      </c>
      <c r="G30" s="65">
        <f>IF(OR(1365645.29487="",351.54558="",438.9795=""),"-",(438.9795-351.54558)/1365645.29487*100)</f>
        <v>6.4023886970095778E-3</v>
      </c>
      <c r="H30" s="65">
        <f>IF(OR(1365113.41163="",326.21893="",438.9795=""),"-",(326.21893-438.9795)/1365113.41163*100)</f>
        <v>-8.2601613198832573E-3</v>
      </c>
    </row>
    <row r="31" spans="1:8" s="9" customFormat="1" ht="25.5" x14ac:dyDescent="0.25">
      <c r="A31" s="56" t="s">
        <v>314</v>
      </c>
      <c r="B31" s="46" t="s">
        <v>168</v>
      </c>
      <c r="C31" s="57">
        <v>17960.791219999999</v>
      </c>
      <c r="D31" s="65">
        <f>IF(OR(13537.43754="",17960.79122=""),"-",17960.79122/13537.43754*100)</f>
        <v>132.67497018494089</v>
      </c>
      <c r="E31" s="65">
        <f>IF(13537.43754="","-",13537.43754/1365113.41163*100)</f>
        <v>0.99167127248685949</v>
      </c>
      <c r="F31" s="65">
        <f>IF(17960.79122="","-",17960.79122/1551105.23673*100)</f>
        <v>1.1579350513872595</v>
      </c>
      <c r="G31" s="65">
        <f>IF(OR(1365645.29487="",10431.70939="",13537.43754=""),"-",(13537.43754-10431.70939)/1365645.29487*100)</f>
        <v>0.22741836124406259</v>
      </c>
      <c r="H31" s="65">
        <f>IF(OR(1365113.41163="",17960.79122="",13537.43754=""),"-",(17960.79122-13537.43754)/1365113.41163*100)</f>
        <v>0.32402829261770544</v>
      </c>
    </row>
    <row r="32" spans="1:8" s="9" customFormat="1" ht="25.5" x14ac:dyDescent="0.25">
      <c r="A32" s="54" t="s">
        <v>315</v>
      </c>
      <c r="B32" s="48" t="s">
        <v>169</v>
      </c>
      <c r="C32" s="55">
        <v>194807.63995000001</v>
      </c>
      <c r="D32" s="64">
        <f>IF(207612.23371="","-",194807.63995/207612.23371*100)</f>
        <v>93.832447379817751</v>
      </c>
      <c r="E32" s="64">
        <f>IF(207612.23371="","-",207612.23371/1365113.41163*100)</f>
        <v>15.208423852645526</v>
      </c>
      <c r="F32" s="64">
        <f>IF(194807.63995="","-",194807.63995/1551105.23673*100)</f>
        <v>12.559279366543075</v>
      </c>
      <c r="G32" s="64">
        <f>IF(1365645.29487="","-",(207612.23371-244071.55348)/1365645.29487*100)</f>
        <v>-2.669750330262052</v>
      </c>
      <c r="H32" s="64">
        <f>IF(1365113.41163="","-",(194807.63995-207612.23371)/1365113.41163*100)</f>
        <v>-0.93798754381226035</v>
      </c>
    </row>
    <row r="33" spans="1:8" s="9" customFormat="1" x14ac:dyDescent="0.25">
      <c r="A33" s="56" t="s">
        <v>316</v>
      </c>
      <c r="B33" s="46" t="s">
        <v>213</v>
      </c>
      <c r="C33" s="57">
        <v>1694.64382</v>
      </c>
      <c r="D33" s="65">
        <f>IF(OR(2711.99305="",1694.64382=""),"-",1694.64382/2711.99305*100)</f>
        <v>62.487026653700305</v>
      </c>
      <c r="E33" s="65">
        <f>IF(2711.99305="","-",2711.99305/1365113.41163*100)</f>
        <v>0.19866430341210786</v>
      </c>
      <c r="F33" s="65">
        <f>IF(1694.64382="","-",1694.64382/1551105.23673*100)</f>
        <v>0.10925395517151397</v>
      </c>
      <c r="G33" s="65">
        <f>IF(OR(1365645.29487="",3654.94064="",2711.99305=""),"-",(2711.99305-3654.94064)/1365645.29487*100)</f>
        <v>-6.9047767640847163E-2</v>
      </c>
      <c r="H33" s="65">
        <f>IF(OR(1365113.41163="",1694.64382="",2711.99305=""),"-",(1694.64382-2711.99305)/1365113.41163*100)</f>
        <v>-7.4524887187595965E-2</v>
      </c>
    </row>
    <row r="34" spans="1:8" s="9" customFormat="1" ht="25.5" x14ac:dyDescent="0.25">
      <c r="A34" s="56" t="s">
        <v>317</v>
      </c>
      <c r="B34" s="46" t="s">
        <v>170</v>
      </c>
      <c r="C34" s="57">
        <v>115415.12450000001</v>
      </c>
      <c r="D34" s="65">
        <f>IF(OR(111681.15262="",115415.1245=""),"-",115415.1245/111681.15262*100)</f>
        <v>103.34342168969638</v>
      </c>
      <c r="E34" s="65">
        <f>IF(111681.15262="","-",111681.15262/1365113.41163*100)</f>
        <v>8.181089693247408</v>
      </c>
      <c r="F34" s="65">
        <f>IF(115415.1245="","-",115415.1245/1551105.23673*100)</f>
        <v>7.4408313354234545</v>
      </c>
      <c r="G34" s="65">
        <f>IF(OR(1365645.29487="",107290.32483="",111681.15262=""),"-",(111681.15262-107290.32483)/1365645.29487*100)</f>
        <v>0.32152036890501434</v>
      </c>
      <c r="H34" s="65">
        <f>IF(OR(1365113.41163="",115415.1245="",111681.15262=""),"-",(115415.1245-111681.15262)/1365113.41163*100)</f>
        <v>0.27352832725755</v>
      </c>
    </row>
    <row r="35" spans="1:8" s="9" customFormat="1" ht="25.5" x14ac:dyDescent="0.25">
      <c r="A35" s="56" t="s">
        <v>369</v>
      </c>
      <c r="B35" s="46" t="s">
        <v>214</v>
      </c>
      <c r="C35" s="57">
        <v>77697.086949999997</v>
      </c>
      <c r="D35" s="65">
        <f>IF(OR(85109.59435="",77697.08695=""),"-",77697.08695/85109.59435*100)</f>
        <v>91.290632440900595</v>
      </c>
      <c r="E35" s="65">
        <f>IF(85109.59435="","-",85109.59435/1365113.41163*100)</f>
        <v>6.2346171112900972</v>
      </c>
      <c r="F35" s="65">
        <f>IF(77697.08695="","-",77697.08695/1551105.23673*100)</f>
        <v>5.0091434875043674</v>
      </c>
      <c r="G35" s="65">
        <f>IF(OR(1365645.29487="",119826.42455="",85109.59435=""),"-",(85109.59435-119826.42455)/1365645.29487*100)</f>
        <v>-2.5421557362232039</v>
      </c>
      <c r="H35" s="65">
        <f>IF(OR(1365113.41163="",77697.08695="",85109.59435=""),"-",(77697.08695-85109.59435)/1365113.41163*100)</f>
        <v>-0.54299572012476038</v>
      </c>
    </row>
    <row r="36" spans="1:8" s="9" customFormat="1" ht="25.5" x14ac:dyDescent="0.25">
      <c r="A36" s="54" t="s">
        <v>318</v>
      </c>
      <c r="B36" s="48" t="s">
        <v>171</v>
      </c>
      <c r="C36" s="55">
        <v>3554.42884</v>
      </c>
      <c r="D36" s="64">
        <f>IF(2436.21034="","-",3554.42884/2436.21034*100)</f>
        <v>145.89991601464101</v>
      </c>
      <c r="E36" s="64">
        <f>IF(2436.21034="","-",2436.21034/1365113.41163*100)</f>
        <v>0.17846212038097753</v>
      </c>
      <c r="F36" s="64">
        <f>IF(3554.42884="","-",3554.42884/1551105.23673*100)</f>
        <v>0.22915458963270316</v>
      </c>
      <c r="G36" s="64">
        <f>IF(1365645.29487="","-",(2436.21034-2661.17909)/1365645.29487*100)</f>
        <v>-1.6473439394921026E-2</v>
      </c>
      <c r="H36" s="64">
        <f>IF(1365113.41163="","-",(3554.42884-2436.21034)/1365113.41163*100)</f>
        <v>8.1913963372816201E-2</v>
      </c>
    </row>
    <row r="37" spans="1:8" s="9" customFormat="1" x14ac:dyDescent="0.25">
      <c r="A37" s="56" t="s">
        <v>319</v>
      </c>
      <c r="B37" s="46" t="s">
        <v>217</v>
      </c>
      <c r="C37" s="57">
        <v>389.00047999999998</v>
      </c>
      <c r="D37" s="65">
        <f>IF(OR(330.57056="",389.00048=""),"-",389.00048/330.57056*100)</f>
        <v>117.67547600125067</v>
      </c>
      <c r="E37" s="65">
        <f>IF(330.57056="","-",330.57056/1365113.41163*100)</f>
        <v>2.4215611478410833E-2</v>
      </c>
      <c r="F37" s="65">
        <f>IF(389.00048="","-",389.00048/1551105.23673*100)</f>
        <v>2.5078922486270545E-2</v>
      </c>
      <c r="G37" s="65">
        <f>IF(OR(1365645.29487="",305.8436="",330.57056=""),"-",(330.57056-305.8436)/1365645.29487*100)</f>
        <v>1.8106429314321956E-3</v>
      </c>
      <c r="H37" s="65">
        <f>IF(OR(1365113.41163="",389.00048="",330.57056=""),"-",(389.00048-330.57056)/1365113.41163*100)</f>
        <v>4.2802245954226114E-3</v>
      </c>
    </row>
    <row r="38" spans="1:8" s="9" customFormat="1" ht="25.5" x14ac:dyDescent="0.25">
      <c r="A38" s="56" t="s">
        <v>320</v>
      </c>
      <c r="B38" s="46" t="s">
        <v>172</v>
      </c>
      <c r="C38" s="57">
        <v>2665.4284200000002</v>
      </c>
      <c r="D38" s="65" t="s">
        <v>103</v>
      </c>
      <c r="E38" s="65">
        <f>IF(1595.69214="","-",1595.69214/1365113.41163*100)</f>
        <v>0.11689081115206976</v>
      </c>
      <c r="F38" s="65">
        <f>IF(2665.42842="","-",2665.42842/1551105.23673*100)</f>
        <v>0.17184059191362072</v>
      </c>
      <c r="G38" s="65">
        <f>IF(OR(1365645.29487="",1610.24423="",1595.69214=""),"-",(1595.69214-1610.24423)/1365645.29487*100)</f>
        <v>-1.0655834318519118E-3</v>
      </c>
      <c r="H38" s="65">
        <f>IF(OR(1365113.41163="",2665.42842="",1595.69214=""),"-",(2665.42842-1595.69214)/1365113.41163*100)</f>
        <v>7.8362447463078702E-2</v>
      </c>
    </row>
    <row r="39" spans="1:8" s="9" customFormat="1" ht="63.75" x14ac:dyDescent="0.25">
      <c r="A39" s="56" t="s">
        <v>321</v>
      </c>
      <c r="B39" s="46" t="s">
        <v>215</v>
      </c>
      <c r="C39" s="57">
        <v>499.99993999999998</v>
      </c>
      <c r="D39" s="65">
        <f>IF(OR(509.94764="",499.99994=""),"-",499.99994/509.94764*100)</f>
        <v>98.04927031332079</v>
      </c>
      <c r="E39" s="65">
        <f>IF(509.94764="","-",509.94764/1365113.41163*100)</f>
        <v>3.7355697750496943E-2</v>
      </c>
      <c r="F39" s="65">
        <f>IF(499.99994="","-",499.99994/1551105.23673*100)</f>
        <v>3.2235075232811862E-2</v>
      </c>
      <c r="G39" s="65">
        <f>IF(OR(1365645.29487="",745.09126="",509.94764=""),"-",(509.94764-745.09126)/1365645.29487*100)</f>
        <v>-1.7218498894501305E-2</v>
      </c>
      <c r="H39" s="65">
        <f>IF(OR(1365113.41163="",499.99994="",509.94764=""),"-",(499.99994-509.94764)/1365113.41163*100)</f>
        <v>-7.2870868568509974E-4</v>
      </c>
    </row>
    <row r="40" spans="1:8" s="9" customFormat="1" ht="25.5" x14ac:dyDescent="0.25">
      <c r="A40" s="54" t="s">
        <v>322</v>
      </c>
      <c r="B40" s="48" t="s">
        <v>173</v>
      </c>
      <c r="C40" s="55">
        <v>240192.62417</v>
      </c>
      <c r="D40" s="64">
        <f>IF(221897.24315="","-",240192.62417/221897.24315*100)</f>
        <v>108.24497896426435</v>
      </c>
      <c r="E40" s="64">
        <f>IF(221897.24315="","-",221897.24315/1365113.41163*100)</f>
        <v>16.254857747316819</v>
      </c>
      <c r="F40" s="64">
        <f>IF(240192.62417="","-",240192.62417/1551105.23673*100)</f>
        <v>15.485256479203684</v>
      </c>
      <c r="G40" s="64">
        <f>IF(1365645.29487="","-",(221897.24315-209223.64397)/1365645.29487*100)</f>
        <v>0.92803008421058764</v>
      </c>
      <c r="H40" s="64">
        <f>IF(1365113.41163="","-",(240192.62417-221897.24315)/1365113.41163*100)</f>
        <v>1.3402096019373646</v>
      </c>
    </row>
    <row r="41" spans="1:8" s="9" customFormat="1" x14ac:dyDescent="0.25">
      <c r="A41" s="56" t="s">
        <v>323</v>
      </c>
      <c r="B41" s="46" t="s">
        <v>25</v>
      </c>
      <c r="C41" s="57">
        <v>2839.7148400000001</v>
      </c>
      <c r="D41" s="65">
        <f>IF(OR(2739.90744="",2839.71484=""),"-",2839.71484/2739.90744*100)</f>
        <v>103.64272889452062</v>
      </c>
      <c r="E41" s="65">
        <f>IF(2739.90744="","-",2739.90744/1365113.41163*100)</f>
        <v>0.20070914377205046</v>
      </c>
      <c r="F41" s="65">
        <f>IF(2839.71484="","-",2839.71484/1551105.23673*100)</f>
        <v>0.18307686498348841</v>
      </c>
      <c r="G41" s="65">
        <f>IF(OR(1365645.29487="",4795.46217="",2739.90744=""),"-",(2739.90744-4795.46217)/1365645.29487*100)</f>
        <v>-0.15051893326338991</v>
      </c>
      <c r="H41" s="65">
        <f>IF(OR(1365113.41163="",2839.71484="",2739.90744=""),"-",(2839.71484-2739.90744)/1365113.41163*100)</f>
        <v>7.3112899741294111E-3</v>
      </c>
    </row>
    <row r="42" spans="1:8" s="9" customFormat="1" x14ac:dyDescent="0.25">
      <c r="A42" s="56" t="s">
        <v>324</v>
      </c>
      <c r="B42" s="46" t="s">
        <v>26</v>
      </c>
      <c r="C42" s="57">
        <v>3653.75396</v>
      </c>
      <c r="D42" s="65">
        <f>IF(OR(4292.9238="",3653.75396=""),"-",3653.75396/4292.9238*100)</f>
        <v>85.111083499781671</v>
      </c>
      <c r="E42" s="65">
        <f>IF(4292.9238="","-",4292.9238/1365113.41163*100)</f>
        <v>0.31447378389419506</v>
      </c>
      <c r="F42" s="65">
        <f>IF(3653.75396="","-",3653.75396/1551105.23673*100)</f>
        <v>0.23555809583254003</v>
      </c>
      <c r="G42" s="65">
        <f>IF(OR(1365645.29487="",3343.24376="",4292.9238=""),"-",(4292.9238-3343.24376)/1365645.29487*100)</f>
        <v>6.9540754364800311E-2</v>
      </c>
      <c r="H42" s="65">
        <f>IF(OR(1365113.41163="",3653.75396="",4292.9238=""),"-",(3653.75396-4292.9238)/1365113.41163*100)</f>
        <v>-4.6821739099083735E-2</v>
      </c>
    </row>
    <row r="43" spans="1:8" s="9" customFormat="1" x14ac:dyDescent="0.25">
      <c r="A43" s="56" t="s">
        <v>325</v>
      </c>
      <c r="B43" s="46" t="s">
        <v>174</v>
      </c>
      <c r="C43" s="57">
        <v>8531.8071</v>
      </c>
      <c r="D43" s="65">
        <f>IF(OR(7465.71618="",8531.8071=""),"-",8531.8071/7465.71618*100)</f>
        <v>114.2798211758433</v>
      </c>
      <c r="E43" s="65">
        <f>IF(7465.71618="","-",7465.71618/1365113.41163*100)</f>
        <v>0.54689347539891475</v>
      </c>
      <c r="F43" s="65">
        <f>IF(8531.8071="","-",8531.8071/1551105.23673*100)</f>
        <v>0.55004695348631116</v>
      </c>
      <c r="G43" s="65">
        <f>IF(OR(1365645.29487="",6492.30627="",7465.71618=""),"-",(7465.71618-6492.30627)/1365645.29487*100)</f>
        <v>7.1278384925908753E-2</v>
      </c>
      <c r="H43" s="65">
        <f>IF(OR(1365113.41163="",8531.8071="",7465.71618=""),"-",(8531.8071-7465.71618)/1365113.41163*100)</f>
        <v>7.8095410309319616E-2</v>
      </c>
    </row>
    <row r="44" spans="1:8" s="9" customFormat="1" x14ac:dyDescent="0.25">
      <c r="A44" s="56" t="s">
        <v>326</v>
      </c>
      <c r="B44" s="46" t="s">
        <v>175</v>
      </c>
      <c r="C44" s="57">
        <v>70520.783779999998</v>
      </c>
      <c r="D44" s="65">
        <f>IF(OR(57417.15029="",70520.78378=""),"-",70520.78378/57417.15029*100)</f>
        <v>122.82181094641018</v>
      </c>
      <c r="E44" s="65">
        <f>IF(57417.15029="","-",57417.15029/1365113.41163*100)</f>
        <v>4.2060351763331978</v>
      </c>
      <c r="F44" s="65">
        <f>IF(70520.78378="","-",70520.78378/1551105.23673*100)</f>
        <v>4.5464860868286463</v>
      </c>
      <c r="G44" s="65">
        <f>IF(OR(1365645.29487="",62462.18939="",57417.15029=""),"-",(57417.15029-62462.18939)/1365645.29487*100)</f>
        <v>-0.3694252906630674</v>
      </c>
      <c r="H44" s="65">
        <f>IF(OR(1365113.41163="",70520.78378="",57417.15029=""),"-",(70520.78378-57417.15029)/1365113.41163*100)</f>
        <v>0.9598933962822721</v>
      </c>
    </row>
    <row r="45" spans="1:8" s="9" customFormat="1" ht="40.5" customHeight="1" x14ac:dyDescent="0.25">
      <c r="A45" s="56" t="s">
        <v>327</v>
      </c>
      <c r="B45" s="46" t="s">
        <v>176</v>
      </c>
      <c r="C45" s="57">
        <v>31744.117109999999</v>
      </c>
      <c r="D45" s="65">
        <f>IF(OR(28395.06968="",31744.11711=""),"-",31744.11711/28395.06968*100)</f>
        <v>111.79446808105173</v>
      </c>
      <c r="E45" s="65">
        <f>IF(28395.06968="","-",28395.06968/1365113.41163*100)</f>
        <v>2.0800520629341084</v>
      </c>
      <c r="F45" s="65">
        <f>IF(31744.11711="","-",31744.11711/1551105.23673*100)</f>
        <v>2.0465482520658709</v>
      </c>
      <c r="G45" s="65">
        <f>IF(OR(1365645.29487="",26100.93011="",28395.06968=""),"-",(28395.06968-26100.93011)/1365645.29487*100)</f>
        <v>0.16798941706297063</v>
      </c>
      <c r="H45" s="65">
        <f>IF(OR(1365113.41163="",31744.11711="",28395.06968=""),"-",(31744.11711-28395.06968)/1365113.41163*100)</f>
        <v>0.24533107663202153</v>
      </c>
    </row>
    <row r="46" spans="1:8" s="9" customFormat="1" x14ac:dyDescent="0.25">
      <c r="A46" s="56" t="s">
        <v>328</v>
      </c>
      <c r="B46" s="46" t="s">
        <v>177</v>
      </c>
      <c r="C46" s="57">
        <v>23623.067060000001</v>
      </c>
      <c r="D46" s="65">
        <f>IF(OR(34615.88204="",23623.06706=""),"-",23623.06706/34615.88204*100)</f>
        <v>68.243435289912966</v>
      </c>
      <c r="E46" s="65">
        <f>IF(34615.88204="","-",34615.88204/1365113.41163*100)</f>
        <v>2.5357513701859578</v>
      </c>
      <c r="F46" s="65">
        <f>IF(23623.06706="","-",23623.06706/1551105.23673*100)</f>
        <v>1.5229828705756641</v>
      </c>
      <c r="G46" s="65">
        <f>IF(OR(1365645.29487="",27743.25417="",34615.88204=""),"-",(34615.88204-27743.25417)/1365645.29487*100)</f>
        <v>0.50325131246135357</v>
      </c>
      <c r="H46" s="65">
        <f>IF(OR(1365113.41163="",23623.06706="",34615.88204=""),"-",(23623.06706-34615.88204)/1365113.41163*100)</f>
        <v>-0.80526752476002239</v>
      </c>
    </row>
    <row r="47" spans="1:8" s="9" customFormat="1" x14ac:dyDescent="0.25">
      <c r="A47" s="56" t="s">
        <v>329</v>
      </c>
      <c r="B47" s="46" t="s">
        <v>27</v>
      </c>
      <c r="C47" s="57">
        <v>12084.48941</v>
      </c>
      <c r="D47" s="65">
        <f>IF(OR(11188.16257="",12084.48941=""),"-",12084.48941/11188.16257*100)</f>
        <v>108.01138555497411</v>
      </c>
      <c r="E47" s="65">
        <f>IF(11188.16257="","-",11188.16257/1365113.41163*100)</f>
        <v>0.81957751456275607</v>
      </c>
      <c r="F47" s="65">
        <f>IF(12084.48941="","-",12084.48941/1551105.23673*100)</f>
        <v>0.77908894405360973</v>
      </c>
      <c r="G47" s="65">
        <f>IF(OR(1365645.29487="",10697.50227="",11188.16257=""),"-",(11188.16257-10697.50227)/1365645.29487*100)</f>
        <v>3.5928824405806414E-2</v>
      </c>
      <c r="H47" s="65">
        <f>IF(OR(1365113.41163="",12084.48941="",11188.16257=""),"-",(12084.48941-11188.16257)/1365113.41163*100)</f>
        <v>6.5659514613496436E-2</v>
      </c>
    </row>
    <row r="48" spans="1:8" s="9" customFormat="1" x14ac:dyDescent="0.25">
      <c r="A48" s="56" t="s">
        <v>330</v>
      </c>
      <c r="B48" s="46" t="s">
        <v>28</v>
      </c>
      <c r="C48" s="57">
        <v>32245.243170000002</v>
      </c>
      <c r="D48" s="65">
        <f>IF(OR(24951.75195="",32245.24317=""),"-",32245.24317/24951.75195*100)</f>
        <v>129.23037722808078</v>
      </c>
      <c r="E48" s="65">
        <f>IF(24951.75195="","-",24951.75195/1365113.41163*100)</f>
        <v>1.8278153109789326</v>
      </c>
      <c r="F48" s="65">
        <f>IF(32245.24317="","-",32245.24317/1551105.23673*100)</f>
        <v>2.0788559284332373</v>
      </c>
      <c r="G48" s="65">
        <f>IF(OR(1365645.29487="",24188.7297="",24951.75195=""),"-",(24951.75195-24188.7297)/1365645.29487*100)</f>
        <v>5.5872652501075412E-2</v>
      </c>
      <c r="H48" s="65">
        <f>IF(OR(1365113.41163="",32245.24317="",24951.75195=""),"-",(32245.24317-24951.75195)/1365113.41163*100)</f>
        <v>0.53427731043175963</v>
      </c>
    </row>
    <row r="49" spans="1:8" s="9" customFormat="1" x14ac:dyDescent="0.25">
      <c r="A49" s="56" t="s">
        <v>331</v>
      </c>
      <c r="B49" s="46" t="s">
        <v>178</v>
      </c>
      <c r="C49" s="57">
        <v>54949.64774</v>
      </c>
      <c r="D49" s="65">
        <f>IF(OR(50830.6792="",54949.64774=""),"-",54949.64774/50830.6792*100)</f>
        <v>108.10331202499455</v>
      </c>
      <c r="E49" s="65">
        <f>IF(50830.6792="","-",50830.6792/1365113.41163*100)</f>
        <v>3.723549909256707</v>
      </c>
      <c r="F49" s="65">
        <f>IF(54949.64774="","-",54949.64774/1551105.23673*100)</f>
        <v>3.5426124829443184</v>
      </c>
      <c r="G49" s="65">
        <f>IF(OR(1365645.29487="",43400.02613="",50830.6792=""),"-",(50830.6792-43400.02613)/1365645.29487*100)</f>
        <v>0.54411296241513041</v>
      </c>
      <c r="H49" s="65">
        <f>IF(OR(1365113.41163="",54949.64774="",50830.6792=""),"-",(54949.64774-50830.6792)/1365113.41163*100)</f>
        <v>0.30173086755347228</v>
      </c>
    </row>
    <row r="50" spans="1:8" s="9" customFormat="1" ht="25.5" x14ac:dyDescent="0.25">
      <c r="A50" s="54" t="s">
        <v>332</v>
      </c>
      <c r="B50" s="48" t="s">
        <v>221</v>
      </c>
      <c r="C50" s="55">
        <v>266075.01143000001</v>
      </c>
      <c r="D50" s="64">
        <f>IF(244185.24106="","-",266075.01143/244185.24106*100)</f>
        <v>108.96441172078102</v>
      </c>
      <c r="E50" s="64">
        <f>IF(244185.24106="","-",244185.24106/1365113.41163*100)</f>
        <v>17.887542454691225</v>
      </c>
      <c r="F50" s="64">
        <f>IF(266075.01143="","-",266075.01143/1551105.23673*100)</f>
        <v>17.153898080502422</v>
      </c>
      <c r="G50" s="64">
        <f>IF(1365645.29487="","-",(244185.24106-231219.97527)/1365645.29487*100)</f>
        <v>0.94938750484504164</v>
      </c>
      <c r="H50" s="64">
        <f>IF(1365113.41163="","-",(266075.01143-244185.24106)/1365113.41163*100)</f>
        <v>1.6035129523680198</v>
      </c>
    </row>
    <row r="51" spans="1:8" s="9" customFormat="1" x14ac:dyDescent="0.25">
      <c r="A51" s="56" t="s">
        <v>333</v>
      </c>
      <c r="B51" s="46" t="s">
        <v>179</v>
      </c>
      <c r="C51" s="57">
        <v>15425.742190000001</v>
      </c>
      <c r="D51" s="65">
        <f>IF(OR(13301.45428="",15425.74219=""),"-",15425.74219/13301.45428*100)</f>
        <v>115.97034328189264</v>
      </c>
      <c r="E51" s="65">
        <f>IF(13301.45428="","-",13301.45428/1365113.41163*100)</f>
        <v>0.9743845578454563</v>
      </c>
      <c r="F51" s="65">
        <f>IF(15425.74219="","-",15425.74219/1551105.23673*100)</f>
        <v>0.99450003937322473</v>
      </c>
      <c r="G51" s="65">
        <f>IF(OR(1365645.29487="",11901.05665="",13301.45428=""),"-",(13301.45428-11901.05665)/1365645.29487*100)</f>
        <v>0.10254475560092693</v>
      </c>
      <c r="H51" s="65">
        <f>IF(OR(1365113.41163="",15425.74219="",13301.45428=""),"-",(15425.74219-13301.45428)/1365113.41163*100)</f>
        <v>0.15561255877367114</v>
      </c>
    </row>
    <row r="52" spans="1:8" s="9" customFormat="1" x14ac:dyDescent="0.25">
      <c r="A52" s="56" t="s">
        <v>334</v>
      </c>
      <c r="B52" s="46" t="s">
        <v>29</v>
      </c>
      <c r="C52" s="57">
        <v>15277.440500000001</v>
      </c>
      <c r="D52" s="65">
        <f>IF(OR(14990.24474="",15277.4405=""),"-",15277.4405/14990.24474*100)</f>
        <v>101.91588439669465</v>
      </c>
      <c r="E52" s="65">
        <f>IF(14990.24474="","-",14990.24474/1365113.41163*100)</f>
        <v>1.0980951921130897</v>
      </c>
      <c r="F52" s="65">
        <f>IF(15277.4405="","-",15277.4405/1551105.23673*100)</f>
        <v>0.98493900595729456</v>
      </c>
      <c r="G52" s="65">
        <f>IF(OR(1365645.29487="",15077.56358="",14990.24474=""),"-",(14990.24474-15077.56358)/1365645.29487*100)</f>
        <v>-6.3939619114868366E-3</v>
      </c>
      <c r="H52" s="65">
        <f>IF(OR(1365113.41163="",15277.4405="",14990.24474=""),"-",(15277.4405-14990.24474)/1365113.41163*100)</f>
        <v>2.1038234446548825E-2</v>
      </c>
    </row>
    <row r="53" spans="1:8" s="9" customFormat="1" x14ac:dyDescent="0.25">
      <c r="A53" s="56" t="s">
        <v>335</v>
      </c>
      <c r="B53" s="46" t="s">
        <v>180</v>
      </c>
      <c r="C53" s="57">
        <v>21544.594359999999</v>
      </c>
      <c r="D53" s="65">
        <f>IF(OR(17300.78305="",21544.59436=""),"-",21544.59436/17300.78305*100)</f>
        <v>124.52959093085674</v>
      </c>
      <c r="E53" s="65">
        <f>IF(17300.78305="","-",17300.78305/1365113.41163*100)</f>
        <v>1.2673513352522243</v>
      </c>
      <c r="F53" s="65">
        <f>IF(21544.59436="","-",21544.59436/1551105.23673*100)</f>
        <v>1.3889834067880369</v>
      </c>
      <c r="G53" s="65">
        <f>IF(OR(1365645.29487="",17239.46151="",17300.78305=""),"-",(17300.78305-17239.46151)/1365645.29487*100)</f>
        <v>4.4902977537688189E-3</v>
      </c>
      <c r="H53" s="65">
        <f>IF(OR(1365113.41163="",21544.59436="",17300.78305=""),"-",(21544.59436-17300.78305)/1365113.41163*100)</f>
        <v>0.31087609819412154</v>
      </c>
    </row>
    <row r="54" spans="1:8" s="9" customFormat="1" ht="25.5" x14ac:dyDescent="0.25">
      <c r="A54" s="56" t="s">
        <v>336</v>
      </c>
      <c r="B54" s="46" t="s">
        <v>181</v>
      </c>
      <c r="C54" s="57">
        <v>24337.427370000001</v>
      </c>
      <c r="D54" s="65">
        <f>IF(OR(23120.53685="",24337.42737=""),"-",24337.42737/23120.53685*100)</f>
        <v>105.2632450876676</v>
      </c>
      <c r="E54" s="65">
        <f>IF(23120.53685="","-",23120.53685/1365113.41163*100)</f>
        <v>1.6936715039956391</v>
      </c>
      <c r="F54" s="65">
        <f>IF(24337.42737="","-",24337.42737/1551105.23673*100)</f>
        <v>1.5690377927746242</v>
      </c>
      <c r="G54" s="65">
        <f>IF(OR(1365645.29487="",24816.65425="",23120.53685=""),"-",(23120.53685-24816.65425)/1365645.29487*100)</f>
        <v>-0.12419897072624979</v>
      </c>
      <c r="H54" s="65">
        <f>IF(OR(1365113.41163="",24337.42737="",23120.53685=""),"-",(24337.42737-23120.53685)/1365113.41163*100)</f>
        <v>8.9142082235276338E-2</v>
      </c>
    </row>
    <row r="55" spans="1:8" s="9" customFormat="1" ht="38.25" x14ac:dyDescent="0.25">
      <c r="A55" s="56" t="s">
        <v>337</v>
      </c>
      <c r="B55" s="46" t="s">
        <v>182</v>
      </c>
      <c r="C55" s="57">
        <v>69398.201920000007</v>
      </c>
      <c r="D55" s="65">
        <f>IF(OR(66065.02309="",69398.20192=""),"-",69398.20192/66065.02309*100)</f>
        <v>105.04530033306617</v>
      </c>
      <c r="E55" s="65">
        <f>IF(66065.02309="","-",66065.02309/1365113.41163*100)</f>
        <v>4.8395263373111046</v>
      </c>
      <c r="F55" s="65">
        <f>IF(69398.20192="","-",69398.20192/1551105.23673*100)</f>
        <v>4.4741130567197045</v>
      </c>
      <c r="G55" s="65">
        <f>IF(OR(1365645.29487="",63704.9839="",66065.02309=""),"-",(66065.02309-63704.9839)/1365645.29487*100)</f>
        <v>0.17281494681418444</v>
      </c>
      <c r="H55" s="65">
        <f>IF(OR(1365113.41163="",69398.20192="",66065.02309=""),"-",(69398.20192-66065.02309)/1365113.41163*100)</f>
        <v>0.2441686384151816</v>
      </c>
    </row>
    <row r="56" spans="1:8" s="9" customFormat="1" ht="16.5" customHeight="1" x14ac:dyDescent="0.25">
      <c r="A56" s="56" t="s">
        <v>338</v>
      </c>
      <c r="B56" s="46" t="s">
        <v>30</v>
      </c>
      <c r="C56" s="57">
        <v>31217.046709999999</v>
      </c>
      <c r="D56" s="65">
        <f>IF(OR(28866.09593="",31217.04671=""),"-",31217.04671/28866.09593*100)</f>
        <v>108.14433231879028</v>
      </c>
      <c r="E56" s="65">
        <f>IF(28866.09593="","-",28866.09593/1365113.41163*100)</f>
        <v>2.1145566136906333</v>
      </c>
      <c r="F56" s="65">
        <f>IF(31217.04671="","-",31217.04671/1551105.23673*100)</f>
        <v>2.0125679399942564</v>
      </c>
      <c r="G56" s="65">
        <f>IF(OR(1365645.29487="",24697.42972="",28866.09593=""),"-",(28866.09593-24697.42972)/1365645.29487*100)</f>
        <v>0.3052524858145414</v>
      </c>
      <c r="H56" s="65">
        <f>IF(OR(1365113.41163="",31217.04671="",28866.09593=""),"-",(31217.04671-28866.09593)/1365113.41163*100)</f>
        <v>0.17221651768792381</v>
      </c>
    </row>
    <row r="57" spans="1:8" s="9" customFormat="1" ht="16.5" customHeight="1" x14ac:dyDescent="0.25">
      <c r="A57" s="56" t="s">
        <v>339</v>
      </c>
      <c r="B57" s="46" t="s">
        <v>183</v>
      </c>
      <c r="C57" s="57">
        <v>29415.207549999999</v>
      </c>
      <c r="D57" s="65">
        <f>IF(OR(28313.96522="",29415.20755=""),"-",29415.20755/28313.96522*100)</f>
        <v>103.88939635068182</v>
      </c>
      <c r="E57" s="65">
        <f>IF(28313.96522="","-",28313.96522/1365113.41163*100)</f>
        <v>2.074110837882106</v>
      </c>
      <c r="F57" s="65">
        <f>IF(29415.20755="","-",29415.20755/1551105.23673*100)</f>
        <v>1.8964030842944211</v>
      </c>
      <c r="G57" s="65">
        <f>IF(OR(1365645.29487="",22049.96683="",28313.96522=""),"-",(28313.96522-22049.96683)/1365645.29487*100)</f>
        <v>0.45868414100868599</v>
      </c>
      <c r="H57" s="65">
        <f>IF(OR(1365113.41163="",29415.20755="",28313.96522=""),"-",(29415.20755-28313.96522)/1365113.41163*100)</f>
        <v>8.0670391237682854E-2</v>
      </c>
    </row>
    <row r="58" spans="1:8" s="9" customFormat="1" ht="16.5" customHeight="1" x14ac:dyDescent="0.25">
      <c r="A58" s="56" t="s">
        <v>340</v>
      </c>
      <c r="B58" s="46" t="s">
        <v>31</v>
      </c>
      <c r="C58" s="57">
        <v>16139.253000000001</v>
      </c>
      <c r="D58" s="65">
        <f>IF(OR(17853.72975="",16139.253=""),"-",16139.253/17853.72975*100)</f>
        <v>90.397094758309549</v>
      </c>
      <c r="E58" s="65">
        <f>IF(17853.72975="","-",17853.72975/1365113.41163*100)</f>
        <v>1.307856885581538</v>
      </c>
      <c r="F58" s="65">
        <f>IF(16139.253="","-",16139.253/1551105.23673*100)</f>
        <v>1.0405001941727923</v>
      </c>
      <c r="G58" s="65">
        <f>IF(OR(1365645.29487="",21590.86458="",17853.72975=""),"-",(17853.72975-21590.86458)/1365645.29487*100)</f>
        <v>-0.27365340356228823</v>
      </c>
      <c r="H58" s="65">
        <f>IF(OR(1365113.41163="",16139.253="",17853.72975=""),"-",(16139.253-17853.72975)/1365113.41163*100)</f>
        <v>-0.12559225741931904</v>
      </c>
    </row>
    <row r="59" spans="1:8" s="9" customFormat="1" ht="15.75" customHeight="1" x14ac:dyDescent="0.25">
      <c r="A59" s="56" t="s">
        <v>341</v>
      </c>
      <c r="B59" s="46" t="s">
        <v>32</v>
      </c>
      <c r="C59" s="57">
        <v>43320.097829999999</v>
      </c>
      <c r="D59" s="65">
        <f>IF(OR(34373.40815="",43320.09783=""),"-",43320.09783/34373.40815*100)</f>
        <v>126.02793892580593</v>
      </c>
      <c r="E59" s="65">
        <f>IF(34373.40815="","-",34373.40815/1365113.41163*100)</f>
        <v>2.5179891910194319</v>
      </c>
      <c r="F59" s="65">
        <f>IF(43320.09783="","-",43320.09783/1551105.23673*100)</f>
        <v>2.7928535604280667</v>
      </c>
      <c r="G59" s="65">
        <f>IF(OR(1365645.29487="",30141.99425="",34373.40815=""),"-",(34373.40815-30141.99425)/1365645.29487*100)</f>
        <v>0.30984721405295834</v>
      </c>
      <c r="H59" s="65">
        <f>IF(OR(1365113.41163="",43320.09783="",34373.40815=""),"-",(43320.09783-34373.40815)/1365113.41163*100)</f>
        <v>0.65538068879693223</v>
      </c>
    </row>
    <row r="60" spans="1:8" s="9" customFormat="1" ht="25.5" x14ac:dyDescent="0.25">
      <c r="A60" s="54" t="s">
        <v>342</v>
      </c>
      <c r="B60" s="48" t="s">
        <v>184</v>
      </c>
      <c r="C60" s="55">
        <v>396074.70251999999</v>
      </c>
      <c r="D60" s="64">
        <f>IF(297532.45036="","-",396074.70252/297532.45036*100)</f>
        <v>133.11983349741132</v>
      </c>
      <c r="E60" s="64">
        <f>IF(297532.45036="","-",297532.45036/1365113.41163*100)</f>
        <v>21.795438226977375</v>
      </c>
      <c r="F60" s="64">
        <f>IF(396074.70252="","-",396074.70252/1551105.23673*100)</f>
        <v>25.534998731291402</v>
      </c>
      <c r="G60" s="64">
        <f>IF(1365645.29487="","-",(297532.45036-312441.26033)/1365645.29487*100)</f>
        <v>-1.0917044144628505</v>
      </c>
      <c r="H60" s="64">
        <f>IF(1365113.41163="","-",(396074.70252-297532.45036)/1365113.41163*100)</f>
        <v>7.2186128508060428</v>
      </c>
    </row>
    <row r="61" spans="1:8" s="9" customFormat="1" ht="25.5" x14ac:dyDescent="0.25">
      <c r="A61" s="56" t="s">
        <v>343</v>
      </c>
      <c r="B61" s="46" t="s">
        <v>185</v>
      </c>
      <c r="C61" s="57">
        <v>7171.9529899999998</v>
      </c>
      <c r="D61" s="65" t="s">
        <v>103</v>
      </c>
      <c r="E61" s="65">
        <f>IF(4216.6784="","-",4216.6784/1365113.41163*100)</f>
        <v>0.30888850435987714</v>
      </c>
      <c r="F61" s="65">
        <f>IF(7171.95299="","-",7171.95299/1551105.23673*100)</f>
        <v>0.46237694388291317</v>
      </c>
      <c r="G61" s="65">
        <f>IF(OR(1365645.29487="",3538.61931="",4216.6784=""),"-",(4216.6784-3538.61931)/1365645.29487*100)</f>
        <v>4.9651186332725306E-2</v>
      </c>
      <c r="H61" s="65">
        <f>IF(OR(1365113.41163="",7171.95299="",4216.6784=""),"-",(7171.95299-4216.6784)/1365113.41163*100)</f>
        <v>0.21648564616117016</v>
      </c>
    </row>
    <row r="62" spans="1:8" s="9" customFormat="1" ht="25.5" x14ac:dyDescent="0.25">
      <c r="A62" s="56" t="s">
        <v>344</v>
      </c>
      <c r="B62" s="46" t="s">
        <v>186</v>
      </c>
      <c r="C62" s="57">
        <v>41337.366679999999</v>
      </c>
      <c r="D62" s="65">
        <f>IF(OR(38350.71093="",41337.36668=""),"-",41337.36668/38350.71093*100)</f>
        <v>107.78774546175016</v>
      </c>
      <c r="E62" s="65">
        <f>IF(38350.71093="","-",38350.71093/1365113.41163*100)</f>
        <v>2.8093424768428377</v>
      </c>
      <c r="F62" s="65">
        <f>IF(41337.36668="","-",41337.36668/1551105.23673*100)</f>
        <v>2.6650265695154487</v>
      </c>
      <c r="G62" s="65">
        <f>IF(OR(1365645.29487="",46078.24782="",38350.71093=""),"-",(38350.71093-46078.24782)/1365645.29487*100)</f>
        <v>-0.56585241563297761</v>
      </c>
      <c r="H62" s="65">
        <f>IF(OR(1365113.41163="",41337.36668="",38350.71093=""),"-",(41337.36668-38350.71093)/1365113.41163*100)</f>
        <v>0.21878444124534763</v>
      </c>
    </row>
    <row r="63" spans="1:8" s="9" customFormat="1" ht="27" customHeight="1" x14ac:dyDescent="0.25">
      <c r="A63" s="56" t="s">
        <v>345</v>
      </c>
      <c r="B63" s="46" t="s">
        <v>187</v>
      </c>
      <c r="C63" s="57">
        <v>3523.5125400000002</v>
      </c>
      <c r="D63" s="65">
        <f>IF(OR(3575.23175="",3523.51254=""),"-",3523.51254/3575.23175*100)</f>
        <v>98.55340258711901</v>
      </c>
      <c r="E63" s="65">
        <f>IF(3575.23175="","-",3575.23175/1365113.41163*100)</f>
        <v>0.2618999798508338</v>
      </c>
      <c r="F63" s="65">
        <f>IF(3523.51254="","-",3523.51254/1551105.23673*100)</f>
        <v>0.22716141088068134</v>
      </c>
      <c r="G63" s="65">
        <f>IF(OR(1365645.29487="",1748.43378="",3575.23175=""),"-",(3575.23175-1748.43378)/1365645.29487*100)</f>
        <v>0.13376811510736383</v>
      </c>
      <c r="H63" s="65">
        <f>IF(OR(1365113.41163="",3523.51254="",3575.23175=""),"-",(3523.51254-3575.23175)/1365113.41163*100)</f>
        <v>-3.7886383328579959E-3</v>
      </c>
    </row>
    <row r="64" spans="1:8" s="9" customFormat="1" ht="38.25" x14ac:dyDescent="0.25">
      <c r="A64" s="56" t="s">
        <v>346</v>
      </c>
      <c r="B64" s="46" t="s">
        <v>188</v>
      </c>
      <c r="C64" s="57">
        <v>54969.947160000003</v>
      </c>
      <c r="D64" s="65">
        <f>IF(OR(44160.33261="",54969.94716=""),"-",54969.94716/44160.33261*100)</f>
        <v>124.47810945054385</v>
      </c>
      <c r="E64" s="65">
        <f>IF(44160.33261="","-",44160.33261/1365113.41163*100)</f>
        <v>3.2349204274002985</v>
      </c>
      <c r="F64" s="65">
        <f>IF(54969.94716="","-",54969.94716/1551105.23673*100)</f>
        <v>3.543921189763128</v>
      </c>
      <c r="G64" s="65">
        <f>IF(OR(1365645.29487="",39695.02208="",44160.33261=""),"-",(44160.33261-39695.02208)/1365645.29487*100)</f>
        <v>0.32697440153558038</v>
      </c>
      <c r="H64" s="65">
        <f>IF(OR(1365113.41163="",54969.94716="",44160.33261=""),"-",(54969.94716-44160.33261)/1365113.41163*100)</f>
        <v>0.79184736285704604</v>
      </c>
    </row>
    <row r="65" spans="1:8" s="9" customFormat="1" ht="27.75" customHeight="1" x14ac:dyDescent="0.25">
      <c r="A65" s="56" t="s">
        <v>347</v>
      </c>
      <c r="B65" s="46" t="s">
        <v>189</v>
      </c>
      <c r="C65" s="57">
        <v>18198.150229999999</v>
      </c>
      <c r="D65" s="65" t="s">
        <v>223</v>
      </c>
      <c r="E65" s="65">
        <f>IF(9932.82056="","-",9932.82056/1365113.41163*100)</f>
        <v>0.72761870738196144</v>
      </c>
      <c r="F65" s="65">
        <f>IF(18198.15023="","-",18198.15023/1551105.23673*100)</f>
        <v>1.1732376243126399</v>
      </c>
      <c r="G65" s="65">
        <f>IF(OR(1365645.29487="",11659.53829="",9932.82056=""),"-",(9932.82056-11659.53829)/1365645.29487*100)</f>
        <v>-0.12643969385654946</v>
      </c>
      <c r="H65" s="65">
        <f>IF(OR(1365113.41163="",18198.15023="",9932.82056=""),"-",(18198.15023-9932.82056)/1365113.41163*100)</f>
        <v>0.60546835153651191</v>
      </c>
    </row>
    <row r="66" spans="1:8" s="9" customFormat="1" ht="41.25" customHeight="1" x14ac:dyDescent="0.25">
      <c r="A66" s="56" t="s">
        <v>348</v>
      </c>
      <c r="B66" s="46" t="s">
        <v>190</v>
      </c>
      <c r="C66" s="57">
        <v>42651.91115</v>
      </c>
      <c r="D66" s="65">
        <f>IF(OR(33098.59868="",42651.91115=""),"-",42651.91115/33098.59868*100)</f>
        <v>128.8631931592096</v>
      </c>
      <c r="E66" s="65">
        <f>IF(33098.59868="","-",33098.59868/1365113.41163*100)</f>
        <v>2.4246043147784295</v>
      </c>
      <c r="F66" s="65">
        <f>IF(42651.91115="","-",42651.91115/1551105.23673*100)</f>
        <v>2.7497754594599693</v>
      </c>
      <c r="G66" s="65">
        <f>IF(OR(1365645.29487="",33811.3289="",33098.59868=""),"-",(33098.59868-33811.3289)/1365645.29487*100)</f>
        <v>-5.2189995650945696E-2</v>
      </c>
      <c r="H66" s="65">
        <f>IF(OR(1365113.41163="",42651.91115="",33098.59868=""),"-",(42651.91115-33098.59868)/1365113.41163*100)</f>
        <v>0.69981822672102834</v>
      </c>
    </row>
    <row r="67" spans="1:8" s="9" customFormat="1" ht="51" x14ac:dyDescent="0.25">
      <c r="A67" s="56" t="s">
        <v>349</v>
      </c>
      <c r="B67" s="46" t="s">
        <v>191</v>
      </c>
      <c r="C67" s="57">
        <v>128693.16025</v>
      </c>
      <c r="D67" s="65">
        <f>IF(OR(93902.51653="",128693.16025=""),"-",128693.16025/93902.51653*100)</f>
        <v>137.0497458488081</v>
      </c>
      <c r="E67" s="65">
        <f>IF(93902.51653="","-",93902.51653/1365113.41163*100)</f>
        <v>6.8787337176532928</v>
      </c>
      <c r="F67" s="65">
        <f>IF(128693.16025="","-",128693.16025/1551105.23673*100)</f>
        <v>8.2968684008383331</v>
      </c>
      <c r="G67" s="65">
        <f>IF(OR(1365645.29487="",96935.67658="",93902.51653=""),"-",(93902.51653-96935.67658)/1365645.29487*100)</f>
        <v>-0.22210452900134231</v>
      </c>
      <c r="H67" s="65">
        <f>IF(OR(1365113.41163="",128693.16025="",93902.51653=""),"-",(128693.16025-93902.51653)/1365113.41163*100)</f>
        <v>2.5485533600068133</v>
      </c>
    </row>
    <row r="68" spans="1:8" s="9" customFormat="1" ht="25.5" x14ac:dyDescent="0.25">
      <c r="A68" s="56" t="s">
        <v>350</v>
      </c>
      <c r="B68" s="46" t="s">
        <v>192</v>
      </c>
      <c r="C68" s="57">
        <v>99153.05343</v>
      </c>
      <c r="D68" s="65">
        <f>IF(OR(67007.00674="",99153.05343=""),"-",99153.05343/67007.00674*100)</f>
        <v>147.97415711275212</v>
      </c>
      <c r="E68" s="65">
        <f>IF(67007.00674="","-",67007.00674/1365113.41163*100)</f>
        <v>4.908530395287154</v>
      </c>
      <c r="F68" s="65">
        <f>IF(99153.05343="","-",99153.05343/1551105.23673*100)</f>
        <v>6.3924130408476927</v>
      </c>
      <c r="G68" s="65">
        <f>IF(OR(1365645.29487="",77296.3091="",67007.00674=""),"-",(67007.00674-77296.3091)/1365645.29487*100)</f>
        <v>-0.75343886136842519</v>
      </c>
      <c r="H68" s="65">
        <f>IF(OR(1365113.41163="",99153.05343="",67007.00674=""),"-",(99153.05343-67007.00674)/1365113.41163*100)</f>
        <v>2.3548260837622523</v>
      </c>
    </row>
    <row r="69" spans="1:8" s="9" customFormat="1" x14ac:dyDescent="0.25">
      <c r="A69" s="56" t="s">
        <v>351</v>
      </c>
      <c r="B69" s="46" t="s">
        <v>33</v>
      </c>
      <c r="C69" s="57">
        <v>375.64809000000002</v>
      </c>
      <c r="D69" s="65">
        <f>IF(OR(3288.55416="",375.64809=""),"-",375.64809/3288.55416*100)</f>
        <v>11.422895039076991</v>
      </c>
      <c r="E69" s="65">
        <f>IF(3288.55416="","-",3288.55416/1365113.41163*100)</f>
        <v>0.24089970342268743</v>
      </c>
      <c r="F69" s="65">
        <f>IF(375.64809="","-",375.64809/1551105.23673*100)</f>
        <v>2.4218091790595177E-2</v>
      </c>
      <c r="G69" s="65">
        <f>IF(OR(1365645.29487="",1678.08447="",3288.55416=""),"-",(3288.55416-1678.08447)/1365645.29487*100)</f>
        <v>0.11792737807171999</v>
      </c>
      <c r="H69" s="65">
        <f>IF(OR(1365113.41163="",375.64809="",3288.55416=""),"-",(375.64809-3288.55416)/1365113.41163*100)</f>
        <v>-0.21338198315126608</v>
      </c>
    </row>
    <row r="70" spans="1:8" s="9" customFormat="1" x14ac:dyDescent="0.25">
      <c r="A70" s="54" t="s">
        <v>352</v>
      </c>
      <c r="B70" s="48" t="s">
        <v>34</v>
      </c>
      <c r="C70" s="55">
        <v>177781.0289</v>
      </c>
      <c r="D70" s="64">
        <f>IF(137386.64463="","-",177781.0289/137386.64463*100)</f>
        <v>129.40197308027089</v>
      </c>
      <c r="E70" s="64">
        <f>IF(137386.64463="","-",137386.64463/1365113.41163*100)</f>
        <v>10.064119468722737</v>
      </c>
      <c r="F70" s="64">
        <f>IF(177781.0289="","-",177781.0289/1551105.23673*100)</f>
        <v>11.461571058504926</v>
      </c>
      <c r="G70" s="64">
        <f>IF(1365645.29487="","-",(137386.64463-141171.36278)/1365645.29487*100)</f>
        <v>-0.27713771388640701</v>
      </c>
      <c r="H70" s="64">
        <f>IF(1365113.41163="","-",(177781.0289-137386.64463)/1365113.41163*100)</f>
        <v>2.9590496969601596</v>
      </c>
    </row>
    <row r="71" spans="1:8" s="9" customFormat="1" ht="38.25" x14ac:dyDescent="0.25">
      <c r="A71" s="56" t="s">
        <v>353</v>
      </c>
      <c r="B71" s="46" t="s">
        <v>218</v>
      </c>
      <c r="C71" s="57">
        <v>12967.565130000001</v>
      </c>
      <c r="D71" s="65">
        <f>IF(OR(9544.9618="",12967.56513=""),"-",12967.56513/9544.9618*100)</f>
        <v>135.85769541791149</v>
      </c>
      <c r="E71" s="65">
        <f>IF(9544.9618="","-",9544.9618/1365113.41163*100)</f>
        <v>0.69920650685007424</v>
      </c>
      <c r="F71" s="65">
        <f>IF(12967.56513="","-",12967.56513/1551105.23673*100)</f>
        <v>0.83602097542639264</v>
      </c>
      <c r="G71" s="65">
        <f>IF(OR(1365645.29487="",8213.77272="",9544.9618=""),"-",(9544.9618-8213.77272)/1365645.29487*100)</f>
        <v>9.7476927940261249E-2</v>
      </c>
      <c r="H71" s="65">
        <f>IF(OR(1365113.41163="",12967.56513="",9544.9618=""),"-",(12967.56513-9544.9618)/1365113.41163*100)</f>
        <v>0.25071933956851811</v>
      </c>
    </row>
    <row r="72" spans="1:8" x14ac:dyDescent="0.25">
      <c r="A72" s="56" t="s">
        <v>354</v>
      </c>
      <c r="B72" s="46" t="s">
        <v>193</v>
      </c>
      <c r="C72" s="57">
        <v>16145.92323</v>
      </c>
      <c r="D72" s="65">
        <f>IF(OR(11439.42492="",16145.92323=""),"-",16145.92323/11439.42492*100)</f>
        <v>141.14278770929684</v>
      </c>
      <c r="E72" s="65">
        <f>IF(11439.42492="","-",11439.42492/1365113.41163*100)</f>
        <v>0.8379834834631702</v>
      </c>
      <c r="F72" s="65">
        <f>IF(16145.92323="","-",16145.92323/1551105.23673*100)</f>
        <v>1.0409302249561363</v>
      </c>
      <c r="G72" s="65">
        <f>IF(OR(1365645.29487="",11549.47475="",11439.42492=""),"-",(11439.42492-11549.47475)/1365645.29487*100)</f>
        <v>-8.0584490287044785E-3</v>
      </c>
      <c r="H72" s="65">
        <f>IF(OR(1365113.41163="",16145.92323="",11439.42492=""),"-",(16145.92323-11439.42492)/1365113.41163*100)</f>
        <v>0.34476976564022283</v>
      </c>
    </row>
    <row r="73" spans="1:8" x14ac:dyDescent="0.25">
      <c r="A73" s="56" t="s">
        <v>355</v>
      </c>
      <c r="B73" s="46" t="s">
        <v>194</v>
      </c>
      <c r="C73" s="57">
        <v>2837.0694600000002</v>
      </c>
      <c r="D73" s="65">
        <f>IF(OR(2506.48749="",2837.06946=""),"-",2837.06946/2506.48749*100)</f>
        <v>113.18905325954769</v>
      </c>
      <c r="E73" s="65">
        <f>IF(2506.48749="","-",2506.48749/1365113.41163*100)</f>
        <v>0.18361020180785959</v>
      </c>
      <c r="F73" s="65">
        <f>IF(2837.06946="","-",2837.06946/1551105.23673*100)</f>
        <v>0.18290631691638387</v>
      </c>
      <c r="G73" s="65">
        <f>IF(OR(1365645.29487="",2301.64201="",2506.48749=""),"-",(2506.48749-2301.64201)/1365645.29487*100)</f>
        <v>1.4999903764871815E-2</v>
      </c>
      <c r="H73" s="65">
        <f>IF(OR(1365113.41163="",2837.06946="",2506.48749=""),"-",(2837.06946-2506.48749)/1365113.41163*100)</f>
        <v>2.4216447306401604E-2</v>
      </c>
    </row>
    <row r="74" spans="1:8" x14ac:dyDescent="0.25">
      <c r="A74" s="56" t="s">
        <v>356</v>
      </c>
      <c r="B74" s="46" t="s">
        <v>195</v>
      </c>
      <c r="C74" s="57">
        <v>43495.184090000002</v>
      </c>
      <c r="D74" s="65">
        <f>IF(OR(32302.81821="",43495.18409=""),"-",43495.18409/32302.81821*100)</f>
        <v>134.64826445556128</v>
      </c>
      <c r="E74" s="65">
        <f>IF(32302.81821="","-",32302.81821/1365113.41163*100)</f>
        <v>2.3663102226377766</v>
      </c>
      <c r="F74" s="65">
        <f>IF(43495.18409="","-",43495.18409/1551105.23673*100)</f>
        <v>2.804141399309271</v>
      </c>
      <c r="G74" s="65">
        <f>IF(OR(1365645.29487="",32569.66488="",32302.81821=""),"-",(32302.81821-32569.66488)/1365645.29487*100)</f>
        <v>-1.9539969200084342E-2</v>
      </c>
      <c r="H74" s="65">
        <f>IF(OR(1365113.41163="",43495.18409="",32302.81821=""),"-",(43495.18409-32302.81821)/1365113.41163*100)</f>
        <v>0.81988542377851736</v>
      </c>
    </row>
    <row r="75" spans="1:8" x14ac:dyDescent="0.25">
      <c r="A75" s="56" t="s">
        <v>357</v>
      </c>
      <c r="B75" s="46" t="s">
        <v>196</v>
      </c>
      <c r="C75" s="57">
        <v>13449.55942</v>
      </c>
      <c r="D75" s="65">
        <f>IF(OR(12002.11825="",13449.55942=""),"-",13449.55942/12002.11825*100)</f>
        <v>112.05988092976837</v>
      </c>
      <c r="E75" s="65">
        <f>IF(12002.11825="","-",12002.11825/1365113.41163*100)</f>
        <v>0.87920301329901895</v>
      </c>
      <c r="F75" s="65">
        <f>IF(13449.55942="","-",13449.55942/1551105.23673*100)</f>
        <v>0.86709522355517366</v>
      </c>
      <c r="G75" s="65">
        <f>IF(OR(1365645.29487="",13711.29342="",12002.11825=""),"-",(12002.11825-13711.29342)/1365645.29487*100)</f>
        <v>-0.12515513189409128</v>
      </c>
      <c r="H75" s="65">
        <f>IF(OR(1365113.41163="",13449.55942="",12002.11825=""),"-",(13449.55942-12002.11825)/1365113.41163*100)</f>
        <v>0.10603083653479731</v>
      </c>
    </row>
    <row r="76" spans="1:8" ht="25.5" x14ac:dyDescent="0.25">
      <c r="A76" s="56" t="s">
        <v>358</v>
      </c>
      <c r="B76" s="46" t="s">
        <v>219</v>
      </c>
      <c r="C76" s="57">
        <v>20663.544119999999</v>
      </c>
      <c r="D76" s="65">
        <f>IF(OR(13864.31493="",20663.54412=""),"-",20663.54412/13864.31493*100)</f>
        <v>149.04122002658517</v>
      </c>
      <c r="E76" s="65">
        <f>IF(13864.31493="","-",13864.31493/1365113.41163*100)</f>
        <v>1.0156163445383966</v>
      </c>
      <c r="F76" s="65">
        <f>IF(20663.54412="","-",20663.54412/1551105.23673*100)</f>
        <v>1.3321819584312893</v>
      </c>
      <c r="G76" s="65">
        <f>IF(OR(1365645.29487="",13254.15205="",13864.31493=""),"-",(13864.31493-13254.15205)/1365645.29487*100)</f>
        <v>4.4679455367514234E-2</v>
      </c>
      <c r="H76" s="65">
        <f>IF(OR(1365113.41163="",20663.54412="",13864.31493=""),"-",(20663.54412-13864.31493)/1365113.41163*100)</f>
        <v>0.49807064615103641</v>
      </c>
    </row>
    <row r="77" spans="1:8" ht="25.5" x14ac:dyDescent="0.25">
      <c r="A77" s="56" t="s">
        <v>359</v>
      </c>
      <c r="B77" s="46" t="s">
        <v>197</v>
      </c>
      <c r="C77" s="57">
        <v>3150.7571800000001</v>
      </c>
      <c r="D77" s="65">
        <f>IF(OR(3024.1239="",3150.75718=""),"-",3150.75718/3024.1239*100)</f>
        <v>104.18743689701337</v>
      </c>
      <c r="E77" s="65">
        <f>IF(3024.1239="","-",3024.1239/1365113.41163*100)</f>
        <v>0.22152913261536822</v>
      </c>
      <c r="F77" s="65">
        <f>IF(3150.75718="","-",3150.75718/1551105.23673*100)</f>
        <v>0.20312981385082196</v>
      </c>
      <c r="G77" s="65">
        <f>IF(OR(1365645.29487="",2860.29066="",3024.1239=""),"-",(3024.1239-2860.29066)/1365645.29487*100)</f>
        <v>1.1996763772806446E-2</v>
      </c>
      <c r="H77" s="65">
        <f>IF(OR(1365113.41163="",3150.75718="",3024.1239=""),"-",(3150.75718-3024.1239)/1365113.41163*100)</f>
        <v>9.2763926367696297E-3</v>
      </c>
    </row>
    <row r="78" spans="1:8" x14ac:dyDescent="0.25">
      <c r="A78" s="56" t="s">
        <v>360</v>
      </c>
      <c r="B78" s="46" t="s">
        <v>35</v>
      </c>
      <c r="C78" s="57">
        <v>65071.426270000004</v>
      </c>
      <c r="D78" s="65">
        <f>IF(OR(52702.39513="",65071.42627=""),"-",65071.42627/52702.39513*100)</f>
        <v>123.46958066989092</v>
      </c>
      <c r="E78" s="65">
        <f>IF(52702.39513="","-",52702.39513/1365113.41163*100)</f>
        <v>3.8606605635110736</v>
      </c>
      <c r="F78" s="65">
        <f>IF(65071.42627="","-",65071.42627/1551105.23673*100)</f>
        <v>4.1951651460594572</v>
      </c>
      <c r="G78" s="65">
        <f>IF(OR(1365645.29487="",56711.07229="",52702.39513=""),"-",(52702.39513-56711.07229)/1365645.29487*100)</f>
        <v>-0.29353721460898069</v>
      </c>
      <c r="H78" s="65">
        <f>IF(OR(1365113.41163="",65071.42627="",52702.39513=""),"-",(65071.42627-52702.39513)/1365113.41163*100)</f>
        <v>0.90608084534389632</v>
      </c>
    </row>
    <row r="79" spans="1:8" ht="25.5" x14ac:dyDescent="0.25">
      <c r="A79" s="69" t="s">
        <v>370</v>
      </c>
      <c r="B79" s="49" t="s">
        <v>198</v>
      </c>
      <c r="C79" s="70">
        <v>76.52458</v>
      </c>
      <c r="D79" s="71">
        <f>IF(79.33292="","-",76.52458/79.33292*100)</f>
        <v>96.460057186852566</v>
      </c>
      <c r="E79" s="71">
        <f>IF(79.33292="","-",79.33292/1365113.41163*100)</f>
        <v>5.8114526840135081E-3</v>
      </c>
      <c r="F79" s="71">
        <f>IF(76.52458="","-",76.52458/1551105.23673*100)</f>
        <v>4.9335517789448726E-3</v>
      </c>
      <c r="G79" s="71">
        <f>IF(1365645.29487="","-",(79.33292-126.68299)/1365645.29487*100)</f>
        <v>-3.467230486413194E-3</v>
      </c>
      <c r="H79" s="71">
        <f>IF(1365113.41163="","-",(76.52458-79.33292)/1365113.41163*100)</f>
        <v>-2.0572210162719966E-4</v>
      </c>
    </row>
    <row r="80" spans="1:8" ht="15.75" customHeight="1" x14ac:dyDescent="0.25">
      <c r="A80" s="33" t="s">
        <v>388</v>
      </c>
      <c r="B80" s="9"/>
      <c r="C80" s="9"/>
      <c r="D80" s="9"/>
      <c r="E80" s="9"/>
    </row>
    <row r="81" spans="1:5" x14ac:dyDescent="0.25">
      <c r="A81" s="135" t="s">
        <v>389</v>
      </c>
      <c r="B81" s="135"/>
      <c r="C81" s="135"/>
      <c r="D81" s="135"/>
      <c r="E81" s="135"/>
    </row>
  </sheetData>
  <mergeCells count="11"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0"/>
  <sheetViews>
    <sheetView zoomScale="99" zoomScaleNormal="99" workbookViewId="0">
      <selection activeCell="H12" sqref="H12"/>
    </sheetView>
  </sheetViews>
  <sheetFormatPr defaultRowHeight="15.75" x14ac:dyDescent="0.25"/>
  <cols>
    <col min="1" max="1" width="7" customWidth="1"/>
    <col min="2" max="2" width="35" customWidth="1"/>
    <col min="3" max="3" width="13.625" customWidth="1"/>
    <col min="4" max="4" width="13.25" customWidth="1"/>
    <col min="5" max="5" width="17.75" customWidth="1"/>
    <col min="7" max="7" width="12.125" bestFit="1" customWidth="1"/>
  </cols>
  <sheetData>
    <row r="1" spans="1:7" x14ac:dyDescent="0.25">
      <c r="B1" s="115" t="s">
        <v>151</v>
      </c>
      <c r="C1" s="115"/>
      <c r="D1" s="115"/>
      <c r="E1" s="115"/>
    </row>
    <row r="2" spans="1:7" x14ac:dyDescent="0.25">
      <c r="B2" s="115" t="s">
        <v>382</v>
      </c>
      <c r="C2" s="115"/>
      <c r="D2" s="115"/>
      <c r="E2" s="115"/>
    </row>
    <row r="3" spans="1:7" x14ac:dyDescent="0.25">
      <c r="B3" s="5"/>
    </row>
    <row r="4" spans="1:7" ht="23.25" customHeight="1" x14ac:dyDescent="0.25">
      <c r="A4" s="116" t="s">
        <v>371</v>
      </c>
      <c r="B4" s="116"/>
      <c r="C4" s="120" t="s">
        <v>257</v>
      </c>
      <c r="D4" s="121"/>
      <c r="E4" s="118" t="s">
        <v>258</v>
      </c>
      <c r="F4" s="1"/>
    </row>
    <row r="5" spans="1:7" ht="22.5" customHeight="1" x14ac:dyDescent="0.25">
      <c r="A5" s="117"/>
      <c r="B5" s="117"/>
      <c r="C5" s="21">
        <v>2020</v>
      </c>
      <c r="D5" s="20">
        <v>2021</v>
      </c>
      <c r="E5" s="119"/>
      <c r="F5" s="1"/>
    </row>
    <row r="6" spans="1:7" ht="28.5" x14ac:dyDescent="0.25">
      <c r="A6" s="68"/>
      <c r="B6" s="45" t="s">
        <v>372</v>
      </c>
      <c r="C6" s="53">
        <v>-690086.21834000002</v>
      </c>
      <c r="D6" s="53">
        <v>-838389.75879999995</v>
      </c>
      <c r="E6" s="72">
        <f>IF(-690086.21834="","-",-838389.7588/-690086.21834*100)</f>
        <v>121.49058139673382</v>
      </c>
      <c r="G6" s="18"/>
    </row>
    <row r="7" spans="1:7" x14ac:dyDescent="0.25">
      <c r="A7" s="68"/>
      <c r="B7" s="36" t="s">
        <v>133</v>
      </c>
      <c r="C7" s="82"/>
      <c r="D7" s="83"/>
      <c r="E7" s="50"/>
    </row>
    <row r="8" spans="1:7" x14ac:dyDescent="0.25">
      <c r="A8" s="54" t="s">
        <v>292</v>
      </c>
      <c r="B8" s="48" t="s">
        <v>199</v>
      </c>
      <c r="C8" s="55">
        <v>19234.64329</v>
      </c>
      <c r="D8" s="55">
        <v>-71371.264169999995</v>
      </c>
      <c r="E8" s="73" t="s">
        <v>22</v>
      </c>
    </row>
    <row r="9" spans="1:7" x14ac:dyDescent="0.25">
      <c r="A9" s="56" t="s">
        <v>293</v>
      </c>
      <c r="B9" s="46" t="s">
        <v>23</v>
      </c>
      <c r="C9" s="57">
        <v>2569.6202499999999</v>
      </c>
      <c r="D9" s="57">
        <v>2335.7317400000002</v>
      </c>
      <c r="E9" s="74">
        <f>IF(OR(2569.62025="",2335.73174="",2569.62025=0,2335.73174=0),"-",2335.73174/2569.62025*100)</f>
        <v>90.897934821302883</v>
      </c>
    </row>
    <row r="10" spans="1:7" x14ac:dyDescent="0.25">
      <c r="A10" s="56" t="s">
        <v>294</v>
      </c>
      <c r="B10" s="46" t="s">
        <v>200</v>
      </c>
      <c r="C10" s="57">
        <v>-7920.4853300000004</v>
      </c>
      <c r="D10" s="57">
        <v>-9634.4025299999994</v>
      </c>
      <c r="E10" s="74">
        <f>IF(OR(-7920.48533="",-9634.40253="",-7920.48533=0,-9634.40253=0),"-",-9634.40253/-7920.48533*100)</f>
        <v>121.63904266709878</v>
      </c>
    </row>
    <row r="11" spans="1:7" x14ac:dyDescent="0.25">
      <c r="A11" s="56" t="s">
        <v>295</v>
      </c>
      <c r="B11" s="46" t="s">
        <v>201</v>
      </c>
      <c r="C11" s="57">
        <v>-20161.578099999999</v>
      </c>
      <c r="D11" s="57">
        <v>-20225.750520000001</v>
      </c>
      <c r="E11" s="74">
        <f>IF(OR(-20161.5781="",-20225.75052="",-20161.5781=0,-20225.75052=0),"-",-20225.75052/-20161.5781*100)</f>
        <v>100.31829065999551</v>
      </c>
    </row>
    <row r="12" spans="1:7" x14ac:dyDescent="0.25">
      <c r="A12" s="56" t="s">
        <v>296</v>
      </c>
      <c r="B12" s="46" t="s">
        <v>202</v>
      </c>
      <c r="C12" s="57">
        <v>-14966.22299</v>
      </c>
      <c r="D12" s="57">
        <v>-16344.435100000001</v>
      </c>
      <c r="E12" s="74">
        <f>IF(OR(-14966.22299="",-16344.4351="",-14966.22299=0,-16344.4351=0),"-",-16344.4351/-14966.22299*100)</f>
        <v>109.20881715393979</v>
      </c>
    </row>
    <row r="13" spans="1:7" x14ac:dyDescent="0.25">
      <c r="A13" s="56" t="s">
        <v>297</v>
      </c>
      <c r="B13" s="46" t="s">
        <v>203</v>
      </c>
      <c r="C13" s="57">
        <v>43046.130570000001</v>
      </c>
      <c r="D13" s="57">
        <v>-5006.1082900000001</v>
      </c>
      <c r="E13" s="74" t="s">
        <v>22</v>
      </c>
    </row>
    <row r="14" spans="1:7" x14ac:dyDescent="0.25">
      <c r="A14" s="56" t="s">
        <v>298</v>
      </c>
      <c r="B14" s="46" t="s">
        <v>204</v>
      </c>
      <c r="C14" s="57">
        <v>43739.62874</v>
      </c>
      <c r="D14" s="57">
        <v>20973.509839999999</v>
      </c>
      <c r="E14" s="74">
        <f>IF(OR(43739.62874="",20973.50984="",43739.62874=0,20973.50984=0),"-",20973.50984/43739.62874*100)</f>
        <v>47.950818157767472</v>
      </c>
    </row>
    <row r="15" spans="1:7" x14ac:dyDescent="0.25">
      <c r="A15" s="56" t="s">
        <v>299</v>
      </c>
      <c r="B15" s="46" t="s">
        <v>162</v>
      </c>
      <c r="C15" s="57">
        <v>309.41566</v>
      </c>
      <c r="D15" s="57">
        <v>-4048.5227300000001</v>
      </c>
      <c r="E15" s="74" t="s">
        <v>22</v>
      </c>
    </row>
    <row r="16" spans="1:7" ht="25.5" x14ac:dyDescent="0.25">
      <c r="A16" s="56" t="s">
        <v>300</v>
      </c>
      <c r="B16" s="46" t="s">
        <v>205</v>
      </c>
      <c r="C16" s="57">
        <v>-9811.8889500000005</v>
      </c>
      <c r="D16" s="57">
        <v>-12001.00706</v>
      </c>
      <c r="E16" s="74">
        <f>IF(OR(-9811.88895="",-12001.00706="",-9811.88895=0,-12001.00706=0),"-",-12001.00706/-9811.88895*100)</f>
        <v>122.31087327991008</v>
      </c>
    </row>
    <row r="17" spans="1:5" ht="25.5" x14ac:dyDescent="0.25">
      <c r="A17" s="56" t="s">
        <v>301</v>
      </c>
      <c r="B17" s="46" t="s">
        <v>163</v>
      </c>
      <c r="C17" s="57">
        <v>1010.07007</v>
      </c>
      <c r="D17" s="57">
        <v>-5451.3649400000004</v>
      </c>
      <c r="E17" s="74" t="s">
        <v>22</v>
      </c>
    </row>
    <row r="18" spans="1:5" x14ac:dyDescent="0.25">
      <c r="A18" s="56" t="s">
        <v>302</v>
      </c>
      <c r="B18" s="46" t="s">
        <v>206</v>
      </c>
      <c r="C18" s="57">
        <v>-18580.046630000001</v>
      </c>
      <c r="D18" s="57">
        <v>-21968.914580000001</v>
      </c>
      <c r="E18" s="74">
        <f>IF(OR(-18580.04663="",-21968.91458="",-18580.04663=0,-21968.91458=0),"-",-21968.91458/-18580.04663*100)</f>
        <v>118.2392865716936</v>
      </c>
    </row>
    <row r="19" spans="1:5" x14ac:dyDescent="0.25">
      <c r="A19" s="54" t="s">
        <v>303</v>
      </c>
      <c r="B19" s="48" t="s">
        <v>207</v>
      </c>
      <c r="C19" s="55">
        <v>20816.09607</v>
      </c>
      <c r="D19" s="55">
        <v>24738.820339999998</v>
      </c>
      <c r="E19" s="73">
        <f>IF(20816.09607="","-",24738.82034/20816.09607*100)</f>
        <v>118.84466836052606</v>
      </c>
    </row>
    <row r="20" spans="1:5" x14ac:dyDescent="0.25">
      <c r="A20" s="56" t="s">
        <v>304</v>
      </c>
      <c r="B20" s="46" t="s">
        <v>208</v>
      </c>
      <c r="C20" s="57">
        <v>29983.4385</v>
      </c>
      <c r="D20" s="57">
        <v>30334.232970000001</v>
      </c>
      <c r="E20" s="74">
        <f>IF(OR(29983.4385="",30334.23297="",29983.4385=0,30334.23297=0),"-",30334.23297/29983.4385*100)</f>
        <v>101.16996077684686</v>
      </c>
    </row>
    <row r="21" spans="1:5" x14ac:dyDescent="0.25">
      <c r="A21" s="56" t="s">
        <v>305</v>
      </c>
      <c r="B21" s="46" t="s">
        <v>209</v>
      </c>
      <c r="C21" s="57">
        <v>-9167.3424300000006</v>
      </c>
      <c r="D21" s="57">
        <v>-5595.4126299999998</v>
      </c>
      <c r="E21" s="74">
        <f>IF(OR(-9167.34243="",-5595.41263="",-9167.34243=0,-5595.41263=0),"-",-5595.41263/-9167.34243*100)</f>
        <v>61.036365475877609</v>
      </c>
    </row>
    <row r="22" spans="1:5" ht="25.5" x14ac:dyDescent="0.25">
      <c r="A22" s="54" t="s">
        <v>306</v>
      </c>
      <c r="B22" s="48" t="s">
        <v>24</v>
      </c>
      <c r="C22" s="55">
        <v>14097.27074</v>
      </c>
      <c r="D22" s="55">
        <v>22385.04146</v>
      </c>
      <c r="E22" s="73" t="s">
        <v>104</v>
      </c>
    </row>
    <row r="23" spans="1:5" x14ac:dyDescent="0.25">
      <c r="A23" s="56" t="s">
        <v>307</v>
      </c>
      <c r="B23" s="46" t="s">
        <v>216</v>
      </c>
      <c r="C23" s="57">
        <v>570.00193999999999</v>
      </c>
      <c r="D23" s="57">
        <v>445.97507000000002</v>
      </c>
      <c r="E23" s="74">
        <f>IF(OR(570.00194="",445.97507="",570.00194=0,445.97507=0),"-",445.97507/570.00194*100)</f>
        <v>78.240974057035672</v>
      </c>
    </row>
    <row r="24" spans="1:5" x14ac:dyDescent="0.25">
      <c r="A24" s="56" t="s">
        <v>308</v>
      </c>
      <c r="B24" s="46" t="s">
        <v>210</v>
      </c>
      <c r="C24" s="57">
        <v>32730.881600000001</v>
      </c>
      <c r="D24" s="57">
        <v>33444.402430000002</v>
      </c>
      <c r="E24" s="74">
        <f>IF(OR(32730.8816="",33444.40243="",32730.8816=0,33444.40243=0),"-",33444.40243/32730.8816*100)</f>
        <v>102.17996214926272</v>
      </c>
    </row>
    <row r="25" spans="1:5" ht="25.5" x14ac:dyDescent="0.25">
      <c r="A25" s="56" t="s">
        <v>368</v>
      </c>
      <c r="B25" s="46" t="s">
        <v>211</v>
      </c>
      <c r="C25" s="57">
        <v>-338.86036000000001</v>
      </c>
      <c r="D25" s="57">
        <v>-550.55476999999996</v>
      </c>
      <c r="E25" s="74" t="s">
        <v>104</v>
      </c>
    </row>
    <row r="26" spans="1:5" x14ac:dyDescent="0.25">
      <c r="A26" s="56" t="s">
        <v>309</v>
      </c>
      <c r="B26" s="46" t="s">
        <v>212</v>
      </c>
      <c r="C26" s="57">
        <v>-6430.3503700000001</v>
      </c>
      <c r="D26" s="57">
        <v>-6593.6036000000004</v>
      </c>
      <c r="E26" s="74">
        <f>IF(OR(-6430.35037="",-6593.6036="",-6430.35037=0,-6593.6036=0),"-",-6593.6036/-6430.35037*100)</f>
        <v>102.53879214360757</v>
      </c>
    </row>
    <row r="27" spans="1:5" x14ac:dyDescent="0.25">
      <c r="A27" s="56" t="s">
        <v>310</v>
      </c>
      <c r="B27" s="46" t="s">
        <v>164</v>
      </c>
      <c r="C27" s="57">
        <v>325.22089999999997</v>
      </c>
      <c r="D27" s="57">
        <v>762.75450000000001</v>
      </c>
      <c r="E27" s="74" t="s">
        <v>241</v>
      </c>
    </row>
    <row r="28" spans="1:5" ht="38.25" x14ac:dyDescent="0.25">
      <c r="A28" s="56" t="s">
        <v>311</v>
      </c>
      <c r="B28" s="46" t="s">
        <v>165</v>
      </c>
      <c r="C28" s="57">
        <v>-1908.1992299999999</v>
      </c>
      <c r="D28" s="57">
        <v>-2267.47444</v>
      </c>
      <c r="E28" s="74">
        <f>IF(OR(-1908.19923="",-2267.47444="",-1908.19923=0,-2267.47444=0),"-",-2267.47444/-1908.19923*100)</f>
        <v>118.82797164738402</v>
      </c>
    </row>
    <row r="29" spans="1:5" ht="25.5" x14ac:dyDescent="0.25">
      <c r="A29" s="56" t="s">
        <v>312</v>
      </c>
      <c r="B29" s="46" t="s">
        <v>166</v>
      </c>
      <c r="C29" s="57">
        <v>-1236.5321799999999</v>
      </c>
      <c r="D29" s="57">
        <v>-2524.46146</v>
      </c>
      <c r="E29" s="74" t="s">
        <v>20</v>
      </c>
    </row>
    <row r="30" spans="1:5" x14ac:dyDescent="0.25">
      <c r="A30" s="56" t="s">
        <v>313</v>
      </c>
      <c r="B30" s="46" t="s">
        <v>167</v>
      </c>
      <c r="C30" s="57">
        <v>2327.2083299999999</v>
      </c>
      <c r="D30" s="57">
        <v>16656.00993</v>
      </c>
      <c r="E30" s="74" t="s">
        <v>245</v>
      </c>
    </row>
    <row r="31" spans="1:5" x14ac:dyDescent="0.25">
      <c r="A31" s="56" t="s">
        <v>314</v>
      </c>
      <c r="B31" s="46" t="s">
        <v>168</v>
      </c>
      <c r="C31" s="57">
        <v>-11942.09989</v>
      </c>
      <c r="D31" s="57">
        <v>-16988.0062</v>
      </c>
      <c r="E31" s="74">
        <f>IF(OR(-11942.09989="",-16988.0062="",-11942.09989=0,-16988.0062=0),"-",-16988.0062/-11942.09989*100)</f>
        <v>142.25309080043209</v>
      </c>
    </row>
    <row r="32" spans="1:5" ht="15.75" customHeight="1" x14ac:dyDescent="0.25">
      <c r="A32" s="54" t="s">
        <v>315</v>
      </c>
      <c r="B32" s="48" t="s">
        <v>169</v>
      </c>
      <c r="C32" s="55">
        <v>-205953.43457000001</v>
      </c>
      <c r="D32" s="55">
        <v>-182588.01415999999</v>
      </c>
      <c r="E32" s="73">
        <f>IF(-205953.43457="","-",-182588.01416/-205953.43457*100)</f>
        <v>88.654998418072736</v>
      </c>
    </row>
    <row r="33" spans="1:5" x14ac:dyDescent="0.25">
      <c r="A33" s="56" t="s">
        <v>316</v>
      </c>
      <c r="B33" s="46" t="s">
        <v>213</v>
      </c>
      <c r="C33" s="57">
        <v>-2682.9625900000001</v>
      </c>
      <c r="D33" s="57">
        <v>-1370.45623</v>
      </c>
      <c r="E33" s="74">
        <f>IF(OR(-2682.96259="",-1370.45623="",-2682.96259=0,-1370.45623=0),"-",-1370.45623/-2682.96259*100)</f>
        <v>51.079960455207093</v>
      </c>
    </row>
    <row r="34" spans="1:5" x14ac:dyDescent="0.25">
      <c r="A34" s="56" t="s">
        <v>317</v>
      </c>
      <c r="B34" s="46" t="s">
        <v>170</v>
      </c>
      <c r="C34" s="57">
        <v>-110053.13443999999</v>
      </c>
      <c r="D34" s="57">
        <v>-103521.08345999999</v>
      </c>
      <c r="E34" s="74">
        <f>IF(OR(-110053.13444="",-103521.08346="",-110053.13444=0,-103521.08346=0),"-",-103521.08346/-110053.13444*100)</f>
        <v>94.064638855369253</v>
      </c>
    </row>
    <row r="35" spans="1:5" x14ac:dyDescent="0.25">
      <c r="A35" s="56" t="s">
        <v>369</v>
      </c>
      <c r="B35" s="46" t="s">
        <v>214</v>
      </c>
      <c r="C35" s="57">
        <v>-85109.594349999999</v>
      </c>
      <c r="D35" s="57">
        <v>-77697.086949999997</v>
      </c>
      <c r="E35" s="74">
        <f>IF(OR(-85109.59435="",-77697.08695="",-85109.59435=0,-77697.08695=0),"-",-77697.08695/-85109.59435*100)</f>
        <v>91.290632440900595</v>
      </c>
    </row>
    <row r="36" spans="1:5" ht="25.5" x14ac:dyDescent="0.25">
      <c r="A36" s="54" t="s">
        <v>318</v>
      </c>
      <c r="B36" s="48" t="s">
        <v>171</v>
      </c>
      <c r="C36" s="55">
        <v>28015.248520000001</v>
      </c>
      <c r="D36" s="55">
        <v>21150.459989999999</v>
      </c>
      <c r="E36" s="73">
        <f>IF(28015.24852="","-",21150.45999/28015.24852*100)</f>
        <v>75.496242608380754</v>
      </c>
    </row>
    <row r="37" spans="1:5" x14ac:dyDescent="0.25">
      <c r="A37" s="56" t="s">
        <v>319</v>
      </c>
      <c r="B37" s="46" t="s">
        <v>217</v>
      </c>
      <c r="C37" s="57">
        <v>-330.57056</v>
      </c>
      <c r="D37" s="57">
        <v>-384.83746000000002</v>
      </c>
      <c r="E37" s="74">
        <f>IF(OR(-330.57056="",-384.83746="",-330.57056=0,-384.83746=0),"-",-384.83746/-330.57056*100)</f>
        <v>116.41613215647517</v>
      </c>
    </row>
    <row r="38" spans="1:5" ht="25.5" x14ac:dyDescent="0.25">
      <c r="A38" s="56" t="s">
        <v>320</v>
      </c>
      <c r="B38" s="46" t="s">
        <v>172</v>
      </c>
      <c r="C38" s="57">
        <v>28840.269619999999</v>
      </c>
      <c r="D38" s="57">
        <v>22031.735059999999</v>
      </c>
      <c r="E38" s="74">
        <f>IF(OR(28840.26962="",22031.73506="",28840.26962=0,22031.73506=0),"-",22031.73506/28840.26962*100)</f>
        <v>76.392264532511675</v>
      </c>
    </row>
    <row r="39" spans="1:5" ht="14.25" customHeight="1" x14ac:dyDescent="0.25">
      <c r="A39" s="56" t="s">
        <v>321</v>
      </c>
      <c r="B39" s="46" t="s">
        <v>215</v>
      </c>
      <c r="C39" s="57">
        <v>-494.45053999999999</v>
      </c>
      <c r="D39" s="57">
        <v>-496.43761000000001</v>
      </c>
      <c r="E39" s="74">
        <f>IF(OR(-494.45054="",-496.43761="",-494.45054=0,-496.43761=0),"-",-496.43761/-494.45054*100)</f>
        <v>100.40187437149932</v>
      </c>
    </row>
    <row r="40" spans="1:5" ht="25.5" x14ac:dyDescent="0.25">
      <c r="A40" s="54" t="s">
        <v>322</v>
      </c>
      <c r="B40" s="48" t="s">
        <v>173</v>
      </c>
      <c r="C40" s="55">
        <v>-200626.34830000001</v>
      </c>
      <c r="D40" s="55">
        <v>-204973.80837000001</v>
      </c>
      <c r="E40" s="73">
        <f>IF(-200626.3483="","-",-204973.80837/-200626.3483*100)</f>
        <v>102.16694372740074</v>
      </c>
    </row>
    <row r="41" spans="1:5" ht="15" customHeight="1" x14ac:dyDescent="0.25">
      <c r="A41" s="56" t="s">
        <v>323</v>
      </c>
      <c r="B41" s="46" t="s">
        <v>25</v>
      </c>
      <c r="C41" s="57">
        <v>5224.0578500000001</v>
      </c>
      <c r="D41" s="57">
        <v>5220.1640100000004</v>
      </c>
      <c r="E41" s="74">
        <f>IF(OR(5224.05785="",5220.16401="",5224.05785=0,5220.16401=0),"-",5220.16401/5224.05785*100)</f>
        <v>99.925463306268711</v>
      </c>
    </row>
    <row r="42" spans="1:5" x14ac:dyDescent="0.25">
      <c r="A42" s="56" t="s">
        <v>324</v>
      </c>
      <c r="B42" s="46" t="s">
        <v>26</v>
      </c>
      <c r="C42" s="57">
        <v>-4008.6417700000002</v>
      </c>
      <c r="D42" s="57">
        <v>-3465.7451500000002</v>
      </c>
      <c r="E42" s="74">
        <f>IF(OR(-4008.64177="",-3465.74515="",-4008.64177=0,-3465.74515=0),"-",-3465.74515/-4008.64177*100)</f>
        <v>86.456843710432125</v>
      </c>
    </row>
    <row r="43" spans="1:5" x14ac:dyDescent="0.25">
      <c r="A43" s="56" t="s">
        <v>325</v>
      </c>
      <c r="B43" s="46" t="s">
        <v>174</v>
      </c>
      <c r="C43" s="57">
        <v>-7249.0179600000001</v>
      </c>
      <c r="D43" s="57">
        <v>-8137.7736500000001</v>
      </c>
      <c r="E43" s="74">
        <f>IF(OR(-7249.01796="",-8137.77365="",-7249.01796=0,-8137.77365=0),"-",-8137.77365/-7249.01796*100)</f>
        <v>112.26035988466498</v>
      </c>
    </row>
    <row r="44" spans="1:5" x14ac:dyDescent="0.25">
      <c r="A44" s="56" t="s">
        <v>326</v>
      </c>
      <c r="B44" s="46" t="s">
        <v>175</v>
      </c>
      <c r="C44" s="57">
        <v>-49379.978179999998</v>
      </c>
      <c r="D44" s="57">
        <v>-49557.98558</v>
      </c>
      <c r="E44" s="74">
        <f>IF(OR(-49379.97818="",-49557.98558="",-49379.97818=0,-49557.98558=0),"-",-49557.98558/-49379.97818*100)</f>
        <v>100.36048497095548</v>
      </c>
    </row>
    <row r="45" spans="1:5" ht="38.25" x14ac:dyDescent="0.25">
      <c r="A45" s="56" t="s">
        <v>327</v>
      </c>
      <c r="B45" s="46" t="s">
        <v>176</v>
      </c>
      <c r="C45" s="57">
        <v>-25210.654729999998</v>
      </c>
      <c r="D45" s="57">
        <v>-29445.711050000002</v>
      </c>
      <c r="E45" s="74">
        <f>IF(OR(-25210.65473="",-29445.71105="",-25210.65473=0,-29445.71105=0),"-",-29445.71105/-25210.65473*100)</f>
        <v>116.79867645388995</v>
      </c>
    </row>
    <row r="46" spans="1:5" x14ac:dyDescent="0.25">
      <c r="A46" s="56" t="s">
        <v>328</v>
      </c>
      <c r="B46" s="46" t="s">
        <v>177</v>
      </c>
      <c r="C46" s="57">
        <v>-34615.882039999997</v>
      </c>
      <c r="D46" s="57">
        <v>-23576.380120000002</v>
      </c>
      <c r="E46" s="74">
        <f>IF(OR(-34615.88204="",-23576.38012="",-34615.88204=0,-23576.38012=0),"-",-23576.38012/-34615.88204*100)</f>
        <v>68.108563845799381</v>
      </c>
    </row>
    <row r="47" spans="1:5" x14ac:dyDescent="0.25">
      <c r="A47" s="56" t="s">
        <v>329</v>
      </c>
      <c r="B47" s="46" t="s">
        <v>27</v>
      </c>
      <c r="C47" s="57">
        <v>-10658.37847</v>
      </c>
      <c r="D47" s="57">
        <v>-11738.790370000001</v>
      </c>
      <c r="E47" s="74">
        <f>IF(OR(-10658.37847="",-11738.79037="",-10658.37847=0,-11738.79037=0),"-",-11738.79037/-10658.37847*100)</f>
        <v>110.13673799481809</v>
      </c>
    </row>
    <row r="48" spans="1:5" x14ac:dyDescent="0.25">
      <c r="A48" s="56" t="s">
        <v>330</v>
      </c>
      <c r="B48" s="46" t="s">
        <v>28</v>
      </c>
      <c r="C48" s="57">
        <v>-24450.769939999998</v>
      </c>
      <c r="D48" s="57">
        <v>-31335.264060000001</v>
      </c>
      <c r="E48" s="74">
        <f>IF(OR(-24450.76994="",-31335.26406="",-24450.76994=0,-31335.26406=0),"-",-31335.26406/-24450.76994*100)</f>
        <v>128.15655350278922</v>
      </c>
    </row>
    <row r="49" spans="1:5" x14ac:dyDescent="0.25">
      <c r="A49" s="56" t="s">
        <v>331</v>
      </c>
      <c r="B49" s="46" t="s">
        <v>178</v>
      </c>
      <c r="C49" s="57">
        <v>-50277.083059999997</v>
      </c>
      <c r="D49" s="57">
        <v>-52936.322399999997</v>
      </c>
      <c r="E49" s="74">
        <f>IF(OR(-50277.08306="",-52936.3224="",-50277.08306=0,-52936.3224=0),"-",-52936.3224/-50277.08306*100)</f>
        <v>105.28916790344918</v>
      </c>
    </row>
    <row r="50" spans="1:5" ht="25.5" x14ac:dyDescent="0.25">
      <c r="A50" s="54" t="s">
        <v>332</v>
      </c>
      <c r="B50" s="48" t="s">
        <v>221</v>
      </c>
      <c r="C50" s="55">
        <v>-202420.3455</v>
      </c>
      <c r="D50" s="55">
        <v>-216162.61133000001</v>
      </c>
      <c r="E50" s="73">
        <f>IF(-202420.3455="","-",-216162.61133/-202420.3455*100)</f>
        <v>106.78897459445351</v>
      </c>
    </row>
    <row r="51" spans="1:5" x14ac:dyDescent="0.25">
      <c r="A51" s="56" t="s">
        <v>333</v>
      </c>
      <c r="B51" s="46" t="s">
        <v>179</v>
      </c>
      <c r="C51" s="57">
        <v>-13112.40733</v>
      </c>
      <c r="D51" s="57">
        <v>-15103.3632</v>
      </c>
      <c r="E51" s="74">
        <f>IF(OR(-13112.40733="",-15103.3632="",-13112.40733=0,-15103.3632=0),"-",-15103.3632/-13112.40733*100)</f>
        <v>115.18375550647266</v>
      </c>
    </row>
    <row r="52" spans="1:5" x14ac:dyDescent="0.25">
      <c r="A52" s="56" t="s">
        <v>334</v>
      </c>
      <c r="B52" s="46" t="s">
        <v>29</v>
      </c>
      <c r="C52" s="57">
        <v>-14554.49396</v>
      </c>
      <c r="D52" s="57">
        <v>-14738.3632</v>
      </c>
      <c r="E52" s="74">
        <f>IF(OR(-14554.49396="",-14738.3632="",-14554.49396=0,-14738.3632=0),"-",-14738.3632/-14554.49396*100)</f>
        <v>101.26331592500108</v>
      </c>
    </row>
    <row r="53" spans="1:5" x14ac:dyDescent="0.25">
      <c r="A53" s="56" t="s">
        <v>335</v>
      </c>
      <c r="B53" s="46" t="s">
        <v>180</v>
      </c>
      <c r="C53" s="57">
        <v>-12850.313109999999</v>
      </c>
      <c r="D53" s="57">
        <v>-15864.43446</v>
      </c>
      <c r="E53" s="74">
        <f>IF(OR(-12850.31311="",-15864.43446="",-12850.31311=0,-15864.43446=0),"-",-15864.43446/-12850.31311*100)</f>
        <v>123.45562574389288</v>
      </c>
    </row>
    <row r="54" spans="1:5" ht="25.5" x14ac:dyDescent="0.25">
      <c r="A54" s="56" t="s">
        <v>336</v>
      </c>
      <c r="B54" s="46" t="s">
        <v>181</v>
      </c>
      <c r="C54" s="57">
        <v>-20919.6005</v>
      </c>
      <c r="D54" s="57">
        <v>-22025.997340000002</v>
      </c>
      <c r="E54" s="74">
        <f>IF(OR(-20919.6005="",-22025.99734="",-20919.6005=0,-22025.99734=0),"-",-22025.99734/-20919.6005*100)</f>
        <v>105.28880482206149</v>
      </c>
    </row>
    <row r="55" spans="1:5" ht="25.5" x14ac:dyDescent="0.25">
      <c r="A55" s="56" t="s">
        <v>337</v>
      </c>
      <c r="B55" s="46" t="s">
        <v>182</v>
      </c>
      <c r="C55" s="57">
        <v>-50351.772989999998</v>
      </c>
      <c r="D55" s="57">
        <v>-49790.349609999997</v>
      </c>
      <c r="E55" s="74">
        <f>IF(OR(-50351.77299="",-49790.34961="",-50351.77299=0,-49790.34961=0),"-",-49790.34961/-50351.77299*100)</f>
        <v>98.884997793202828</v>
      </c>
    </row>
    <row r="56" spans="1:5" x14ac:dyDescent="0.25">
      <c r="A56" s="56" t="s">
        <v>338</v>
      </c>
      <c r="B56" s="46" t="s">
        <v>30</v>
      </c>
      <c r="C56" s="57">
        <v>-17101.331989999999</v>
      </c>
      <c r="D56" s="57">
        <v>-19343.466280000001</v>
      </c>
      <c r="E56" s="74">
        <f>IF(OR(-17101.33199="",-19343.46628="",-17101.33199=0,-19343.46628=0),"-",-19343.46628/-17101.33199*100)</f>
        <v>113.11087517224441</v>
      </c>
    </row>
    <row r="57" spans="1:5" x14ac:dyDescent="0.25">
      <c r="A57" s="56" t="s">
        <v>339</v>
      </c>
      <c r="B57" s="46" t="s">
        <v>183</v>
      </c>
      <c r="C57" s="57">
        <v>-27849.4375</v>
      </c>
      <c r="D57" s="57">
        <v>-28011.505450000001</v>
      </c>
      <c r="E57" s="74">
        <f>IF(OR(-27849.4375="",-28011.50545="",-27849.4375=0,-28011.50545=0),"-",-28011.50545/-27849.4375*100)</f>
        <v>100.58194335163861</v>
      </c>
    </row>
    <row r="58" spans="1:5" x14ac:dyDescent="0.25">
      <c r="A58" s="56" t="s">
        <v>340</v>
      </c>
      <c r="B58" s="46" t="s">
        <v>31</v>
      </c>
      <c r="C58" s="57">
        <v>-17339.16646</v>
      </c>
      <c r="D58" s="57">
        <v>-15902.559569999999</v>
      </c>
      <c r="E58" s="74">
        <f>IF(OR(-17339.16646="",-15902.55957="",-17339.16646=0,-15902.55957=0),"-",-15902.55957/-17339.16646*100)</f>
        <v>91.71467155982306</v>
      </c>
    </row>
    <row r="59" spans="1:5" x14ac:dyDescent="0.25">
      <c r="A59" s="56" t="s">
        <v>341</v>
      </c>
      <c r="B59" s="46" t="s">
        <v>32</v>
      </c>
      <c r="C59" s="57">
        <v>-28341.821660000001</v>
      </c>
      <c r="D59" s="57">
        <v>-35382.572220000002</v>
      </c>
      <c r="E59" s="74">
        <f>IF(OR(-28341.82166="",-35382.57222="",-28341.82166=0,-35382.57222=0),"-",-35382.57222/-28341.82166*100)</f>
        <v>124.84226541421262</v>
      </c>
    </row>
    <row r="60" spans="1:5" x14ac:dyDescent="0.25">
      <c r="A60" s="54" t="s">
        <v>342</v>
      </c>
      <c r="B60" s="48" t="s">
        <v>184</v>
      </c>
      <c r="C60" s="55">
        <v>-155536.79539000001</v>
      </c>
      <c r="D60" s="55">
        <v>-194093.98728999999</v>
      </c>
      <c r="E60" s="73">
        <f>IF(-155536.79539="","-",-194093.98729/-155536.79539*100)</f>
        <v>124.78975589237255</v>
      </c>
    </row>
    <row r="61" spans="1:5" x14ac:dyDescent="0.25">
      <c r="A61" s="56" t="s">
        <v>343</v>
      </c>
      <c r="B61" s="46" t="s">
        <v>185</v>
      </c>
      <c r="C61" s="57">
        <v>-3603.4674100000002</v>
      </c>
      <c r="D61" s="57">
        <v>-6717.6772499999997</v>
      </c>
      <c r="E61" s="74" t="s">
        <v>105</v>
      </c>
    </row>
    <row r="62" spans="1:5" ht="16.5" customHeight="1" x14ac:dyDescent="0.25">
      <c r="A62" s="56" t="s">
        <v>344</v>
      </c>
      <c r="B62" s="46" t="s">
        <v>186</v>
      </c>
      <c r="C62" s="57">
        <v>-36804.368390000003</v>
      </c>
      <c r="D62" s="57">
        <v>-37261.116679999999</v>
      </c>
      <c r="E62" s="74">
        <f>IF(OR(-36804.36839="",-37261.11668="",-36804.36839=0,-37261.11668=0),"-",-37261.11668/-36804.36839*100)</f>
        <v>101.24101651510504</v>
      </c>
    </row>
    <row r="63" spans="1:5" x14ac:dyDescent="0.25">
      <c r="A63" s="56" t="s">
        <v>345</v>
      </c>
      <c r="B63" s="46" t="s">
        <v>187</v>
      </c>
      <c r="C63" s="57">
        <v>-3044.0190699999998</v>
      </c>
      <c r="D63" s="57">
        <v>-2020.5443600000001</v>
      </c>
      <c r="E63" s="74">
        <f>IF(OR(-3044.01907="",-2020.54436="",-3044.01907=0,-2020.54436=0),"-",-2020.54436/-3044.01907*100)</f>
        <v>66.377519770268719</v>
      </c>
    </row>
    <row r="64" spans="1:5" ht="25.5" x14ac:dyDescent="0.25">
      <c r="A64" s="56" t="s">
        <v>346</v>
      </c>
      <c r="B64" s="46" t="s">
        <v>188</v>
      </c>
      <c r="C64" s="57">
        <v>-38662.035259999997</v>
      </c>
      <c r="D64" s="57">
        <v>-49072.896220000002</v>
      </c>
      <c r="E64" s="74">
        <f>IF(OR(-38662.03526="",-49072.89622="",-38662.03526=0,-49072.89622=0),"-",-49072.89622/-38662.03526*100)</f>
        <v>126.92786577319988</v>
      </c>
    </row>
    <row r="65" spans="1:5" ht="25.5" x14ac:dyDescent="0.25">
      <c r="A65" s="56" t="s">
        <v>347</v>
      </c>
      <c r="B65" s="46" t="s">
        <v>189</v>
      </c>
      <c r="C65" s="57">
        <v>-9639.2357599999996</v>
      </c>
      <c r="D65" s="57">
        <v>-17667.381229999999</v>
      </c>
      <c r="E65" s="74" t="s">
        <v>223</v>
      </c>
    </row>
    <row r="66" spans="1:5" ht="38.25" x14ac:dyDescent="0.25">
      <c r="A66" s="56" t="s">
        <v>348</v>
      </c>
      <c r="B66" s="46" t="s">
        <v>190</v>
      </c>
      <c r="C66" s="57">
        <v>-32651.785189999999</v>
      </c>
      <c r="D66" s="57">
        <v>-41834.29421</v>
      </c>
      <c r="E66" s="74">
        <f>IF(OR(-32651.78519="",-41834.29421="",-32651.78519=0,-41834.29421=0),"-",-41834.29421/-32651.78519*100)</f>
        <v>128.12253286173234</v>
      </c>
    </row>
    <row r="67" spans="1:5" ht="38.25" x14ac:dyDescent="0.25">
      <c r="A67" s="56" t="s">
        <v>349</v>
      </c>
      <c r="B67" s="46" t="s">
        <v>191</v>
      </c>
      <c r="C67" s="57">
        <v>32118.984970000001</v>
      </c>
      <c r="D67" s="57">
        <v>20096.384699999999</v>
      </c>
      <c r="E67" s="74">
        <f>IF(OR(32118.98497="",20096.3847="",32118.98497=0,20096.3847=0),"-",20096.3847/32118.98497*100)</f>
        <v>62.56855476214632</v>
      </c>
    </row>
    <row r="68" spans="1:5" ht="15" customHeight="1" x14ac:dyDescent="0.25">
      <c r="A68" s="56" t="s">
        <v>350</v>
      </c>
      <c r="B68" s="46" t="s">
        <v>192</v>
      </c>
      <c r="C68" s="57">
        <v>-60048.569130000003</v>
      </c>
      <c r="D68" s="57">
        <v>-87508.749790000002</v>
      </c>
      <c r="E68" s="74">
        <f>IF(OR(-60048.56913="",-87508.74979="",-60048.56913=0,-87508.74979=0),"-",-87508.74979/-60048.56913*100)</f>
        <v>145.72995003519745</v>
      </c>
    </row>
    <row r="69" spans="1:5" x14ac:dyDescent="0.25">
      <c r="A69" s="56" t="s">
        <v>351</v>
      </c>
      <c r="B69" s="46" t="s">
        <v>33</v>
      </c>
      <c r="C69" s="57">
        <v>-3202.30015</v>
      </c>
      <c r="D69" s="57">
        <v>27892.28775</v>
      </c>
      <c r="E69" s="74" t="s">
        <v>22</v>
      </c>
    </row>
    <row r="70" spans="1:5" x14ac:dyDescent="0.25">
      <c r="A70" s="54" t="s">
        <v>352</v>
      </c>
      <c r="B70" s="48" t="s">
        <v>34</v>
      </c>
      <c r="C70" s="55">
        <v>-7820.4351500000002</v>
      </c>
      <c r="D70" s="55">
        <v>-37397.870690000003</v>
      </c>
      <c r="E70" s="73" t="s">
        <v>373</v>
      </c>
    </row>
    <row r="71" spans="1:5" ht="25.5" x14ac:dyDescent="0.25">
      <c r="A71" s="56" t="s">
        <v>353</v>
      </c>
      <c r="B71" s="46" t="s">
        <v>218</v>
      </c>
      <c r="C71" s="57">
        <v>-7458.4720900000002</v>
      </c>
      <c r="D71" s="57">
        <v>-8863.7939900000001</v>
      </c>
      <c r="E71" s="74">
        <f>IF(OR(-7458.47209="",-8863.79399="",-7458.47209=0,-8863.79399=0),"-",-8863.79399/-7458.47209*100)</f>
        <v>118.8419542641206</v>
      </c>
    </row>
    <row r="72" spans="1:5" x14ac:dyDescent="0.25">
      <c r="A72" s="56" t="s">
        <v>354</v>
      </c>
      <c r="B72" s="46" t="s">
        <v>193</v>
      </c>
      <c r="C72" s="57">
        <v>23012.504430000001</v>
      </c>
      <c r="D72" s="57">
        <v>27842.659619999999</v>
      </c>
      <c r="E72" s="74">
        <f>IF(OR(23012.50443="",27842.65962="",23012.50443=0,27842.65962=0),"-",27842.65962/23012.50443*100)</f>
        <v>120.98926348799837</v>
      </c>
    </row>
    <row r="73" spans="1:5" x14ac:dyDescent="0.25">
      <c r="A73" s="56" t="s">
        <v>355</v>
      </c>
      <c r="B73" s="46" t="s">
        <v>194</v>
      </c>
      <c r="C73" s="57">
        <v>813.41818000000001</v>
      </c>
      <c r="D73" s="57">
        <v>791.35103000000004</v>
      </c>
      <c r="E73" s="74">
        <f>IF(OR(813.41818="",791.35103="",813.41818=0,791.35103=0),"-",791.35103/813.41818*100)</f>
        <v>97.287108827589762</v>
      </c>
    </row>
    <row r="74" spans="1:5" x14ac:dyDescent="0.25">
      <c r="A74" s="56" t="s">
        <v>356</v>
      </c>
      <c r="B74" s="46" t="s">
        <v>195</v>
      </c>
      <c r="C74" s="57">
        <v>26458.425899999998</v>
      </c>
      <c r="D74" s="57">
        <v>16032.20427</v>
      </c>
      <c r="E74" s="74">
        <f>IF(OR(26458.4259="",16032.20427="",26458.4259=0,16032.20427=0),"-",16032.20427/26458.4259*100)</f>
        <v>60.593945877936761</v>
      </c>
    </row>
    <row r="75" spans="1:5" x14ac:dyDescent="0.25">
      <c r="A75" s="56" t="s">
        <v>357</v>
      </c>
      <c r="B75" s="46" t="s">
        <v>196</v>
      </c>
      <c r="C75" s="57">
        <v>-2336.6078299999999</v>
      </c>
      <c r="D75" s="57">
        <v>-4997.6060699999998</v>
      </c>
      <c r="E75" s="74" t="s">
        <v>95</v>
      </c>
    </row>
    <row r="76" spans="1:5" ht="25.5" x14ac:dyDescent="0.25">
      <c r="A76" s="56" t="s">
        <v>358</v>
      </c>
      <c r="B76" s="46" t="s">
        <v>219</v>
      </c>
      <c r="C76" s="57">
        <v>-9396.9188300000005</v>
      </c>
      <c r="D76" s="57">
        <v>-14552.726919999999</v>
      </c>
      <c r="E76" s="74" t="s">
        <v>248</v>
      </c>
    </row>
    <row r="77" spans="1:5" ht="25.5" x14ac:dyDescent="0.25">
      <c r="A77" s="56" t="s">
        <v>359</v>
      </c>
      <c r="B77" s="46" t="s">
        <v>197</v>
      </c>
      <c r="C77" s="57">
        <v>-2326.3566700000001</v>
      </c>
      <c r="D77" s="57">
        <v>-2344.7728000000002</v>
      </c>
      <c r="E77" s="74">
        <f>IF(OR(-2326.35667="",-2344.7728="",-2326.35667=0,-2344.7728=0),"-",-2344.7728/-2326.35667*100)</f>
        <v>100.79162968591571</v>
      </c>
    </row>
    <row r="78" spans="1:5" x14ac:dyDescent="0.25">
      <c r="A78" s="56" t="s">
        <v>360</v>
      </c>
      <c r="B78" s="46" t="s">
        <v>35</v>
      </c>
      <c r="C78" s="57">
        <v>-36586.428240000001</v>
      </c>
      <c r="D78" s="57">
        <v>-51305.185830000002</v>
      </c>
      <c r="E78" s="74">
        <f>IF(OR(-36586.42824="",-51305.18583="",-36586.42824=0,-51305.18583=0),"-",-51305.18583/-36586.42824*100)</f>
        <v>140.23010252175411</v>
      </c>
    </row>
    <row r="79" spans="1:5" x14ac:dyDescent="0.25">
      <c r="A79" s="69" t="s">
        <v>370</v>
      </c>
      <c r="B79" s="49" t="s">
        <v>198</v>
      </c>
      <c r="C79" s="70">
        <v>107.88195</v>
      </c>
      <c r="D79" s="70">
        <v>-76.52458</v>
      </c>
      <c r="E79" s="75" t="s">
        <v>22</v>
      </c>
    </row>
    <row r="80" spans="1:5" x14ac:dyDescent="0.25">
      <c r="A80" s="126" t="s">
        <v>21</v>
      </c>
      <c r="B80" s="126"/>
    </row>
  </sheetData>
  <mergeCells count="7">
    <mergeCell ref="A80:B80"/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2021-05-14T08:16:30Z</cp:lastPrinted>
  <dcterms:created xsi:type="dcterms:W3CDTF">2016-09-01T07:59:47Z</dcterms:created>
  <dcterms:modified xsi:type="dcterms:W3CDTF">2021-05-17T05:53:14Z</dcterms:modified>
</cp:coreProperties>
</file>