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tables/table1.xml" ContentType="application/vnd.openxmlformats-officedocument.spreadsheetml.tab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Nota informativa\"/>
    </mc:Choice>
  </mc:AlternateContent>
  <xr:revisionPtr revIDLastSave="0" documentId="13_ncr:1_{7B058955-321A-4DD7-B95F-3DFCEB774BDE}" xr6:coauthVersionLast="37" xr6:coauthVersionMax="37" xr10:uidLastSave="{00000000-0000-0000-0000-000000000000}"/>
  <bookViews>
    <workbookView xWindow="0" yWindow="0" windowWidth="20400" windowHeight="7245" tabRatio="857" xr2:uid="{00000000-000D-0000-FFFF-FFFF00000000}"/>
  </bookViews>
  <sheets>
    <sheet name="Figura 1" sheetId="1" r:id="rId1"/>
    <sheet name="Figura 2" sheetId="2" r:id="rId2"/>
    <sheet name="Figura 3" sheetId="3" r:id="rId3"/>
    <sheet name="Figura 4" sheetId="4" r:id="rId4"/>
    <sheet name="Figura 5" sheetId="5" r:id="rId5"/>
    <sheet name="Figura 6" sheetId="17" r:id="rId6"/>
    <sheet name="Figura 7" sheetId="7" r:id="rId7"/>
    <sheet name="Figura 8" sheetId="8" r:id="rId8"/>
    <sheet name="Figura 9" sheetId="9" r:id="rId9"/>
    <sheet name="Figura 10" sheetId="10" r:id="rId10"/>
    <sheet name="Figura 11" sheetId="16" r:id="rId11"/>
    <sheet name="Figura 12" sheetId="12" r:id="rId12"/>
    <sheet name="Figura 13" sheetId="13" r:id="rId13"/>
    <sheet name="Figura 14" sheetId="14" r:id="rId14"/>
  </sheets>
  <calcPr calcId="1790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2" l="1"/>
  <c r="C22" i="2"/>
  <c r="D22" i="2"/>
  <c r="E22" i="2"/>
  <c r="F22" i="2"/>
  <c r="G22" i="2"/>
  <c r="H22" i="2"/>
  <c r="G43" i="16" l="1"/>
  <c r="F43" i="16"/>
  <c r="E43" i="16"/>
  <c r="D43" i="16"/>
  <c r="C43" i="16"/>
  <c r="G42" i="16"/>
  <c r="F42" i="16"/>
  <c r="G41" i="16"/>
  <c r="F41" i="16"/>
  <c r="G40" i="16"/>
  <c r="F40" i="16"/>
  <c r="G39" i="16"/>
  <c r="F39" i="16"/>
  <c r="G38" i="16"/>
  <c r="F38" i="16"/>
  <c r="G37" i="16"/>
  <c r="F37" i="16"/>
  <c r="D37" i="16"/>
  <c r="G36" i="16"/>
  <c r="F36" i="16"/>
  <c r="D36" i="16"/>
  <c r="G35" i="16"/>
  <c r="F35" i="16"/>
  <c r="G34" i="16"/>
  <c r="F34" i="16"/>
  <c r="G33" i="16"/>
  <c r="F33" i="16"/>
  <c r="E33" i="16"/>
  <c r="D33" i="16"/>
  <c r="C33" i="16"/>
  <c r="B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B27" i="16"/>
  <c r="G26" i="16"/>
  <c r="F26" i="16"/>
  <c r="G25" i="16"/>
  <c r="F25" i="16"/>
  <c r="AH22" i="2" l="1"/>
  <c r="AF22" i="2"/>
  <c r="AE22" i="2"/>
  <c r="AD22" i="2"/>
  <c r="AC22" i="2"/>
  <c r="AB22" i="2"/>
  <c r="AA22" i="2"/>
  <c r="Z22" i="2"/>
  <c r="AH26" i="8"/>
  <c r="AG26" i="8"/>
  <c r="AF26" i="8"/>
  <c r="AE26" i="8"/>
  <c r="AD26" i="8"/>
  <c r="AC26" i="8"/>
  <c r="AB26" i="8"/>
  <c r="AA26" i="8"/>
  <c r="Z26" i="8"/>
  <c r="E37" i="5" l="1"/>
  <c r="D37" i="5"/>
  <c r="C37" i="5"/>
  <c r="B37" i="5"/>
  <c r="C34" i="5"/>
  <c r="C33" i="5"/>
  <c r="E32" i="5"/>
  <c r="D32" i="5"/>
  <c r="C32" i="5"/>
  <c r="B32" i="5"/>
  <c r="D31" i="5"/>
  <c r="B31" i="5"/>
  <c r="D30" i="5"/>
  <c r="B30" i="5"/>
  <c r="E29" i="5"/>
  <c r="D29" i="5"/>
  <c r="C29" i="5"/>
  <c r="B29" i="5"/>
  <c r="T22" i="2" l="1"/>
  <c r="Y26" i="8" l="1"/>
  <c r="X26" i="8"/>
  <c r="W26" i="8"/>
  <c r="V26" i="8"/>
  <c r="U26" i="8"/>
  <c r="T26" i="8"/>
  <c r="S26" i="8"/>
  <c r="R26" i="8"/>
  <c r="Q26" i="8"/>
  <c r="P26" i="8"/>
  <c r="O26" i="8"/>
  <c r="N26" i="8"/>
  <c r="Y22" i="2" l="1"/>
  <c r="X22" i="2"/>
  <c r="W22" i="2"/>
  <c r="V22" i="2"/>
  <c r="U22" i="2"/>
  <c r="S22" i="2"/>
  <c r="R22" i="2"/>
  <c r="Q22" i="2"/>
  <c r="P22" i="2"/>
  <c r="O22" i="2"/>
  <c r="N22" i="2"/>
  <c r="M26" i="8" l="1"/>
  <c r="L26" i="8"/>
  <c r="K26" i="8"/>
  <c r="J26" i="8"/>
  <c r="I26" i="8"/>
  <c r="H26" i="8"/>
  <c r="G26" i="8"/>
  <c r="F26" i="8"/>
  <c r="E26" i="8"/>
  <c r="D26" i="8"/>
  <c r="C26" i="8"/>
  <c r="B26" i="8"/>
  <c r="M22" i="2" l="1"/>
  <c r="L22" i="2"/>
  <c r="K22" i="2"/>
  <c r="J22" i="2"/>
  <c r="I22" i="2"/>
</calcChain>
</file>

<file path=xl/sharedStrings.xml><?xml version="1.0" encoding="utf-8"?>
<sst xmlns="http://schemas.openxmlformats.org/spreadsheetml/2006/main" count="271" uniqueCount="105">
  <si>
    <t xml:space="preserve"> 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</si>
  <si>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</si>
  <si>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</si>
  <si>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</si>
  <si>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</si>
  <si>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</si>
  <si>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</si>
  <si>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</si>
  <si>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</si>
  <si>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</si>
  <si>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</si>
  <si>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</si>
  <si>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</si>
  <si>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</t>
  </si>
  <si>
    <t>II</t>
  </si>
  <si>
    <t>III</t>
  </si>
  <si>
    <t>IV</t>
  </si>
  <si>
    <t>V</t>
  </si>
  <si>
    <t xml:space="preserve">VI </t>
  </si>
  <si>
    <t>VII</t>
  </si>
  <si>
    <t xml:space="preserve">VIII </t>
  </si>
  <si>
    <t>IX</t>
  </si>
  <si>
    <t xml:space="preserve">X </t>
  </si>
  <si>
    <t>XI</t>
  </si>
  <si>
    <t>XII</t>
  </si>
  <si>
    <t>VI</t>
  </si>
  <si>
    <t>VIII</t>
  </si>
  <si>
    <t>X</t>
  </si>
  <si>
    <t>Moduri de transport</t>
  </si>
  <si>
    <t>Transport maritim</t>
  </si>
  <si>
    <t>Transport feroviar</t>
  </si>
  <si>
    <t>Transport rutier</t>
  </si>
  <si>
    <t>Transport aerian</t>
  </si>
  <si>
    <t xml:space="preserve">Ţările Uniunii Europene </t>
  </si>
  <si>
    <t xml:space="preserve">Ţările CSI </t>
  </si>
  <si>
    <t xml:space="preserve">Celelalte ţări ale lumii </t>
  </si>
  <si>
    <t>România</t>
  </si>
  <si>
    <t>Germania</t>
  </si>
  <si>
    <t>Turcia</t>
  </si>
  <si>
    <t>Italia</t>
  </si>
  <si>
    <t>Polonia</t>
  </si>
  <si>
    <t>Ucraina</t>
  </si>
  <si>
    <t>Republica Cehă</t>
  </si>
  <si>
    <t>Belarus</t>
  </si>
  <si>
    <t>Ungaria</t>
  </si>
  <si>
    <t>Spania</t>
  </si>
  <si>
    <t>Bulgaria</t>
  </si>
  <si>
    <t>Olanda</t>
  </si>
  <si>
    <t xml:space="preserve">Regatul Unit </t>
  </si>
  <si>
    <t>%</t>
  </si>
  <si>
    <t>Produse alimentare și animale vii</t>
  </si>
  <si>
    <t>Băuturi și tutun</t>
  </si>
  <si>
    <t>Materiale brute necomestibile</t>
  </si>
  <si>
    <t>Combustibili minerali</t>
  </si>
  <si>
    <t xml:space="preserve">Uleiuri și grăsimi </t>
  </si>
  <si>
    <t>Produse chimice</t>
  </si>
  <si>
    <t xml:space="preserve">Mărfuri manufacturate </t>
  </si>
  <si>
    <t>Mașini și echipamente pentru transport</t>
  </si>
  <si>
    <t>Articole manufacturate diverse</t>
  </si>
  <si>
    <t>Expedieri poştale</t>
  </si>
  <si>
    <t>Instalaţii fixe de transport</t>
  </si>
  <si>
    <t>Autopropulsie</t>
  </si>
  <si>
    <t>Ţările Uniunii Europene - total</t>
  </si>
  <si>
    <t>Ţările CSI - total</t>
  </si>
  <si>
    <t>Celelalte ţări ale lumii - total</t>
  </si>
  <si>
    <t>Uleiuri și grăsimi</t>
  </si>
  <si>
    <t xml:space="preserve">Produse chimice </t>
  </si>
  <si>
    <t>China</t>
  </si>
  <si>
    <t>Austria</t>
  </si>
  <si>
    <t>Perioada</t>
  </si>
  <si>
    <t>Export</t>
  </si>
  <si>
    <t>Import</t>
  </si>
  <si>
    <t>Balanţa Comercială</t>
  </si>
  <si>
    <t>În % faţă de luna precedentă</t>
  </si>
  <si>
    <t>În % faţă de luna corespunzătoare din anul precedent</t>
  </si>
  <si>
    <r>
      <t xml:space="preserve">Figura 12. </t>
    </r>
    <r>
      <rPr>
        <b/>
        <i/>
        <sz val="9"/>
        <color theme="1"/>
        <rFont val="Arial"/>
        <family val="2"/>
        <charset val="204"/>
      </rPr>
      <t>Structura importurilor, pe secțiuni de mărfuri (%)</t>
    </r>
  </si>
  <si>
    <t>Grecia</t>
  </si>
  <si>
    <t>Japonia</t>
  </si>
  <si>
    <r>
      <t xml:space="preserve">Figura 13. </t>
    </r>
    <r>
      <rPr>
        <b/>
        <i/>
        <sz val="9"/>
        <color indexed="8"/>
        <rFont val="Arial"/>
        <family val="2"/>
        <charset val="204"/>
      </rPr>
      <t>Evoluţia lunară a balanţei comerciale, în anii 2016-2021 (milioane dolari SUA)</t>
    </r>
  </si>
  <si>
    <r>
      <t xml:space="preserve">Figura 8. </t>
    </r>
    <r>
      <rPr>
        <b/>
        <i/>
        <sz val="9"/>
        <color indexed="8"/>
        <rFont val="Arial"/>
        <family val="2"/>
        <charset val="204"/>
      </rPr>
      <t>Evoluţia lunară a indicilor valorici ai importurilor de mărfuri, în anii 2019-2021 (%)</t>
    </r>
  </si>
  <si>
    <r>
      <rPr>
        <b/>
        <sz val="9"/>
        <color indexed="8"/>
        <rFont val="Arial"/>
        <family val="2"/>
        <charset val="204"/>
      </rPr>
      <t>Figura 7.</t>
    </r>
    <r>
      <rPr>
        <b/>
        <i/>
        <sz val="9"/>
        <color indexed="8"/>
        <rFont val="Arial"/>
        <family val="2"/>
        <charset val="204"/>
      </rPr>
      <t xml:space="preserve"> Evoluţia lunară a importurilor de mărfuri, în anii 2016-2021 (milioane dolari SUA)</t>
    </r>
  </si>
  <si>
    <r>
      <rPr>
        <b/>
        <sz val="9"/>
        <color theme="1"/>
        <rFont val="Arial"/>
        <family val="2"/>
        <charset val="204"/>
      </rPr>
      <t xml:space="preserve">Figura 6. </t>
    </r>
    <r>
      <rPr>
        <b/>
        <i/>
        <sz val="9"/>
        <color theme="1"/>
        <rFont val="Arial"/>
        <family val="2"/>
        <charset val="204"/>
      </rPr>
      <t>Structura exporturilor, pe secțiuni de mărfuri (%)</t>
    </r>
  </si>
  <si>
    <r>
      <t xml:space="preserve">Figura 2. </t>
    </r>
    <r>
      <rPr>
        <b/>
        <i/>
        <sz val="9"/>
        <color indexed="8"/>
        <rFont val="Arial"/>
        <family val="2"/>
        <charset val="204"/>
      </rPr>
      <t>Evoluţia lunară a indicilor valorici ai exporturilor de mărfuri, în anii 2019-2021 (%)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</si>
  <si>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Evoluţia lunară a exporturilor de mărfuri,  în anii 2016-2021 (milioane dolari SUA)</t>
    </r>
  </si>
  <si>
    <t>Ianuarie - septembrie 2021</t>
  </si>
  <si>
    <t>Ianuarie - septembrie 2020</t>
  </si>
  <si>
    <t>Ianuarie - septembrie 2019</t>
  </si>
  <si>
    <t>Ianuarie - septembrie 2018</t>
  </si>
  <si>
    <t>Ianuarie - septembrie 2017</t>
  </si>
  <si>
    <t>Ianuarie - septembrie 2016</t>
  </si>
  <si>
    <t xml:space="preserve"> Ianuarie - septembrie 2016</t>
  </si>
  <si>
    <t xml:space="preserve"> Ianuarie - septembrie 2019</t>
  </si>
  <si>
    <t>Federaţia Rusă</t>
  </si>
  <si>
    <t>Elveţia</t>
  </si>
  <si>
    <t>Franţa</t>
  </si>
  <si>
    <t>Liban</t>
  </si>
  <si>
    <t>S.U.A.</t>
  </si>
  <si>
    <t>Figura 11. Structura importurilor, în ianuarie-septembrie 2016-2021, pe principalele ţări de origine a mărfurilor (%)</t>
  </si>
  <si>
    <t>S.U.A</t>
  </si>
  <si>
    <r>
      <rPr>
        <b/>
        <sz val="9"/>
        <color rgb="FF000000"/>
        <rFont val="Arial"/>
        <family val="2"/>
        <charset val="204"/>
      </rPr>
      <t xml:space="preserve">Figura 14. </t>
    </r>
    <r>
      <rPr>
        <b/>
        <i/>
        <sz val="9"/>
        <color indexed="8"/>
        <rFont val="Arial"/>
        <family val="2"/>
        <charset val="204"/>
      </rPr>
      <t>Tendinţele comerţului internaţional cu mărfuri, în ianuarie-septembrie 2016-2021 (milioane dolari SUA)</t>
    </r>
  </si>
  <si>
    <r>
      <t xml:space="preserve">    Figura 10. </t>
    </r>
    <r>
      <rPr>
        <b/>
        <i/>
        <sz val="9"/>
        <color theme="1"/>
        <rFont val="Arial"/>
        <family val="2"/>
        <charset val="204"/>
      </rPr>
      <t>Structura importurilor de mărfuri, în ianuarie-septembrie 2016-2021, pe grupe de ţări (%)</t>
    </r>
  </si>
  <si>
    <r>
      <t xml:space="preserve">Figura 9. </t>
    </r>
    <r>
      <rPr>
        <b/>
        <i/>
        <sz val="9"/>
        <color rgb="FF000000"/>
        <rFont val="Arial"/>
        <family val="2"/>
        <charset val="204"/>
      </rPr>
      <t>Structura importurilor de mărfuri, în ianuarie-septembrie 2016-2021, după modul de transport (%)</t>
    </r>
  </si>
  <si>
    <r>
      <rPr>
        <b/>
        <sz val="9"/>
        <color rgb="FF000000"/>
        <rFont val="Arial"/>
        <family val="2"/>
        <charset val="204"/>
      </rPr>
      <t>Figura 5.</t>
    </r>
    <r>
      <rPr>
        <b/>
        <i/>
        <sz val="9"/>
        <color indexed="8"/>
        <rFont val="Arial"/>
        <family val="2"/>
        <charset val="204"/>
      </rPr>
      <t xml:space="preserve"> Structura exporturilor, în ianuarie-septembrie 2016-2021, pe principalele ţări de destinaţie a mărfurilor (%)</t>
    </r>
  </si>
  <si>
    <r>
      <rPr>
        <b/>
        <sz val="9"/>
        <color rgb="FF000000"/>
        <rFont val="Arial"/>
        <family val="2"/>
        <charset val="204"/>
      </rPr>
      <t>Figura 3</t>
    </r>
    <r>
      <rPr>
        <b/>
        <i/>
        <sz val="9"/>
        <color indexed="8"/>
        <rFont val="Arial"/>
        <family val="2"/>
        <charset val="204"/>
      </rPr>
      <t>. Structura exporturilor de mărfuri, în ianuarie-septembrie 2016-2021, după modul de transport (%)</t>
    </r>
  </si>
  <si>
    <r>
      <rPr>
        <b/>
        <sz val="9"/>
        <color rgb="FF000000"/>
        <rFont val="Arial"/>
        <family val="2"/>
        <charset val="204"/>
      </rPr>
      <t>Figura 4.</t>
    </r>
    <r>
      <rPr>
        <b/>
        <i/>
        <sz val="9"/>
        <color indexed="8"/>
        <rFont val="Arial"/>
        <family val="2"/>
        <charset val="204"/>
      </rPr>
      <t xml:space="preserve"> Structura exporturilor de mărfuri, în ianuarie-septembrie 2016-2021, pe grupe de ţări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</si>
</sst>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38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Alignment="1" applyProtection="1"/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center" vertical="justify"/>
    </xf>
    <xf numFmtId="164" fontId="4" fillId="0" borderId="0" xfId="0" applyNumberFormat="1" applyFont="1" applyFill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165" fontId="4" fillId="0" borderId="6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 wrapText="1" indent="1"/>
    </xf>
    <xf numFmtId="0" fontId="6" fillId="0" borderId="5" xfId="0" applyNumberFormat="1" applyFont="1" applyFill="1" applyBorder="1" applyAlignment="1" applyProtection="1">
      <alignment horizontal="left" wrapText="1" indent="1"/>
    </xf>
    <xf numFmtId="165" fontId="4" fillId="0" borderId="2" xfId="0" applyNumberFormat="1" applyFont="1" applyFill="1" applyBorder="1" applyAlignment="1" applyProtection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wrapText="1" indent="1"/>
    </xf>
    <xf numFmtId="0" fontId="6" fillId="0" borderId="13" xfId="0" applyNumberFormat="1" applyFont="1" applyFill="1" applyBorder="1" applyAlignment="1" applyProtection="1">
      <alignment horizontal="left" wrapText="1" indent="1"/>
    </xf>
    <xf numFmtId="0" fontId="6" fillId="0" borderId="8" xfId="0" applyNumberFormat="1" applyFont="1" applyFill="1" applyBorder="1" applyAlignment="1" applyProtection="1">
      <alignment horizontal="left" wrapText="1" indent="1"/>
    </xf>
    <xf numFmtId="165" fontId="4" fillId="0" borderId="9" xfId="0" applyNumberFormat="1" applyFont="1" applyFill="1" applyBorder="1" applyAlignment="1" applyProtection="1">
      <alignment horizontal="center"/>
    </xf>
    <xf numFmtId="0" fontId="6" fillId="0" borderId="12" xfId="0" applyFont="1" applyBorder="1" applyAlignment="1">
      <alignment horizontal="left" wrapText="1" indent="1"/>
    </xf>
    <xf numFmtId="0" fontId="6" fillId="0" borderId="8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wrapText="1" inden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38" fontId="4" fillId="0" borderId="12" xfId="0" applyNumberFormat="1" applyFont="1" applyFill="1" applyBorder="1" applyAlignment="1" applyProtection="1">
      <alignment horizontal="left" wrapText="1" indent="1"/>
    </xf>
    <xf numFmtId="38" fontId="4" fillId="0" borderId="13" xfId="0" applyNumberFormat="1" applyFont="1" applyFill="1" applyBorder="1" applyAlignment="1" applyProtection="1">
      <alignment horizontal="left" wrapText="1" indent="1"/>
    </xf>
    <xf numFmtId="38" fontId="4" fillId="0" borderId="8" xfId="0" applyNumberFormat="1" applyFont="1" applyFill="1" applyBorder="1" applyAlignment="1" applyProtection="1">
      <alignment horizontal="left" wrapText="1" inden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4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 indent="1"/>
    </xf>
    <xf numFmtId="0" fontId="3" fillId="0" borderId="6" xfId="0" applyFont="1" applyBorder="1" applyAlignment="1">
      <alignment horizontal="left" indent="1"/>
    </xf>
    <xf numFmtId="165" fontId="4" fillId="0" borderId="10" xfId="0" applyNumberFormat="1" applyFont="1" applyFill="1" applyBorder="1" applyAlignment="1" applyProtection="1">
      <alignment horizontal="center"/>
    </xf>
    <xf numFmtId="2" fontId="3" fillId="0" borderId="4" xfId="0" applyNumberFormat="1" applyFont="1" applyBorder="1" applyAlignment="1">
      <alignment horizontal="left" indent="1"/>
    </xf>
    <xf numFmtId="2" fontId="3" fillId="0" borderId="5" xfId="0" applyNumberFormat="1" applyFont="1" applyBorder="1" applyAlignment="1">
      <alignment horizontal="left" indent="1"/>
    </xf>
    <xf numFmtId="2" fontId="3" fillId="0" borderId="6" xfId="0" applyNumberFormat="1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165" fontId="2" fillId="0" borderId="0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165" fontId="4" fillId="0" borderId="0" xfId="0" applyNumberFormat="1" applyFont="1" applyFill="1" applyBorder="1" applyAlignment="1" applyProtection="1">
      <alignment horizontal="center" wrapText="1"/>
    </xf>
    <xf numFmtId="164" fontId="4" fillId="0" borderId="3" xfId="0" applyNumberFormat="1" applyFont="1" applyFill="1" applyBorder="1" applyAlignment="1" applyProtection="1">
      <alignment horizontal="center"/>
    </xf>
    <xf numFmtId="164" fontId="8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2" fillId="0" borderId="0" xfId="0" applyFont="1" applyAlignment="1"/>
    <xf numFmtId="164" fontId="4" fillId="0" borderId="0" xfId="0" applyNumberFormat="1" applyFont="1" applyBorder="1" applyAlignment="1">
      <alignment horizontal="center"/>
    </xf>
    <xf numFmtId="38" fontId="6" fillId="0" borderId="0" xfId="0" applyNumberFormat="1" applyFont="1" applyFill="1" applyAlignment="1" applyProtection="1">
      <alignment horizontal="left" wrapText="1" indent="1"/>
    </xf>
    <xf numFmtId="38" fontId="6" fillId="0" borderId="0" xfId="0" applyNumberFormat="1" applyFont="1" applyFill="1" applyAlignment="1" applyProtection="1">
      <alignment horizontal="left" vertical="top" wrapText="1" indent="1"/>
    </xf>
    <xf numFmtId="164" fontId="4" fillId="0" borderId="0" xfId="0" applyNumberFormat="1" applyFont="1" applyAlignment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165" fontId="4" fillId="0" borderId="3" xfId="0" applyNumberFormat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8" fontId="6" fillId="0" borderId="3" xfId="0" applyNumberFormat="1" applyFont="1" applyFill="1" applyBorder="1" applyAlignment="1" applyProtection="1">
      <alignment horizontal="left" vertical="top" wrapText="1" indent="1"/>
    </xf>
    <xf numFmtId="165" fontId="4" fillId="0" borderId="10" xfId="0" applyNumberFormat="1" applyFont="1" applyFill="1" applyBorder="1" applyAlignment="1" applyProtection="1">
      <alignment horizontal="center" vertical="center"/>
    </xf>
    <xf numFmtId="165" fontId="4" fillId="0" borderId="2" xfId="0" applyNumberFormat="1" applyFont="1" applyFill="1" applyBorder="1" applyAlignment="1" applyProtection="1">
      <alignment horizontal="center" vertical="center"/>
    </xf>
    <xf numFmtId="165" fontId="4" fillId="0" borderId="11" xfId="0" applyNumberFormat="1" applyFont="1" applyFill="1" applyBorder="1" applyAlignment="1" applyProtection="1">
      <alignment horizontal="center" vertical="center"/>
    </xf>
    <xf numFmtId="165" fontId="4" fillId="0" borderId="9" xfId="0" applyNumberFormat="1" applyFont="1" applyFill="1" applyBorder="1" applyAlignment="1" applyProtection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4" fillId="0" borderId="0" xfId="0" applyNumberFormat="1" applyFont="1" applyFill="1" applyAlignment="1" applyProtection="1">
      <alignment horizontal="center" vertical="center"/>
    </xf>
    <xf numFmtId="165" fontId="4" fillId="0" borderId="0" xfId="0" applyNumberFormat="1" applyFont="1" applyFill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 vertical="center"/>
    </xf>
    <xf numFmtId="165" fontId="4" fillId="0" borderId="5" xfId="0" applyNumberFormat="1" applyFont="1" applyFill="1" applyBorder="1" applyAlignment="1" applyProtection="1">
      <alignment horizontal="center" vertical="center"/>
    </xf>
    <xf numFmtId="165" fontId="4" fillId="0" borderId="6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Fill="1" applyBorder="1" applyAlignment="1" applyProtection="1">
      <alignment horizontal="left" vertical="top" wrapText="1" indent="1"/>
    </xf>
    <xf numFmtId="165" fontId="4" fillId="0" borderId="12" xfId="0" applyNumberFormat="1" applyFont="1" applyFill="1" applyBorder="1" applyAlignment="1" applyProtection="1">
      <alignment horizontal="center"/>
    </xf>
    <xf numFmtId="165" fontId="4" fillId="0" borderId="13" xfId="0" applyNumberFormat="1" applyFont="1" applyFill="1" applyBorder="1" applyAlignment="1" applyProtection="1">
      <alignment horizontal="center"/>
    </xf>
    <xf numFmtId="165" fontId="4" fillId="0" borderId="8" xfId="0" applyNumberFormat="1" applyFont="1" applyFill="1" applyBorder="1" applyAlignment="1" applyProtection="1">
      <alignment horizontal="center"/>
    </xf>
    <xf numFmtId="164" fontId="4" fillId="0" borderId="9" xfId="0" applyNumberFormat="1" applyFont="1" applyFill="1" applyBorder="1" applyAlignment="1" applyProtection="1">
      <alignment horizontal="center"/>
    </xf>
    <xf numFmtId="165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 vertical="top" wrapText="1"/>
    </xf>
    <xf numFmtId="165" fontId="4" fillId="0" borderId="11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Fill="1" applyBorder="1" applyAlignment="1" applyProtection="1">
      <alignment horizontal="center"/>
    </xf>
    <xf numFmtId="0" fontId="6" fillId="0" borderId="11" xfId="0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4" fillId="0" borderId="3" xfId="0" applyNumberFormat="1" applyFont="1" applyFill="1" applyBorder="1" applyAlignment="1" applyProtection="1">
      <alignment horizontal="center" vertical="center"/>
    </xf>
    <xf numFmtId="164" fontId="4" fillId="0" borderId="4" xfId="0" applyNumberFormat="1" applyFont="1" applyFill="1" applyBorder="1" applyAlignment="1" applyProtection="1">
      <alignment horizontal="center" vertical="center"/>
    </xf>
    <xf numFmtId="164" fontId="4" fillId="0" borderId="5" xfId="0" applyNumberFormat="1" applyFont="1" applyFill="1" applyBorder="1" applyAlignment="1" applyProtection="1">
      <alignment horizontal="center" vertical="center"/>
    </xf>
    <xf numFmtId="164" fontId="4" fillId="0" borderId="6" xfId="0" applyNumberFormat="1" applyFont="1" applyFill="1" applyBorder="1" applyAlignment="1" applyProtection="1">
      <alignment horizontal="center" vertical="center"/>
    </xf>
    <xf numFmtId="164" fontId="4" fillId="0" borderId="12" xfId="0" applyNumberFormat="1" applyFont="1" applyFill="1" applyBorder="1" applyAlignment="1" applyProtection="1">
      <alignment horizontal="center" vertical="center"/>
    </xf>
    <xf numFmtId="164" fontId="4" fillId="0" borderId="13" xfId="0" applyNumberFormat="1" applyFont="1" applyFill="1" applyBorder="1" applyAlignment="1" applyProtection="1">
      <alignment horizontal="center" vertical="center"/>
    </xf>
    <xf numFmtId="164" fontId="4" fillId="0" borderId="8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4" fillId="0" borderId="5" xfId="0" applyNumberFormat="1" applyFont="1" applyFill="1" applyBorder="1" applyAlignment="1" applyProtection="1">
      <alignment horizontal="center"/>
    </xf>
    <xf numFmtId="38" fontId="6" fillId="0" borderId="2" xfId="0" applyNumberFormat="1" applyFont="1" applyFill="1" applyBorder="1" applyAlignment="1" applyProtection="1">
      <alignment horizontal="left" vertical="top" wrapText="1" inden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/>
    <xf numFmtId="0" fontId="12" fillId="0" borderId="0" xfId="0" applyFont="1" applyAlignment="1">
      <alignment vertical="center"/>
    </xf>
  </cellXfs>
  <cellStyles count="2">
    <cellStyle name="Normal" xfId="0" builtinId="0"/>
    <cellStyle name="Normal 2" xfId="1" xr:uid="{00000000-0005-0000-0000-000000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0" indent="1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541834308329E-2"/>
          <c:y val="8.2707060720548939E-2"/>
          <c:w val="0.93883343365230676"/>
          <c:h val="0.7093322975883620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'Figura 1'!$B$20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1'!$B$21:$B$26</c:f>
              <c:numCache>
                <c:formatCode>#\ ##0,0</c:formatCode>
                <c:ptCount val="6"/>
                <c:pt idx="0">
                  <c:v>116.8</c:v>
                </c:pt>
                <c:pt idx="1">
                  <c:v>139.5</c:v>
                </c:pt>
                <c:pt idx="2">
                  <c:v>220.3</c:v>
                </c:pt>
                <c:pt idx="3">
                  <c:v>234.3</c:v>
                </c:pt>
                <c:pt idx="4">
                  <c:v>219.5</c:v>
                </c:pt>
                <c:pt idx="5">
                  <c:v>198.4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20-4AA7-9226-374D1498C729}"/>
            </c:ext>
          </c:extLst>
        </c:ser>
        <c:ser>
          <c:idx val="3"/>
          <c:order val="1"/>
          <c:tx>
            <c:strRef>
              <c:f>'Figura 1'!$C$20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1'!$C$21:$C$26</c:f>
              <c:numCache>
                <c:formatCode>#\ ##0,0</c:formatCode>
                <c:ptCount val="6"/>
                <c:pt idx="0">
                  <c:v>138.5</c:v>
                </c:pt>
                <c:pt idx="1">
                  <c:v>176.6</c:v>
                </c:pt>
                <c:pt idx="2">
                  <c:v>215.5</c:v>
                </c:pt>
                <c:pt idx="3">
                  <c:v>241.4</c:v>
                </c:pt>
                <c:pt idx="4">
                  <c:v>245.3</c:v>
                </c:pt>
                <c:pt idx="5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20-4AA7-9226-374D1498C729}"/>
            </c:ext>
          </c:extLst>
        </c:ser>
        <c:ser>
          <c:idx val="4"/>
          <c:order val="2"/>
          <c:tx>
            <c:strRef>
              <c:f>'Figura 1'!$D$20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1'!$D$21:$D$26</c:f>
              <c:numCache>
                <c:formatCode>#\ ##0,0</c:formatCode>
                <c:ptCount val="6"/>
                <c:pt idx="0">
                  <c:v>161.30000000000001</c:v>
                </c:pt>
                <c:pt idx="1">
                  <c:v>212.1</c:v>
                </c:pt>
                <c:pt idx="2">
                  <c:v>242.1</c:v>
                </c:pt>
                <c:pt idx="3">
                  <c:v>257.2</c:v>
                </c:pt>
                <c:pt idx="4">
                  <c:v>210.2</c:v>
                </c:pt>
                <c:pt idx="5">
                  <c:v>259.3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20-4AA7-9226-374D1498C729}"/>
            </c:ext>
          </c:extLst>
        </c:ser>
        <c:ser>
          <c:idx val="5"/>
          <c:order val="3"/>
          <c:tx>
            <c:strRef>
              <c:f>'Figura 1'!$E$20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1'!$E$21:$E$26</c:f>
              <c:numCache>
                <c:formatCode>#\ ##0,0</c:formatCode>
                <c:ptCount val="6"/>
                <c:pt idx="0">
                  <c:v>178.5</c:v>
                </c:pt>
                <c:pt idx="1">
                  <c:v>154.19999999999999</c:v>
                </c:pt>
                <c:pt idx="2">
                  <c:v>199.7</c:v>
                </c:pt>
                <c:pt idx="3">
                  <c:v>215.6</c:v>
                </c:pt>
                <c:pt idx="4">
                  <c:v>149.80000000000001</c:v>
                </c:pt>
                <c:pt idx="5">
                  <c:v>218.2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20-4AA7-9226-374D1498C729}"/>
            </c:ext>
          </c:extLst>
        </c:ser>
        <c:ser>
          <c:idx val="6"/>
          <c:order val="4"/>
          <c:tx>
            <c:strRef>
              <c:f>'Figura 1'!$F$20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1'!$F$21:$F$26</c:f>
              <c:numCache>
                <c:formatCode>#\ ##0,0</c:formatCode>
                <c:ptCount val="6"/>
                <c:pt idx="0">
                  <c:v>153</c:v>
                </c:pt>
                <c:pt idx="1">
                  <c:v>174.7</c:v>
                </c:pt>
                <c:pt idx="2">
                  <c:v>223</c:v>
                </c:pt>
                <c:pt idx="3">
                  <c:v>210.5</c:v>
                </c:pt>
                <c:pt idx="4">
                  <c:v>155.69999999999999</c:v>
                </c:pt>
                <c:pt idx="5">
                  <c:v>201.7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20-4AA7-9226-374D1498C729}"/>
            </c:ext>
          </c:extLst>
        </c:ser>
        <c:ser>
          <c:idx val="7"/>
          <c:order val="5"/>
          <c:tx>
            <c:strRef>
              <c:f>'Figura 1'!$G$20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1'!$G$21:$G$26</c:f>
              <c:numCache>
                <c:formatCode>#\ ##0,0</c:formatCode>
                <c:ptCount val="6"/>
                <c:pt idx="0">
                  <c:v>157.4</c:v>
                </c:pt>
                <c:pt idx="1">
                  <c:v>171.1</c:v>
                </c:pt>
                <c:pt idx="2">
                  <c:v>214.1</c:v>
                </c:pt>
                <c:pt idx="3">
                  <c:v>202.2</c:v>
                </c:pt>
                <c:pt idx="4">
                  <c:v>189.6</c:v>
                </c:pt>
                <c:pt idx="5">
                  <c:v>226.8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520-4AA7-9226-374D1498C729}"/>
            </c:ext>
          </c:extLst>
        </c:ser>
        <c:ser>
          <c:idx val="8"/>
          <c:order val="6"/>
          <c:tx>
            <c:strRef>
              <c:f>'Figura 1'!$H$20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1'!$H$21:$H$26</c:f>
              <c:numCache>
                <c:formatCode>#\ ##0,0</c:formatCode>
                <c:ptCount val="6"/>
                <c:pt idx="0">
                  <c:v>165.6</c:v>
                </c:pt>
                <c:pt idx="1">
                  <c:v>191.6</c:v>
                </c:pt>
                <c:pt idx="2">
                  <c:v>218.8</c:v>
                </c:pt>
                <c:pt idx="3">
                  <c:v>220.2</c:v>
                </c:pt>
                <c:pt idx="4">
                  <c:v>191.1</c:v>
                </c:pt>
                <c:pt idx="5">
                  <c:v>240.7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20-4AA7-9226-374D1498C729}"/>
            </c:ext>
          </c:extLst>
        </c:ser>
        <c:ser>
          <c:idx val="9"/>
          <c:order val="7"/>
          <c:tx>
            <c:strRef>
              <c:f>'Figura 1'!$I$20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1'!$I$21:$I$26</c:f>
              <c:numCache>
                <c:formatCode>#\ ##0,0</c:formatCode>
                <c:ptCount val="6"/>
                <c:pt idx="0">
                  <c:v>168</c:v>
                </c:pt>
                <c:pt idx="1">
                  <c:v>207.9</c:v>
                </c:pt>
                <c:pt idx="2">
                  <c:v>218.6</c:v>
                </c:pt>
                <c:pt idx="3">
                  <c:v>205.8</c:v>
                </c:pt>
                <c:pt idx="4">
                  <c:v>163.9</c:v>
                </c:pt>
                <c:pt idx="5">
                  <c:v>236.2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520-4AA7-9226-374D1498C729}"/>
            </c:ext>
          </c:extLst>
        </c:ser>
        <c:ser>
          <c:idx val="10"/>
          <c:order val="8"/>
          <c:tx>
            <c:strRef>
              <c:f>'Figura 1'!$J$20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1'!$J$21:$J$26</c:f>
              <c:numCache>
                <c:formatCode>#\ ##0,0</c:formatCode>
                <c:ptCount val="6"/>
                <c:pt idx="0">
                  <c:v>193.6</c:v>
                </c:pt>
                <c:pt idx="1">
                  <c:v>223.9</c:v>
                </c:pt>
                <c:pt idx="2">
                  <c:v>207.3</c:v>
                </c:pt>
                <c:pt idx="3">
                  <c:v>238.8</c:v>
                </c:pt>
                <c:pt idx="4">
                  <c:v>212.3</c:v>
                </c:pt>
                <c:pt idx="5">
                  <c:v>294.89999999999998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20-4AA7-9226-374D1498C729}"/>
            </c:ext>
          </c:extLst>
        </c:ser>
        <c:ser>
          <c:idx val="11"/>
          <c:order val="9"/>
          <c:tx>
            <c:strRef>
              <c:f>'Figura 1'!$K$20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1'!$K$21:$K$26</c:f>
              <c:numCache>
                <c:formatCode>#\ ##0,0</c:formatCode>
                <c:ptCount val="6"/>
                <c:pt idx="0">
                  <c:v>200.8</c:v>
                </c:pt>
                <c:pt idx="1">
                  <c:v>268.2</c:v>
                </c:pt>
                <c:pt idx="2">
                  <c:v>259</c:v>
                </c:pt>
                <c:pt idx="3">
                  <c:v>268.3</c:v>
                </c:pt>
                <c:pt idx="4">
                  <c:v>249.4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520-4AA7-9226-374D1498C729}"/>
            </c:ext>
          </c:extLst>
        </c:ser>
        <c:ser>
          <c:idx val="12"/>
          <c:order val="10"/>
          <c:tx>
            <c:strRef>
              <c:f>'Figura 1'!$L$20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1'!$L$21:$L$26</c:f>
              <c:numCache>
                <c:formatCode>#\ ##0,0</c:formatCode>
                <c:ptCount val="6"/>
                <c:pt idx="0">
                  <c:v>217.6</c:v>
                </c:pt>
                <c:pt idx="1">
                  <c:v>272.10000000000002</c:v>
                </c:pt>
                <c:pt idx="2">
                  <c:v>268.89999999999998</c:v>
                </c:pt>
                <c:pt idx="3">
                  <c:v>266.60000000000002</c:v>
                </c:pt>
                <c:pt idx="4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6-4ABF-AE3A-BDB053FBE632}"/>
            </c:ext>
          </c:extLst>
        </c:ser>
        <c:ser>
          <c:idx val="0"/>
          <c:order val="11"/>
          <c:tx>
            <c:strRef>
              <c:f>'Figura 1'!$M$20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tint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1'!$M$21:$M$26</c:f>
              <c:numCache>
                <c:formatCode>#\ ##0,0</c:formatCode>
                <c:ptCount val="6"/>
                <c:pt idx="0">
                  <c:v>193.5</c:v>
                </c:pt>
                <c:pt idx="1">
                  <c:v>233.1</c:v>
                </c:pt>
                <c:pt idx="2">
                  <c:v>218.8</c:v>
                </c:pt>
                <c:pt idx="3">
                  <c:v>218.3</c:v>
                </c:pt>
                <c:pt idx="4">
                  <c:v>218.3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06-4ABF-AE3A-BDB053FBE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6768528"/>
        <c:axId val="246687904"/>
      </c:barChart>
      <c:catAx>
        <c:axId val="24676852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6687904"/>
        <c:crosses val="autoZero"/>
        <c:auto val="0"/>
        <c:lblAlgn val="ctr"/>
        <c:lblOffset val="100"/>
        <c:tickLblSkip val="1"/>
        <c:noMultiLvlLbl val="0"/>
      </c:catAx>
      <c:valAx>
        <c:axId val="246687904"/>
        <c:scaling>
          <c:orientation val="minMax"/>
          <c:max val="280"/>
          <c:min val="1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6768528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1116886173981615"/>
          <c:w val="1"/>
          <c:h val="8.8762873250709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9044942487555"/>
          <c:y val="3.3573141486810551E-2"/>
          <c:w val="0.76089625109673775"/>
          <c:h val="0.7368213146018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9'!$B$24</c:f>
              <c:strCache>
                <c:ptCount val="1"/>
                <c:pt idx="0">
                  <c:v>Ianuarie - septembrie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9'!$B$25:$B$31</c:f>
              <c:numCache>
                <c:formatCode>#\ ##0,0</c:formatCode>
                <c:ptCount val="7"/>
                <c:pt idx="0">
                  <c:v>3.1</c:v>
                </c:pt>
                <c:pt idx="1">
                  <c:v>4.9000000000000004</c:v>
                </c:pt>
                <c:pt idx="2">
                  <c:v>85.5</c:v>
                </c:pt>
                <c:pt idx="3">
                  <c:v>2.4</c:v>
                </c:pt>
                <c:pt idx="4">
                  <c:v>0.2</c:v>
                </c:pt>
                <c:pt idx="5">
                  <c:v>3.3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4-4901-8F26-F774DF753091}"/>
            </c:ext>
          </c:extLst>
        </c:ser>
        <c:ser>
          <c:idx val="1"/>
          <c:order val="1"/>
          <c:tx>
            <c:strRef>
              <c:f>'Figura 9'!$C$24</c:f>
              <c:strCache>
                <c:ptCount val="1"/>
                <c:pt idx="0">
                  <c:v>Ianuarie - septembrie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9'!$C$25:$C$31</c:f>
              <c:numCache>
                <c:formatCode>#\ ##0,0</c:formatCode>
                <c:ptCount val="7"/>
                <c:pt idx="0">
                  <c:v>1.6</c:v>
                </c:pt>
                <c:pt idx="1">
                  <c:v>5.0999999999999996</c:v>
                </c:pt>
                <c:pt idx="2">
                  <c:v>87</c:v>
                </c:pt>
                <c:pt idx="3">
                  <c:v>2.2999999999999998</c:v>
                </c:pt>
                <c:pt idx="4">
                  <c:v>0.3</c:v>
                </c:pt>
                <c:pt idx="5">
                  <c:v>3.2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4-4901-8F26-F774DF753091}"/>
            </c:ext>
          </c:extLst>
        </c:ser>
        <c:ser>
          <c:idx val="2"/>
          <c:order val="2"/>
          <c:tx>
            <c:strRef>
              <c:f>'Figura 9'!$D$24</c:f>
              <c:strCache>
                <c:ptCount val="1"/>
                <c:pt idx="0">
                  <c:v>Ianuarie - septembrie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9'!$D$25:$D$31</c:f>
              <c:numCache>
                <c:formatCode>#\ ##0,0</c:formatCode>
                <c:ptCount val="7"/>
                <c:pt idx="0">
                  <c:v>2.2000000000000002</c:v>
                </c:pt>
                <c:pt idx="1">
                  <c:v>4.9000000000000004</c:v>
                </c:pt>
                <c:pt idx="2">
                  <c:v>84.8</c:v>
                </c:pt>
                <c:pt idx="3">
                  <c:v>2.6</c:v>
                </c:pt>
                <c:pt idx="4">
                  <c:v>0.2</c:v>
                </c:pt>
                <c:pt idx="5">
                  <c:v>4.7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54-4901-8F26-F774DF753091}"/>
            </c:ext>
          </c:extLst>
        </c:ser>
        <c:ser>
          <c:idx val="3"/>
          <c:order val="3"/>
          <c:tx>
            <c:strRef>
              <c:f>'Figura 9'!$E$24</c:f>
              <c:strCache>
                <c:ptCount val="1"/>
                <c:pt idx="0">
                  <c:v>Ianuarie - septembrie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9'!$E$25:$E$31</c:f>
              <c:numCache>
                <c:formatCode>#\ ##0,0</c:formatCode>
                <c:ptCount val="7"/>
                <c:pt idx="0">
                  <c:v>3</c:v>
                </c:pt>
                <c:pt idx="1">
                  <c:v>5.8</c:v>
                </c:pt>
                <c:pt idx="2">
                  <c:v>83.3</c:v>
                </c:pt>
                <c:pt idx="3">
                  <c:v>2.6</c:v>
                </c:pt>
                <c:pt idx="4">
                  <c:v>0.3</c:v>
                </c:pt>
                <c:pt idx="5">
                  <c:v>4.4000000000000004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54-4901-8F26-F774DF753091}"/>
            </c:ext>
          </c:extLst>
        </c:ser>
        <c:ser>
          <c:idx val="4"/>
          <c:order val="4"/>
          <c:tx>
            <c:strRef>
              <c:f>'Figura 9'!$F$24</c:f>
              <c:strCache>
                <c:ptCount val="1"/>
                <c:pt idx="0">
                  <c:v>Ianuarie - septembrie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9'!$F$25:$F$31</c:f>
              <c:numCache>
                <c:formatCode>#\ ##0,0</c:formatCode>
                <c:ptCount val="7"/>
                <c:pt idx="0">
                  <c:v>2.6</c:v>
                </c:pt>
                <c:pt idx="1">
                  <c:v>5.7</c:v>
                </c:pt>
                <c:pt idx="2">
                  <c:v>83.7</c:v>
                </c:pt>
                <c:pt idx="3">
                  <c:v>2.6</c:v>
                </c:pt>
                <c:pt idx="4">
                  <c:v>0.3</c:v>
                </c:pt>
                <c:pt idx="5">
                  <c:v>4.5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54-4901-8F26-F774DF753091}"/>
            </c:ext>
          </c:extLst>
        </c:ser>
        <c:ser>
          <c:idx val="5"/>
          <c:order val="5"/>
          <c:tx>
            <c:strRef>
              <c:f>'Figura 9'!$G$24</c:f>
              <c:strCache>
                <c:ptCount val="1"/>
                <c:pt idx="0">
                  <c:v>Ianuarie - septembrie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9'!$G$25:$G$31</c:f>
              <c:numCache>
                <c:formatCode>#\ ##0,0</c:formatCode>
                <c:ptCount val="7"/>
                <c:pt idx="0">
                  <c:v>2.6</c:v>
                </c:pt>
                <c:pt idx="1">
                  <c:v>5.8</c:v>
                </c:pt>
                <c:pt idx="2">
                  <c:v>83.4</c:v>
                </c:pt>
                <c:pt idx="3">
                  <c:v>1.9</c:v>
                </c:pt>
                <c:pt idx="4">
                  <c:v>1</c:v>
                </c:pt>
                <c:pt idx="5">
                  <c:v>4.5999999999999996</c:v>
                </c:pt>
                <c:pt idx="6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54-4901-8F26-F774DF753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3600880"/>
        <c:axId val="243601440"/>
      </c:barChart>
      <c:catAx>
        <c:axId val="243600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3601440"/>
        <c:crossesAt val="0"/>
        <c:auto val="1"/>
        <c:lblAlgn val="ctr"/>
        <c:lblOffset val="100"/>
        <c:noMultiLvlLbl val="0"/>
      </c:catAx>
      <c:valAx>
        <c:axId val="24360144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3600880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582116219641409"/>
          <c:y val="0.88493539593724413"/>
          <c:w val="0.84362058328366329"/>
          <c:h val="0.11344625330193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9977473288278E-2"/>
          <c:y val="6.8484183803067242E-2"/>
          <c:w val="0.93986930373860744"/>
          <c:h val="0.672207556789214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10'!$A$23</c:f>
              <c:strCache>
                <c:ptCount val="1"/>
                <c:pt idx="0">
                  <c:v>Ţările Uniunii Europene - total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 - septembrie 2016</c:v>
                </c:pt>
                <c:pt idx="1">
                  <c:v>Ianuarie - septembrie 2017</c:v>
                </c:pt>
                <c:pt idx="2">
                  <c:v>Ianuarie - septembrie 2018</c:v>
                </c:pt>
                <c:pt idx="3">
                  <c:v>Ianuarie - septembrie 2019</c:v>
                </c:pt>
                <c:pt idx="4">
                  <c:v>Ianuarie - septembrie 2020</c:v>
                </c:pt>
                <c:pt idx="5">
                  <c:v>Ianuarie - septembrie 2021</c:v>
                </c:pt>
              </c:strCache>
            </c:strRef>
          </c:cat>
          <c:val>
            <c:numRef>
              <c:f>'Figura 10'!$B$23:$G$23</c:f>
              <c:numCache>
                <c:formatCode>#\ ##0,0</c:formatCode>
                <c:ptCount val="6"/>
                <c:pt idx="0">
                  <c:v>48</c:v>
                </c:pt>
                <c:pt idx="1">
                  <c:v>48.6</c:v>
                </c:pt>
                <c:pt idx="2">
                  <c:v>49.4</c:v>
                </c:pt>
                <c:pt idx="3">
                  <c:v>49</c:v>
                </c:pt>
                <c:pt idx="4">
                  <c:v>45.7</c:v>
                </c:pt>
                <c:pt idx="5">
                  <c:v>45.8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9-4350-AC6F-7B3B9B8C79B6}"/>
            </c:ext>
          </c:extLst>
        </c:ser>
        <c:ser>
          <c:idx val="1"/>
          <c:order val="1"/>
          <c:tx>
            <c:strRef>
              <c:f>'Figura 10'!$A$24</c:f>
              <c:strCache>
                <c:ptCount val="1"/>
                <c:pt idx="0">
                  <c:v>Ţările CSI -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 - septembrie 2016</c:v>
                </c:pt>
                <c:pt idx="1">
                  <c:v>Ianuarie - septembrie 2017</c:v>
                </c:pt>
                <c:pt idx="2">
                  <c:v>Ianuarie - septembrie 2018</c:v>
                </c:pt>
                <c:pt idx="3">
                  <c:v>Ianuarie - septembrie 2019</c:v>
                </c:pt>
                <c:pt idx="4">
                  <c:v>Ianuarie - septembrie 2020</c:v>
                </c:pt>
                <c:pt idx="5">
                  <c:v>Ianuarie - septembrie 2021</c:v>
                </c:pt>
              </c:strCache>
            </c:strRef>
          </c:cat>
          <c:val>
            <c:numRef>
              <c:f>'Figura 10'!$B$24:$G$24</c:f>
              <c:numCache>
                <c:formatCode>#\ ##0,0</c:formatCode>
                <c:ptCount val="6"/>
                <c:pt idx="0">
                  <c:v>25.2</c:v>
                </c:pt>
                <c:pt idx="1">
                  <c:v>24.7</c:v>
                </c:pt>
                <c:pt idx="2">
                  <c:v>24.3</c:v>
                </c:pt>
                <c:pt idx="3">
                  <c:v>24.1</c:v>
                </c:pt>
                <c:pt idx="4">
                  <c:v>25</c:v>
                </c:pt>
                <c:pt idx="5">
                  <c:v>24.3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9-4350-AC6F-7B3B9B8C79B6}"/>
            </c:ext>
          </c:extLst>
        </c:ser>
        <c:ser>
          <c:idx val="2"/>
          <c:order val="2"/>
          <c:tx>
            <c:strRef>
              <c:f>'Figura 10'!$A$25</c:f>
              <c:strCache>
                <c:ptCount val="1"/>
                <c:pt idx="0">
                  <c:v>Celelalte ţări ale lumii - 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 - septembrie 2016</c:v>
                </c:pt>
                <c:pt idx="1">
                  <c:v>Ianuarie - septembrie 2017</c:v>
                </c:pt>
                <c:pt idx="2">
                  <c:v>Ianuarie - septembrie 2018</c:v>
                </c:pt>
                <c:pt idx="3">
                  <c:v>Ianuarie - septembrie 2019</c:v>
                </c:pt>
                <c:pt idx="4">
                  <c:v>Ianuarie - septembrie 2020</c:v>
                </c:pt>
                <c:pt idx="5">
                  <c:v>Ianuarie - septembrie 2021</c:v>
                </c:pt>
              </c:strCache>
            </c:strRef>
          </c:cat>
          <c:val>
            <c:numRef>
              <c:f>'Figura 10'!$B$25:$G$25</c:f>
              <c:numCache>
                <c:formatCode>#\ ##0,0</c:formatCode>
                <c:ptCount val="6"/>
                <c:pt idx="0">
                  <c:v>26.8</c:v>
                </c:pt>
                <c:pt idx="1">
                  <c:v>26.7</c:v>
                </c:pt>
                <c:pt idx="2">
                  <c:v>26.3</c:v>
                </c:pt>
                <c:pt idx="3">
                  <c:v>26.9</c:v>
                </c:pt>
                <c:pt idx="4">
                  <c:v>29.3</c:v>
                </c:pt>
                <c:pt idx="5">
                  <c:v>29.9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9-4350-AC6F-7B3B9B8C7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4704048"/>
        <c:axId val="254704608"/>
      </c:barChart>
      <c:catAx>
        <c:axId val="25470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4704608"/>
        <c:crosses val="autoZero"/>
        <c:auto val="0"/>
        <c:lblAlgn val="ctr"/>
        <c:lblOffset val="100"/>
        <c:noMultiLvlLbl val="0"/>
      </c:catAx>
      <c:valAx>
        <c:axId val="254704608"/>
        <c:scaling>
          <c:orientation val="minMax"/>
          <c:max val="100"/>
        </c:scaling>
        <c:delete val="0"/>
        <c:axPos val="l"/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4704048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3.7397860259691489E-2"/>
          <c:y val="0.91097538763219799"/>
          <c:w val="0.93105796047794498"/>
          <c:h val="8.5815523059617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68505608773423E-2"/>
          <c:y val="3.3602647495150066E-2"/>
          <c:w val="0.91068898658274244"/>
          <c:h val="0.554662438028579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11'!$B$24</c:f>
              <c:strCache>
                <c:ptCount val="1"/>
                <c:pt idx="0">
                  <c:v> Ianuarie - septembrie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11'!$A$25:$A$43</c:f>
              <c:strCache>
                <c:ptCount val="19"/>
                <c:pt idx="0">
                  <c:v>Federaţia Rusă</c:v>
                </c:pt>
                <c:pt idx="1">
                  <c:v>România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Belarus</c:v>
                </c:pt>
                <c:pt idx="10">
                  <c:v>Ungaria</c:v>
                </c:pt>
                <c:pt idx="11">
                  <c:v>Republica Cehă</c:v>
                </c:pt>
                <c:pt idx="12">
                  <c:v>S.U.A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</c:strCache>
            </c:strRef>
          </c:cat>
          <c:val>
            <c:numRef>
              <c:f>'Figura 11'!$B$25:$B$43</c:f>
              <c:numCache>
                <c:formatCode>#\ ##0,0</c:formatCode>
                <c:ptCount val="19"/>
                <c:pt idx="0">
                  <c:v>12.827983496881695</c:v>
                </c:pt>
                <c:pt idx="1">
                  <c:v>13.658947779317634</c:v>
                </c:pt>
                <c:pt idx="2">
                  <c:v>9.6609193634095583</c:v>
                </c:pt>
                <c:pt idx="3">
                  <c:v>9.6467434466361244</c:v>
                </c:pt>
                <c:pt idx="4">
                  <c:v>7.9748934071398647</c:v>
                </c:pt>
                <c:pt idx="5">
                  <c:v>6.8115736089088994</c:v>
                </c:pt>
                <c:pt idx="6">
                  <c:v>7.1638266004850264</c:v>
                </c:pt>
                <c:pt idx="7">
                  <c:v>3.2237803317483653</c:v>
                </c:pt>
                <c:pt idx="8">
                  <c:v>2.3665489344401927</c:v>
                </c:pt>
                <c:pt idx="9">
                  <c:v>2.5164263517273828</c:v>
                </c:pt>
                <c:pt idx="10">
                  <c:v>2.0420533065084432</c:v>
                </c:pt>
                <c:pt idx="11">
                  <c:v>1.3508232072896391</c:v>
                </c:pt>
                <c:pt idx="12">
                  <c:v>1.4046718226799633</c:v>
                </c:pt>
                <c:pt idx="13">
                  <c:v>1.9633285475191595</c:v>
                </c:pt>
                <c:pt idx="14">
                  <c:v>1.2488461646163458</c:v>
                </c:pt>
                <c:pt idx="15">
                  <c:v>1.4649280399435736</c:v>
                </c:pt>
                <c:pt idx="16">
                  <c:v>1.0651593814014573</c:v>
                </c:pt>
                <c:pt idx="17">
                  <c:v>0.71742796998191782</c:v>
                </c:pt>
                <c:pt idx="18">
                  <c:v>1.5949527358702202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D-4027-9176-5A5FABFE2538}"/>
            </c:ext>
          </c:extLst>
        </c:ser>
        <c:ser>
          <c:idx val="1"/>
          <c:order val="1"/>
          <c:tx>
            <c:strRef>
              <c:f>'Figura 11'!$C$24</c:f>
              <c:strCache>
                <c:ptCount val="1"/>
                <c:pt idx="0">
                  <c:v>Ianuarie - septembrie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11'!$A$25:$A$43</c:f>
              <c:strCache>
                <c:ptCount val="19"/>
                <c:pt idx="0">
                  <c:v>Federaţia Rusă</c:v>
                </c:pt>
                <c:pt idx="1">
                  <c:v>România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Belarus</c:v>
                </c:pt>
                <c:pt idx="10">
                  <c:v>Ungaria</c:v>
                </c:pt>
                <c:pt idx="11">
                  <c:v>Republica Cehă</c:v>
                </c:pt>
                <c:pt idx="12">
                  <c:v>S.U.A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</c:strCache>
            </c:strRef>
          </c:cat>
          <c:val>
            <c:numRef>
              <c:f>'Figura 11'!$C$25:$C$43</c:f>
              <c:numCache>
                <c:formatCode>#\ ##0,0</c:formatCode>
                <c:ptCount val="19"/>
                <c:pt idx="0">
                  <c:v>11.208992172255204</c:v>
                </c:pt>
                <c:pt idx="1">
                  <c:v>14.390718086154109</c:v>
                </c:pt>
                <c:pt idx="2">
                  <c:v>10.271673617281021</c:v>
                </c:pt>
                <c:pt idx="3">
                  <c:v>10.907753356618853</c:v>
                </c:pt>
                <c:pt idx="4">
                  <c:v>8.1374373399452118</c:v>
                </c:pt>
                <c:pt idx="5">
                  <c:v>6.2747804112409389</c:v>
                </c:pt>
                <c:pt idx="6">
                  <c:v>7.0532560657409924</c:v>
                </c:pt>
                <c:pt idx="7">
                  <c:v>3.3708321943437736</c:v>
                </c:pt>
                <c:pt idx="8">
                  <c:v>2.4635663332462063</c:v>
                </c:pt>
                <c:pt idx="9">
                  <c:v>2.4473976627585721</c:v>
                </c:pt>
                <c:pt idx="10">
                  <c:v>2.1066369579277016</c:v>
                </c:pt>
                <c:pt idx="11">
                  <c:v>1.3846135503707921</c:v>
                </c:pt>
                <c:pt idx="12">
                  <c:v>1.6082055284989369</c:v>
                </c:pt>
                <c:pt idx="13">
                  <c:v>1.6887077434750042</c:v>
                </c:pt>
                <c:pt idx="14">
                  <c:v>1.2664876648070489</c:v>
                </c:pt>
                <c:pt idx="15">
                  <c:v>1.5391806789867253</c:v>
                </c:pt>
                <c:pt idx="16">
                  <c:v>0.9854261318747618</c:v>
                </c:pt>
                <c:pt idx="17">
                  <c:v>0.71815424966193353</c:v>
                </c:pt>
                <c:pt idx="18">
                  <c:v>1.2276665714548469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D-4027-9176-5A5FABFE2538}"/>
            </c:ext>
          </c:extLst>
        </c:ser>
        <c:ser>
          <c:idx val="2"/>
          <c:order val="2"/>
          <c:tx>
            <c:strRef>
              <c:f>'Figura 11'!$D$24</c:f>
              <c:strCache>
                <c:ptCount val="1"/>
                <c:pt idx="0">
                  <c:v>Ianuarie - septembrie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11'!$A$25:$A$43</c:f>
              <c:strCache>
                <c:ptCount val="19"/>
                <c:pt idx="0">
                  <c:v>Federaţia Rusă</c:v>
                </c:pt>
                <c:pt idx="1">
                  <c:v>România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Belarus</c:v>
                </c:pt>
                <c:pt idx="10">
                  <c:v>Ungaria</c:v>
                </c:pt>
                <c:pt idx="11">
                  <c:v>Republica Cehă</c:v>
                </c:pt>
                <c:pt idx="12">
                  <c:v>S.U.A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</c:strCache>
            </c:strRef>
          </c:cat>
          <c:val>
            <c:numRef>
              <c:f>'Figura 11'!$D$25:$D$43</c:f>
              <c:numCache>
                <c:formatCode>#\ ##0,0</c:formatCode>
                <c:ptCount val="19"/>
                <c:pt idx="0">
                  <c:v>11.63814233016303</c:v>
                </c:pt>
                <c:pt idx="1">
                  <c:v>14.871656310271769</c:v>
                </c:pt>
                <c:pt idx="2">
                  <c:v>10.486139967137531</c:v>
                </c:pt>
                <c:pt idx="3">
                  <c:v>10.03950666272342</c:v>
                </c:pt>
                <c:pt idx="4">
                  <c:v>8.4802606852982763</c:v>
                </c:pt>
                <c:pt idx="5">
                  <c:v>5.7222828171582609</c:v>
                </c:pt>
                <c:pt idx="6">
                  <c:v>6.9306003071197759</c:v>
                </c:pt>
                <c:pt idx="7">
                  <c:v>3.4973886038373099</c:v>
                </c:pt>
                <c:pt idx="8">
                  <c:v>2.4737088428094096</c:v>
                </c:pt>
                <c:pt idx="9">
                  <c:v>2.1358825172124321</c:v>
                </c:pt>
                <c:pt idx="10">
                  <c:v>2.0586085831497751</c:v>
                </c:pt>
                <c:pt idx="11">
                  <c:v>1.476052472160515</c:v>
                </c:pt>
                <c:pt idx="12">
                  <c:v>1.291805565390588</c:v>
                </c:pt>
                <c:pt idx="13">
                  <c:v>1.8456067617989464</c:v>
                </c:pt>
                <c:pt idx="14">
                  <c:v>1.3535802487354964</c:v>
                </c:pt>
                <c:pt idx="15">
                  <c:v>1.1457885713851967</c:v>
                </c:pt>
                <c:pt idx="16">
                  <c:v>1.0491489432351055</c:v>
                </c:pt>
                <c:pt idx="17">
                  <c:v>0.96895400475048721</c:v>
                </c:pt>
                <c:pt idx="18">
                  <c:v>1.0410973449363365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D-4027-9176-5A5FABFE2538}"/>
            </c:ext>
          </c:extLst>
        </c:ser>
        <c:ser>
          <c:idx val="3"/>
          <c:order val="3"/>
          <c:tx>
            <c:strRef>
              <c:f>'Figura 11'!$E$24</c:f>
              <c:strCache>
                <c:ptCount val="1"/>
                <c:pt idx="0">
                  <c:v> Ianuarie - septembrie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11'!$A$25:$A$43</c:f>
              <c:strCache>
                <c:ptCount val="19"/>
                <c:pt idx="0">
                  <c:v>Federaţia Rusă</c:v>
                </c:pt>
                <c:pt idx="1">
                  <c:v>România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Belarus</c:v>
                </c:pt>
                <c:pt idx="10">
                  <c:v>Ungaria</c:v>
                </c:pt>
                <c:pt idx="11">
                  <c:v>Republica Cehă</c:v>
                </c:pt>
                <c:pt idx="12">
                  <c:v>S.U.A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</c:strCache>
            </c:strRef>
          </c:cat>
          <c:val>
            <c:numRef>
              <c:f>'Figura 11'!$E$25:$E$43</c:f>
              <c:numCache>
                <c:formatCode>#\ ##0,0</c:formatCode>
                <c:ptCount val="19"/>
                <c:pt idx="0">
                  <c:v>11.535657569524224</c:v>
                </c:pt>
                <c:pt idx="1">
                  <c:v>14.629749910691142</c:v>
                </c:pt>
                <c:pt idx="2">
                  <c:v>10.221759736639816</c:v>
                </c:pt>
                <c:pt idx="3">
                  <c:v>9.9488298542240798</c:v>
                </c:pt>
                <c:pt idx="4">
                  <c:v>8.3776649691722884</c:v>
                </c:pt>
                <c:pt idx="5">
                  <c:v>6.5849758343793248</c:v>
                </c:pt>
                <c:pt idx="6">
                  <c:v>6.8826919694729538</c:v>
                </c:pt>
                <c:pt idx="7">
                  <c:v>3.4278214284183881</c:v>
                </c:pt>
                <c:pt idx="8">
                  <c:v>2.4917328051396441</c:v>
                </c:pt>
                <c:pt idx="9">
                  <c:v>2.2728934807137522</c:v>
                </c:pt>
                <c:pt idx="10">
                  <c:v>1.977904820433692</c:v>
                </c:pt>
                <c:pt idx="11">
                  <c:v>1.9363927006711246</c:v>
                </c:pt>
                <c:pt idx="12">
                  <c:v>1.3161124943836295</c:v>
                </c:pt>
                <c:pt idx="13">
                  <c:v>1.6620266937688304</c:v>
                </c:pt>
                <c:pt idx="14">
                  <c:v>1.4266167840932704</c:v>
                </c:pt>
                <c:pt idx="15">
                  <c:v>1.0211121685549536</c:v>
                </c:pt>
                <c:pt idx="16">
                  <c:v>1.0111256623758003</c:v>
                </c:pt>
                <c:pt idx="17">
                  <c:v>0.86023624351095129</c:v>
                </c:pt>
                <c:pt idx="18">
                  <c:v>1.0058493252128846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5D-4027-9176-5A5FABFE2538}"/>
            </c:ext>
          </c:extLst>
        </c:ser>
        <c:ser>
          <c:idx val="4"/>
          <c:order val="4"/>
          <c:tx>
            <c:strRef>
              <c:f>'Figura 11'!$F$24</c:f>
              <c:strCache>
                <c:ptCount val="1"/>
                <c:pt idx="0">
                  <c:v>Ianuarie - septembrie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11'!$A$25:$A$43</c:f>
              <c:strCache>
                <c:ptCount val="19"/>
                <c:pt idx="0">
                  <c:v>Federaţia Rusă</c:v>
                </c:pt>
                <c:pt idx="1">
                  <c:v>România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Belarus</c:v>
                </c:pt>
                <c:pt idx="10">
                  <c:v>Ungaria</c:v>
                </c:pt>
                <c:pt idx="11">
                  <c:v>Republica Cehă</c:v>
                </c:pt>
                <c:pt idx="12">
                  <c:v>S.U.A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</c:strCache>
            </c:strRef>
          </c:cat>
          <c:val>
            <c:numRef>
              <c:f>'Figura 11'!$F$25:$F$43</c:f>
              <c:numCache>
                <c:formatCode>0,0</c:formatCode>
                <c:ptCount val="19"/>
                <c:pt idx="0">
                  <c:v>11.140161088945504</c:v>
                </c:pt>
                <c:pt idx="1">
                  <c:v>11.894888801024758</c:v>
                </c:pt>
                <c:pt idx="2">
                  <c:v>11.689901067330469</c:v>
                </c:pt>
                <c:pt idx="3">
                  <c:v>9.9623665673458603</c:v>
                </c:pt>
                <c:pt idx="4">
                  <c:v>8.2886475834416089</c:v>
                </c:pt>
                <c:pt idx="5">
                  <c:v>6.8475716924666017</c:v>
                </c:pt>
                <c:pt idx="6">
                  <c:v>6.4850831041400783</c:v>
                </c:pt>
                <c:pt idx="7">
                  <c:v>3.990494830321937</c:v>
                </c:pt>
                <c:pt idx="8">
                  <c:v>2.3407109571451632</c:v>
                </c:pt>
                <c:pt idx="9">
                  <c:v>2.1168797687640928</c:v>
                </c:pt>
                <c:pt idx="10">
                  <c:v>1.9361359979274022</c:v>
                </c:pt>
                <c:pt idx="11">
                  <c:v>1.6981114800269377</c:v>
                </c:pt>
                <c:pt idx="12">
                  <c:v>1.277910380950446</c:v>
                </c:pt>
                <c:pt idx="13">
                  <c:v>1.1053953854090415</c:v>
                </c:pt>
                <c:pt idx="14">
                  <c:v>1.4397384021714157</c:v>
                </c:pt>
                <c:pt idx="15">
                  <c:v>1.1785357856043901</c:v>
                </c:pt>
                <c:pt idx="16">
                  <c:v>1.0568017047773226</c:v>
                </c:pt>
                <c:pt idx="17">
                  <c:v>1.0115551781087664</c:v>
                </c:pt>
                <c:pt idx="18">
                  <c:v>0.89932493123233981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D-4027-9176-5A5FABFE2538}"/>
            </c:ext>
          </c:extLst>
        </c:ser>
        <c:ser>
          <c:idx val="5"/>
          <c:order val="5"/>
          <c:tx>
            <c:strRef>
              <c:f>'Figura 11'!$G$24</c:f>
              <c:strCache>
                <c:ptCount val="1"/>
                <c:pt idx="0">
                  <c:v>Ianuarie - septembrie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11'!$A$25:$A$43</c:f>
              <c:strCache>
                <c:ptCount val="19"/>
                <c:pt idx="0">
                  <c:v>Federaţia Rusă</c:v>
                </c:pt>
                <c:pt idx="1">
                  <c:v>România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Belarus</c:v>
                </c:pt>
                <c:pt idx="10">
                  <c:v>Ungaria</c:v>
                </c:pt>
                <c:pt idx="11">
                  <c:v>Republica Cehă</c:v>
                </c:pt>
                <c:pt idx="12">
                  <c:v>S.U.A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</c:strCache>
            </c:strRef>
          </c:cat>
          <c:val>
            <c:numRef>
              <c:f>'Figura 11'!$G$25:$G$43</c:f>
              <c:numCache>
                <c:formatCode>0,0</c:formatCode>
                <c:ptCount val="19"/>
                <c:pt idx="0">
                  <c:v>12.485844275219</c:v>
                </c:pt>
                <c:pt idx="1">
                  <c:v>12.022313860063374</c:v>
                </c:pt>
                <c:pt idx="2">
                  <c:v>11.772695982752538</c:v>
                </c:pt>
                <c:pt idx="3">
                  <c:v>9.3433477642364338</c:v>
                </c:pt>
                <c:pt idx="4">
                  <c:v>7.969160093584712</c:v>
                </c:pt>
                <c:pt idx="5">
                  <c:v>7.4434660978738476</c:v>
                </c:pt>
                <c:pt idx="6">
                  <c:v>6.4752889059590908</c:v>
                </c:pt>
                <c:pt idx="7">
                  <c:v>3.783057932916436</c:v>
                </c:pt>
                <c:pt idx="8">
                  <c:v>2.5273054513556423</c:v>
                </c:pt>
                <c:pt idx="9">
                  <c:v>1.9129130505948178</c:v>
                </c:pt>
                <c:pt idx="10">
                  <c:v>1.8099249821564807</c:v>
                </c:pt>
                <c:pt idx="11">
                  <c:v>1.6799402228001221</c:v>
                </c:pt>
                <c:pt idx="12">
                  <c:v>1.5391463400533421</c:v>
                </c:pt>
                <c:pt idx="13">
                  <c:v>1.489627213075059</c:v>
                </c:pt>
                <c:pt idx="14">
                  <c:v>1.3668561621999995</c:v>
                </c:pt>
                <c:pt idx="15">
                  <c:v>1.2403042398129049</c:v>
                </c:pt>
                <c:pt idx="16">
                  <c:v>1.0812713069745583</c:v>
                </c:pt>
                <c:pt idx="17">
                  <c:v>0.96112804492542903</c:v>
                </c:pt>
                <c:pt idx="18">
                  <c:v>0.91501225731618829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5D-4027-9176-5A5FABFE2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760256"/>
        <c:axId val="185760816"/>
      </c:barChart>
      <c:catAx>
        <c:axId val="18576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5760816"/>
        <c:crosses val="autoZero"/>
        <c:auto val="1"/>
        <c:lblAlgn val="ctr"/>
        <c:lblOffset val="100"/>
        <c:noMultiLvlLbl val="0"/>
      </c:catAx>
      <c:valAx>
        <c:axId val="185760816"/>
        <c:scaling>
          <c:orientation val="minMax"/>
        </c:scaling>
        <c:delete val="0"/>
        <c:axPos val="l"/>
        <c:numFmt formatCode="0,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5760256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5.5372893709763699E-2"/>
          <c:y val="0.88698045332192899"/>
          <c:w val="0.87062830552473691"/>
          <c:h val="0.110805765892681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 baseline="0">
                <a:solidFill>
                  <a:sysClr val="windowText" lastClr="000000"/>
                </a:solidFill>
              </a:rPr>
              <a:t>Ianuarie-</a:t>
            </a:r>
            <a:r>
              <a:rPr lang="en-US" sz="900" b="1" baseline="0">
                <a:solidFill>
                  <a:sysClr val="windowText" lastClr="000000"/>
                </a:solidFill>
              </a:rPr>
              <a:t>septembrie </a:t>
            </a:r>
            <a:r>
              <a:rPr lang="ro-RO" sz="900" b="1" baseline="0">
                <a:solidFill>
                  <a:sysClr val="windowText" lastClr="000000"/>
                </a:solidFill>
              </a:rPr>
              <a:t> 2020</a:t>
            </a:r>
            <a:endParaRPr lang="en-US" sz="900" b="1" baseline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2778009306213773"/>
          <c:y val="2.71202194646437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934465480216228"/>
          <c:y val="0.23413635579289613"/>
          <c:w val="0.53320872274143305"/>
          <c:h val="0.59637630662020902"/>
        </c:manualLayout>
      </c:layout>
      <c:pieChart>
        <c:varyColors val="1"/>
        <c:ser>
          <c:idx val="0"/>
          <c:order val="0"/>
          <c:tx>
            <c:strRef>
              <c:f>'Figura 12'!$B$23</c:f>
              <c:strCache>
                <c:ptCount val="1"/>
                <c:pt idx="0">
                  <c:v>%</c:v>
                </c:pt>
              </c:strCache>
            </c:strRef>
          </c:tx>
          <c:spPr>
            <a:ln>
              <a:noFill/>
            </a:ln>
            <a:effectLst/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631-4CA1-BC5D-E5ED86221948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631-4CA1-BC5D-E5ED86221948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631-4CA1-BC5D-E5ED86221948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631-4CA1-BC5D-E5ED86221948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631-4CA1-BC5D-E5ED86221948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631-4CA1-BC5D-E5ED86221948}"/>
              </c:ext>
            </c:extLst>
          </c:dPt>
          <c:dPt>
            <c:idx val="6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631-4CA1-BC5D-E5ED86221948}"/>
              </c:ext>
            </c:extLst>
          </c:dPt>
          <c:dPt>
            <c:idx val="7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631-4CA1-BC5D-E5ED86221948}"/>
              </c:ext>
            </c:extLst>
          </c:dPt>
          <c:dPt>
            <c:idx val="8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631-4CA1-BC5D-E5ED86221948}"/>
              </c:ext>
            </c:extLst>
          </c:dPt>
          <c:dLbls>
            <c:dLbl>
              <c:idx val="0"/>
              <c:layout>
                <c:manualLayout>
                  <c:x val="-9.0102835506217574E-2"/>
                  <c:y val="-9.63203123084377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636990048375101"/>
                      <c:h val="0.134473730651240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631-4CA1-BC5D-E5ED86221948}"/>
                </c:ext>
              </c:extLst>
            </c:dLbl>
            <c:dLbl>
              <c:idx val="1"/>
              <c:layout>
                <c:manualLayout>
                  <c:x val="-1.9468058295992834E-3"/>
                  <c:y val="8.355438719242547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31-4CA1-BC5D-E5ED86221948}"/>
                </c:ext>
              </c:extLst>
            </c:dLbl>
            <c:dLbl>
              <c:idx val="2"/>
              <c:layout>
                <c:manualLayout>
                  <c:x val="2.8491274656241742E-2"/>
                  <c:y val="0.11548629489097074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93846433935637"/>
                      <c:h val="0.180175165904289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631-4CA1-BC5D-E5ED86221948}"/>
                </c:ext>
              </c:extLst>
            </c:dLbl>
            <c:dLbl>
              <c:idx val="3"/>
              <c:layout>
                <c:manualLayout>
                  <c:x val="-1.5408729646499105E-3"/>
                  <c:y val="9.47499981869035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31-4CA1-BC5D-E5ED86221948}"/>
                </c:ext>
              </c:extLst>
            </c:dLbl>
            <c:dLbl>
              <c:idx val="4"/>
              <c:layout>
                <c:manualLayout>
                  <c:x val="-1.4014149870610436E-2"/>
                  <c:y val="0.108863658262072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31-4CA1-BC5D-E5ED86221948}"/>
                </c:ext>
              </c:extLst>
            </c:dLbl>
            <c:dLbl>
              <c:idx val="5"/>
              <c:layout>
                <c:manualLayout>
                  <c:x val="-5.7024347366415262E-2"/>
                  <c:y val="6.49941514691778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31-4CA1-BC5D-E5ED86221948}"/>
                </c:ext>
              </c:extLst>
            </c:dLbl>
            <c:dLbl>
              <c:idx val="6"/>
              <c:layout>
                <c:manualLayout>
                  <c:x val="7.6693528063090474E-2"/>
                  <c:y val="1.36465719182801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31-4CA1-BC5D-E5ED86221948}"/>
                </c:ext>
              </c:extLst>
            </c:dLbl>
            <c:dLbl>
              <c:idx val="7"/>
              <c:layout>
                <c:manualLayout>
                  <c:x val="-3.3426149600152442E-3"/>
                  <c:y val="-1.37667543054132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631-4CA1-BC5D-E5ED86221948}"/>
                </c:ext>
              </c:extLst>
            </c:dLbl>
            <c:dLbl>
              <c:idx val="8"/>
              <c:layout>
                <c:manualLayout>
                  <c:x val="-3.124207834676403E-2"/>
                  <c:y val="5.59103660417067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631-4CA1-BC5D-E5ED86221948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accent3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12'!$A$24:$A$32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</c:v>
                </c:pt>
                <c:pt idx="5">
                  <c:v>Produse chimice 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12'!$B$24:$B$32</c:f>
              <c:numCache>
                <c:formatCode>0,0</c:formatCode>
                <c:ptCount val="9"/>
                <c:pt idx="0">
                  <c:v>12.1</c:v>
                </c:pt>
                <c:pt idx="1">
                  <c:v>2</c:v>
                </c:pt>
                <c:pt idx="2">
                  <c:v>2.7</c:v>
                </c:pt>
                <c:pt idx="3">
                  <c:v>11.1</c:v>
                </c:pt>
                <c:pt idx="4">
                  <c:v>0.2</c:v>
                </c:pt>
                <c:pt idx="5">
                  <c:v>15.9</c:v>
                </c:pt>
                <c:pt idx="6">
                  <c:v>19.8</c:v>
                </c:pt>
                <c:pt idx="7">
                  <c:v>25.6</c:v>
                </c:pt>
                <c:pt idx="8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631-4CA1-BC5D-E5ED8622194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Ianuarie-</a:t>
            </a:r>
            <a:r>
              <a:rPr lang="en-US" sz="9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septembrie</a:t>
            </a:r>
            <a:r>
              <a:rPr lang="ro-RO" sz="9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2021</a:t>
            </a:r>
            <a:endParaRPr lang="en-US" sz="9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9165106574067623"/>
          <c:y val="2.4873178599132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8202963657756"/>
          <c:y val="0.21269788644840448"/>
          <c:w val="0.53843885501773103"/>
          <c:h val="0.64572178477690301"/>
        </c:manualLayout>
      </c:layout>
      <c:pieChart>
        <c:varyColors val="1"/>
        <c:ser>
          <c:idx val="0"/>
          <c:order val="0"/>
          <c:tx>
            <c:strRef>
              <c:f>'Figura 12'!$B$34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D3-4FE3-A741-BA04960B805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D3-4FE3-A741-BA04960B805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D3-4FE3-A741-BA04960B805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D3-4FE3-A741-BA04960B805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D3-4FE3-A741-BA04960B805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D3-4FE3-A741-BA04960B805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3D3-4FE3-A741-BA04960B805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3D3-4FE3-A741-BA04960B805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3D3-4FE3-A741-BA04960B8052}"/>
              </c:ext>
            </c:extLst>
          </c:dPt>
          <c:dLbls>
            <c:dLbl>
              <c:idx val="0"/>
              <c:layout>
                <c:manualLayout>
                  <c:x val="-3.2464791458589798E-2"/>
                  <c:y val="2.3430742121447166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2509246796740038"/>
                      <c:h val="0.145537222194706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3D3-4FE3-A741-BA04960B8052}"/>
                </c:ext>
              </c:extLst>
            </c:dLbl>
            <c:dLbl>
              <c:idx val="1"/>
              <c:layout>
                <c:manualLayout>
                  <c:x val="4.9012302665706609E-2"/>
                  <c:y val="4.294226347599462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639185775759217"/>
                      <c:h val="0.114705267104769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3D3-4FE3-A741-BA04960B8052}"/>
                </c:ext>
              </c:extLst>
            </c:dLbl>
            <c:dLbl>
              <c:idx val="2"/>
              <c:layout>
                <c:manualLayout>
                  <c:x val="4.1846870911047482E-2"/>
                  <c:y val="0.134056603641964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9678535758251"/>
                      <c:h val="0.181441104085630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3D3-4FE3-A741-BA04960B8052}"/>
                </c:ext>
              </c:extLst>
            </c:dLbl>
            <c:dLbl>
              <c:idx val="3"/>
              <c:layout>
                <c:manualLayout>
                  <c:x val="-8.2264034464851581E-3"/>
                  <c:y val="0.107305619132857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59850747496687"/>
                      <c:h val="0.15480551773133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3D3-4FE3-A741-BA04960B8052}"/>
                </c:ext>
              </c:extLst>
            </c:dLbl>
            <c:dLbl>
              <c:idx val="4"/>
              <c:layout>
                <c:manualLayout>
                  <c:x val="4.9240799687273004E-2"/>
                  <c:y val="9.49671017150253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D3-4FE3-A741-BA04960B8052}"/>
                </c:ext>
              </c:extLst>
            </c:dLbl>
            <c:dLbl>
              <c:idx val="5"/>
              <c:layout>
                <c:manualLayout>
                  <c:x val="-3.1854023566203288E-2"/>
                  <c:y val="3.36727429619242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07936878027069"/>
                      <c:h val="0.136804828418019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3D3-4FE3-A741-BA04960B8052}"/>
                </c:ext>
              </c:extLst>
            </c:dLbl>
            <c:dLbl>
              <c:idx val="6"/>
              <c:layout>
                <c:manualLayout>
                  <c:x val="-4.4938013067515499E-2"/>
                  <c:y val="-3.56397186492204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32717893021995"/>
                      <c:h val="0.201345884396029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3D3-4FE3-A741-BA04960B8052}"/>
                </c:ext>
              </c:extLst>
            </c:dLbl>
            <c:dLbl>
              <c:idx val="7"/>
              <c:layout>
                <c:manualLayout>
                  <c:x val="1.5484790064958694E-7"/>
                  <c:y val="0.119018361897214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95807493089909"/>
                      <c:h val="0.247886309985545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3D3-4FE3-A741-BA04960B8052}"/>
                </c:ext>
              </c:extLst>
            </c:dLbl>
            <c:dLbl>
              <c:idx val="8"/>
              <c:layout>
                <c:manualLayout>
                  <c:x val="-4.6280476002446599E-2"/>
                  <c:y val="9.26901902460530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60826565958252"/>
                      <c:h val="0.201345884396029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3D3-4FE3-A741-BA04960B8052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12'!$A$35:$A$43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 </c:v>
                </c:pt>
                <c:pt idx="5">
                  <c:v>Produse chimice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12'!$B$35:$B$43</c:f>
              <c:numCache>
                <c:formatCode>0,0</c:formatCode>
                <c:ptCount val="9"/>
                <c:pt idx="0">
                  <c:v>10.8</c:v>
                </c:pt>
                <c:pt idx="1">
                  <c:v>1.9</c:v>
                </c:pt>
                <c:pt idx="2">
                  <c:v>2.9</c:v>
                </c:pt>
                <c:pt idx="3">
                  <c:v>12.8</c:v>
                </c:pt>
                <c:pt idx="4">
                  <c:v>0.2</c:v>
                </c:pt>
                <c:pt idx="5">
                  <c:v>15</c:v>
                </c:pt>
                <c:pt idx="6">
                  <c:v>19</c:v>
                </c:pt>
                <c:pt idx="7">
                  <c:v>25.6</c:v>
                </c:pt>
                <c:pt idx="8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3D3-4FE3-A741-BA04960B8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39292310683395E-2"/>
          <c:y val="8.3241273945234451E-2"/>
          <c:w val="0.93642881088462071"/>
          <c:h val="0.70397265640302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13'!$B$22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13'!$B$23:$B$28</c:f>
              <c:numCache>
                <c:formatCode>#\ ##0,0</c:formatCode>
                <c:ptCount val="6"/>
                <c:pt idx="0">
                  <c:v>-90.5</c:v>
                </c:pt>
                <c:pt idx="1">
                  <c:v>-127.3</c:v>
                </c:pt>
                <c:pt idx="2">
                  <c:v>-154</c:v>
                </c:pt>
                <c:pt idx="3">
                  <c:v>-138.30000000000001</c:v>
                </c:pt>
                <c:pt idx="4">
                  <c:v>-160.30000000000001</c:v>
                </c:pt>
                <c:pt idx="5">
                  <c:v>-201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33-4221-BB37-7103809F1204}"/>
            </c:ext>
          </c:extLst>
        </c:ser>
        <c:ser>
          <c:idx val="2"/>
          <c:order val="1"/>
          <c:tx>
            <c:strRef>
              <c:f>'Figura 13'!$C$22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13'!$C$23:$C$28</c:f>
              <c:numCache>
                <c:formatCode>#\ ##0,0</c:formatCode>
                <c:ptCount val="6"/>
                <c:pt idx="0">
                  <c:v>-148.5</c:v>
                </c:pt>
                <c:pt idx="1">
                  <c:v>-156.1</c:v>
                </c:pt>
                <c:pt idx="2">
                  <c:v>-212.1</c:v>
                </c:pt>
                <c:pt idx="3">
                  <c:v>-217.9</c:v>
                </c:pt>
                <c:pt idx="4">
                  <c:v>-239.5</c:v>
                </c:pt>
                <c:pt idx="5">
                  <c:v>-294.39999999999998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3-4221-BB37-7103809F1204}"/>
            </c:ext>
          </c:extLst>
        </c:ser>
        <c:ser>
          <c:idx val="3"/>
          <c:order val="2"/>
          <c:tx>
            <c:strRef>
              <c:f>'Figura 13'!$D$22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13'!$D$23:$D$28</c:f>
              <c:numCache>
                <c:formatCode>#\ ##0,0</c:formatCode>
                <c:ptCount val="6"/>
                <c:pt idx="0">
                  <c:v>-205.5</c:v>
                </c:pt>
                <c:pt idx="1">
                  <c:v>-219.1</c:v>
                </c:pt>
                <c:pt idx="2">
                  <c:v>-282</c:v>
                </c:pt>
                <c:pt idx="3">
                  <c:v>-276.60000000000002</c:v>
                </c:pt>
                <c:pt idx="4">
                  <c:v>-290.3</c:v>
                </c:pt>
                <c:pt idx="5">
                  <c:v>-370.8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33-4221-BB37-7103809F1204}"/>
            </c:ext>
          </c:extLst>
        </c:ser>
        <c:ser>
          <c:idx val="4"/>
          <c:order val="3"/>
          <c:tx>
            <c:strRef>
              <c:f>'Figura 13'!$E$22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13'!$E$23:$E$28</c:f>
              <c:numCache>
                <c:formatCode>#\ ##0,0</c:formatCode>
                <c:ptCount val="6"/>
                <c:pt idx="0">
                  <c:v>-176.4</c:v>
                </c:pt>
                <c:pt idx="1">
                  <c:v>-207.3</c:v>
                </c:pt>
                <c:pt idx="2">
                  <c:v>-244.9</c:v>
                </c:pt>
                <c:pt idx="3">
                  <c:v>-300</c:v>
                </c:pt>
                <c:pt idx="4">
                  <c:v>-135.80000000000001</c:v>
                </c:pt>
                <c:pt idx="5">
                  <c:v>-344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33-4221-BB37-7103809F1204}"/>
            </c:ext>
          </c:extLst>
        </c:ser>
        <c:ser>
          <c:idx val="5"/>
          <c:order val="4"/>
          <c:tx>
            <c:strRef>
              <c:f>'Figura 13'!$F$22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13'!$F$23:$F$28</c:f>
              <c:numCache>
                <c:formatCode>#\ ##0,0</c:formatCode>
                <c:ptCount val="6"/>
                <c:pt idx="0">
                  <c:v>-174.7</c:v>
                </c:pt>
                <c:pt idx="1">
                  <c:v>-225.7</c:v>
                </c:pt>
                <c:pt idx="2">
                  <c:v>-282.60000000000002</c:v>
                </c:pt>
                <c:pt idx="3">
                  <c:v>-271.10000000000002</c:v>
                </c:pt>
                <c:pt idx="4">
                  <c:v>-173.7</c:v>
                </c:pt>
                <c:pt idx="5">
                  <c:v>-361.7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33-4221-BB37-7103809F1204}"/>
            </c:ext>
          </c:extLst>
        </c:ser>
        <c:ser>
          <c:idx val="6"/>
          <c:order val="5"/>
          <c:tx>
            <c:strRef>
              <c:f>'Figura 13'!$G$22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13'!$G$23:$G$28</c:f>
              <c:numCache>
                <c:formatCode>#\ ##0,0</c:formatCode>
                <c:ptCount val="6"/>
                <c:pt idx="0">
                  <c:v>-167.2</c:v>
                </c:pt>
                <c:pt idx="1">
                  <c:v>-217.7</c:v>
                </c:pt>
                <c:pt idx="2">
                  <c:v>-244.6</c:v>
                </c:pt>
                <c:pt idx="3">
                  <c:v>-243.2</c:v>
                </c:pt>
                <c:pt idx="4">
                  <c:v>-223.9</c:v>
                </c:pt>
                <c:pt idx="5">
                  <c:v>-362.8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33-4221-BB37-7103809F1204}"/>
            </c:ext>
          </c:extLst>
        </c:ser>
        <c:ser>
          <c:idx val="7"/>
          <c:order val="6"/>
          <c:tx>
            <c:strRef>
              <c:f>'Figura 13'!$H$22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13'!$H$23:$H$28</c:f>
              <c:numCache>
                <c:formatCode>#\ ##0,0</c:formatCode>
                <c:ptCount val="6"/>
                <c:pt idx="0">
                  <c:v>-148.5</c:v>
                </c:pt>
                <c:pt idx="1">
                  <c:v>-205.3</c:v>
                </c:pt>
                <c:pt idx="2">
                  <c:v>-269.2</c:v>
                </c:pt>
                <c:pt idx="3">
                  <c:v>-278.89999999999998</c:v>
                </c:pt>
                <c:pt idx="4">
                  <c:v>-305.5</c:v>
                </c:pt>
                <c:pt idx="5">
                  <c:v>-321.3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33-4221-BB37-7103809F1204}"/>
            </c:ext>
          </c:extLst>
        </c:ser>
        <c:ser>
          <c:idx val="8"/>
          <c:order val="7"/>
          <c:tx>
            <c:strRef>
              <c:f>'Figura 13'!$I$22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13'!$I$23:$I$28</c:f>
              <c:numCache>
                <c:formatCode>#\ ##0,0</c:formatCode>
                <c:ptCount val="6"/>
                <c:pt idx="0">
                  <c:v>-183.1</c:v>
                </c:pt>
                <c:pt idx="1">
                  <c:v>-221.8</c:v>
                </c:pt>
                <c:pt idx="2">
                  <c:v>-262.10000000000002</c:v>
                </c:pt>
                <c:pt idx="3">
                  <c:v>-258.5</c:v>
                </c:pt>
                <c:pt idx="4">
                  <c:v>-269.7</c:v>
                </c:pt>
                <c:pt idx="5">
                  <c:v>-338.7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33-4221-BB37-7103809F1204}"/>
            </c:ext>
          </c:extLst>
        </c:ser>
        <c:ser>
          <c:idx val="9"/>
          <c:order val="8"/>
          <c:tx>
            <c:strRef>
              <c:f>'Figura 13'!$J$22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13'!$J$23:$J$28</c:f>
              <c:numCache>
                <c:formatCode>#\ ##0,0</c:formatCode>
                <c:ptCount val="6"/>
                <c:pt idx="0">
                  <c:v>-168</c:v>
                </c:pt>
                <c:pt idx="1">
                  <c:v>-206.9</c:v>
                </c:pt>
                <c:pt idx="2">
                  <c:v>-266.7</c:v>
                </c:pt>
                <c:pt idx="3">
                  <c:v>-262.89999999999998</c:v>
                </c:pt>
                <c:pt idx="4">
                  <c:v>-296</c:v>
                </c:pt>
                <c:pt idx="5">
                  <c:v>-374.8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33-4221-BB37-7103809F1204}"/>
            </c:ext>
          </c:extLst>
        </c:ser>
        <c:ser>
          <c:idx val="10"/>
          <c:order val="9"/>
          <c:tx>
            <c:strRef>
              <c:f>'Figura 13'!$K$22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13'!$K$23:$K$28</c:f>
              <c:numCache>
                <c:formatCode>#\ ##0,0</c:formatCode>
                <c:ptCount val="6"/>
                <c:pt idx="0">
                  <c:v>-179.4</c:v>
                </c:pt>
                <c:pt idx="1">
                  <c:v>-197.7</c:v>
                </c:pt>
                <c:pt idx="2">
                  <c:v>-281.60000000000002</c:v>
                </c:pt>
                <c:pt idx="3">
                  <c:v>-257</c:v>
                </c:pt>
                <c:pt idx="4">
                  <c:v>-244.2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33-4221-BB37-7103809F1204}"/>
            </c:ext>
          </c:extLst>
        </c:ser>
        <c:ser>
          <c:idx val="11"/>
          <c:order val="10"/>
          <c:tx>
            <c:strRef>
              <c:f>'Figura 13'!$L$22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13'!$L$23:$L$28</c:f>
              <c:numCache>
                <c:formatCode>#\ ##0,0</c:formatCode>
                <c:ptCount val="6"/>
                <c:pt idx="0">
                  <c:v>-135.9</c:v>
                </c:pt>
                <c:pt idx="1">
                  <c:v>-183.2</c:v>
                </c:pt>
                <c:pt idx="2">
                  <c:v>-253.70000000000005</c:v>
                </c:pt>
                <c:pt idx="3">
                  <c:v>-237.5</c:v>
                </c:pt>
                <c:pt idx="4">
                  <c:v>-260.89999999999998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733-4221-BB37-7103809F1204}"/>
            </c:ext>
          </c:extLst>
        </c:ser>
        <c:ser>
          <c:idx val="12"/>
          <c:order val="11"/>
          <c:tx>
            <c:strRef>
              <c:f>'Figura 13'!$M$22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13'!$M$23:$M$28</c:f>
              <c:numCache>
                <c:formatCode>#\ ##0,0</c:formatCode>
                <c:ptCount val="6"/>
                <c:pt idx="0">
                  <c:v>-197.9</c:v>
                </c:pt>
                <c:pt idx="1">
                  <c:v>-238.3</c:v>
                </c:pt>
                <c:pt idx="2">
                  <c:v>-300.49999999999994</c:v>
                </c:pt>
                <c:pt idx="3">
                  <c:v>-321.39999999999998</c:v>
                </c:pt>
                <c:pt idx="4">
                  <c:v>-349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1-46B9-BC71-3BBF0CA16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56901776"/>
        <c:axId val="256902336"/>
      </c:barChart>
      <c:catAx>
        <c:axId val="25690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2225" cap="flat" cmpd="sng" algn="ctr">
            <a:gradFill>
              <a:gsLst>
                <a:gs pos="0">
                  <a:schemeClr val="tx1">
                    <a:alpha val="98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6902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6902336"/>
        <c:scaling>
          <c:orientation val="minMax"/>
          <c:min val="-4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690177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egendEntry>
        <c:idx val="7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095502632723057"/>
          <c:w val="1"/>
          <c:h val="7.3858659458612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62778414308116E-2"/>
          <c:y val="6.8799149302478671E-2"/>
          <c:w val="0.90019805713940926"/>
          <c:h val="0.68655340911967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14'!$B$24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338983050847456E-2"/>
                  <c:y val="1.2861736334405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13-450B-8629-87951D3C5A06}"/>
                </c:ext>
              </c:extLst>
            </c:dLbl>
            <c:dLbl>
              <c:idx val="1"/>
              <c:layout>
                <c:manualLayout>
                  <c:x val="-1.5819209039548063E-2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13-450B-8629-87951D3C5A06}"/>
                </c:ext>
              </c:extLst>
            </c:dLbl>
            <c:dLbl>
              <c:idx val="2"/>
              <c:layout>
                <c:manualLayout>
                  <c:x val="-2.0338983050847456E-2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13-450B-8629-87951D3C5A06}"/>
                </c:ext>
              </c:extLst>
            </c:dLbl>
            <c:dLbl>
              <c:idx val="3"/>
              <c:layout>
                <c:manualLayout>
                  <c:x val="-1.8079096045197824E-2"/>
                  <c:y val="8.5744908896034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13-450B-8629-87951D3C5A06}"/>
                </c:ext>
              </c:extLst>
            </c:dLbl>
            <c:dLbl>
              <c:idx val="4"/>
              <c:layout>
                <c:manualLayout>
                  <c:x val="-1.58192090395480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13-450B-8629-87951D3C5A06}"/>
                </c:ext>
              </c:extLst>
            </c:dLbl>
            <c:dLbl>
              <c:idx val="5"/>
              <c:layout>
                <c:manualLayout>
                  <c:x val="-1.8079096045197907E-2"/>
                  <c:y val="4.2872454448017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 - septembrie 2016</c:v>
                </c:pt>
                <c:pt idx="1">
                  <c:v>Ianuarie - septembrie 2017</c:v>
                </c:pt>
                <c:pt idx="2">
                  <c:v>Ianuarie - septembrie 2018</c:v>
                </c:pt>
                <c:pt idx="3">
                  <c:v>Ianuarie - septembrie 2019</c:v>
                </c:pt>
                <c:pt idx="4">
                  <c:v>Ianuarie - septembrie 2020</c:v>
                </c:pt>
                <c:pt idx="5">
                  <c:v>Ianuarie - septembrie 2021</c:v>
                </c:pt>
              </c:strCache>
            </c:strRef>
          </c:cat>
          <c:val>
            <c:numRef>
              <c:f>'Figura 14'!$B$25:$B$30</c:f>
              <c:numCache>
                <c:formatCode>#\ ##0,0</c:formatCode>
                <c:ptCount val="6"/>
                <c:pt idx="0">
                  <c:v>1432.6</c:v>
                </c:pt>
                <c:pt idx="1">
                  <c:v>1651.5</c:v>
                </c:pt>
                <c:pt idx="2">
                  <c:v>1959.5</c:v>
                </c:pt>
                <c:pt idx="3">
                  <c:v>2026</c:v>
                </c:pt>
                <c:pt idx="4">
                  <c:v>1737.5</c:v>
                </c:pt>
                <c:pt idx="5">
                  <c:v>2103.3000000000002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2C-4A3E-9B06-2ADBC8010143}"/>
            </c:ext>
          </c:extLst>
        </c:ser>
        <c:ser>
          <c:idx val="1"/>
          <c:order val="1"/>
          <c:tx>
            <c:strRef>
              <c:f>'Figura 14'!$C$24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1905333867164703E-3"/>
                  <c:y val="8.06440995518642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2C-4A3E-9B06-2ADBC8010143}"/>
                </c:ext>
              </c:extLst>
            </c:dLbl>
            <c:dLbl>
              <c:idx val="1"/>
              <c:layout>
                <c:manualLayout>
                  <c:x val="2.6707593754170559E-3"/>
                  <c:y val="-1.53024280325091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2C-4A3E-9B06-2ADBC8010143}"/>
                </c:ext>
              </c:extLst>
            </c:dLbl>
            <c:dLbl>
              <c:idx val="2"/>
              <c:layout>
                <c:manualLayout>
                  <c:x val="6.7796610169491523E-3"/>
                  <c:y val="7.554329020769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2C-4A3E-9B06-2ADBC8010143}"/>
                </c:ext>
              </c:extLst>
            </c:dLbl>
            <c:dLbl>
              <c:idx val="3"/>
              <c:layout>
                <c:manualLayout>
                  <c:x val="4.5197740112993519E-3"/>
                  <c:y val="4.2872454448017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13-450B-8629-87951D3C5A06}"/>
                </c:ext>
              </c:extLst>
            </c:dLbl>
            <c:dLbl>
              <c:idx val="4"/>
              <c:layout>
                <c:manualLayout>
                  <c:x val="0"/>
                  <c:y val="8.5744908896034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13-450B-8629-87951D3C5A06}"/>
                </c:ext>
              </c:extLst>
            </c:dLbl>
            <c:dLbl>
              <c:idx val="5"/>
              <c:layout>
                <c:manualLayout>
                  <c:x val="2.2598870056497176E-3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 - septembrie 2016</c:v>
                </c:pt>
                <c:pt idx="1">
                  <c:v>Ianuarie - septembrie 2017</c:v>
                </c:pt>
                <c:pt idx="2">
                  <c:v>Ianuarie - septembrie 2018</c:v>
                </c:pt>
                <c:pt idx="3">
                  <c:v>Ianuarie - septembrie 2019</c:v>
                </c:pt>
                <c:pt idx="4">
                  <c:v>Ianuarie - septembrie 2020</c:v>
                </c:pt>
                <c:pt idx="5">
                  <c:v>Ianuarie - septembrie 2021</c:v>
                </c:pt>
              </c:strCache>
            </c:strRef>
          </c:cat>
          <c:val>
            <c:numRef>
              <c:f>'Figura 14'!$C$25:$C$30</c:f>
              <c:numCache>
                <c:formatCode>#\ ##0,0</c:formatCode>
                <c:ptCount val="6"/>
                <c:pt idx="0">
                  <c:v>2895.2</c:v>
                </c:pt>
                <c:pt idx="1">
                  <c:v>3438.8</c:v>
                </c:pt>
                <c:pt idx="2">
                  <c:v>4177.6000000000004</c:v>
                </c:pt>
                <c:pt idx="3">
                  <c:v>4273.3999999999996</c:v>
                </c:pt>
                <c:pt idx="4">
                  <c:v>3832.2</c:v>
                </c:pt>
                <c:pt idx="5">
                  <c:v>5072.7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256906256"/>
        <c:axId val="256906816"/>
      </c:barChart>
      <c:lineChart>
        <c:grouping val="standard"/>
        <c:varyColors val="0"/>
        <c:ser>
          <c:idx val="2"/>
          <c:order val="2"/>
          <c:tx>
            <c:strRef>
              <c:f>'Figura 14'!$D$24</c:f>
              <c:strCache>
                <c:ptCount val="1"/>
                <c:pt idx="0">
                  <c:v>Balanţa Comercială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9739668134703522E-2"/>
                  <c:y val="-3.3748723531744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D2C-4A3E-9B06-2ADBC8010143}"/>
                </c:ext>
              </c:extLst>
            </c:dLbl>
            <c:dLbl>
              <c:idx val="1"/>
              <c:layout>
                <c:manualLayout>
                  <c:x val="-5.5985586547444281E-2"/>
                  <c:y val="4.6017672228270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D2C-4A3E-9B06-2ADBC8010143}"/>
                </c:ext>
              </c:extLst>
            </c:dLbl>
            <c:dLbl>
              <c:idx val="2"/>
              <c:layout>
                <c:manualLayout>
                  <c:x val="-4.6674852084167447E-2"/>
                  <c:y val="-4.206665485142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D2C-4A3E-9B06-2ADBC8010143}"/>
                </c:ext>
              </c:extLst>
            </c:dLbl>
            <c:dLbl>
              <c:idx val="3"/>
              <c:layout>
                <c:manualLayout>
                  <c:x val="-4.6930379465278706E-2"/>
                  <c:y val="3.8082554793191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D2C-4A3E-9B06-2ADBC8010143}"/>
                </c:ext>
              </c:extLst>
            </c:dLbl>
            <c:dLbl>
              <c:idx val="4"/>
              <c:layout>
                <c:manualLayout>
                  <c:x val="-4.5197740112994433E-2"/>
                  <c:y val="-3.858520900321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13-450B-8629-87951D3C5A06}"/>
                </c:ext>
              </c:extLst>
            </c:dLbl>
            <c:dLbl>
              <c:idx val="5"/>
              <c:layout>
                <c:manualLayout>
                  <c:x val="-1.1299435028248588E-2"/>
                  <c:y val="-3.4297963558413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 - septembrie 2016</c:v>
                </c:pt>
                <c:pt idx="1">
                  <c:v>Ianuarie - septembrie 2017</c:v>
                </c:pt>
                <c:pt idx="2">
                  <c:v>Ianuarie - septembrie 2018</c:v>
                </c:pt>
                <c:pt idx="3">
                  <c:v>Ianuarie - septembrie 2019</c:v>
                </c:pt>
                <c:pt idx="4">
                  <c:v>Ianuarie - septembrie 2020</c:v>
                </c:pt>
                <c:pt idx="5">
                  <c:v>Ianuarie - septembrie 2021</c:v>
                </c:pt>
              </c:strCache>
            </c:strRef>
          </c:cat>
          <c:val>
            <c:numRef>
              <c:f>'Figura 14'!$D$25:$D$30</c:f>
              <c:numCache>
                <c:formatCode>#\ ##0,0</c:formatCode>
                <c:ptCount val="6"/>
                <c:pt idx="0">
                  <c:v>-1462.6</c:v>
                </c:pt>
                <c:pt idx="1">
                  <c:v>-1787.3</c:v>
                </c:pt>
                <c:pt idx="2">
                  <c:v>-2218.1</c:v>
                </c:pt>
                <c:pt idx="3">
                  <c:v>-2247.4</c:v>
                </c:pt>
                <c:pt idx="4">
                  <c:v>-2094.6999999999998</c:v>
                </c:pt>
                <c:pt idx="5">
                  <c:v>-2969.4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906256"/>
        <c:axId val="256906816"/>
      </c:lineChart>
      <c:catAx>
        <c:axId val="25690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6906816"/>
        <c:crosses val="autoZero"/>
        <c:auto val="1"/>
        <c:lblAlgn val="ctr"/>
        <c:lblOffset val="100"/>
        <c:noMultiLvlLbl val="0"/>
      </c:catAx>
      <c:valAx>
        <c:axId val="256906816"/>
        <c:scaling>
          <c:orientation val="minMax"/>
        </c:scaling>
        <c:delete val="0"/>
        <c:axPos val="l"/>
        <c:numFmt formatCode="#\ ##0,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690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724427456859489E-2"/>
          <c:y val="0.9276522267513988"/>
          <c:w val="0.8834227501223364"/>
          <c:h val="6.8060527803799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28571770151813E-2"/>
          <c:y val="5.8765976728478983E-2"/>
          <c:w val="0.89593573939504345"/>
          <c:h val="0.67901271298742383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2'!$A$21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8519481181357186E-2"/>
                  <c:y val="-2.7527094737220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C7-4432-A510-BEFF90F4F2A1}"/>
                </c:ext>
              </c:extLst>
            </c:dLbl>
            <c:dLbl>
              <c:idx val="1"/>
              <c:layout>
                <c:manualLayout>
                  <c:x val="-2.5351400249726066E-2"/>
                  <c:y val="2.7772444433286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C7-4432-A510-BEFF90F4F2A1}"/>
                </c:ext>
              </c:extLst>
            </c:dLbl>
            <c:dLbl>
              <c:idx val="2"/>
              <c:layout>
                <c:manualLayout>
                  <c:x val="-3.363331511581618E-2"/>
                  <c:y val="-2.4571614078911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C7-4432-A510-BEFF90F4F2A1}"/>
                </c:ext>
              </c:extLst>
            </c:dLbl>
            <c:dLbl>
              <c:idx val="3"/>
              <c:layout>
                <c:manualLayout>
                  <c:x val="-2.9820095303621029E-2"/>
                  <c:y val="3.1395631805422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C7-4432-A510-BEFF90F4F2A1}"/>
                </c:ext>
              </c:extLst>
            </c:dLbl>
            <c:dLbl>
              <c:idx val="4"/>
              <c:layout>
                <c:manualLayout>
                  <c:x val="-3.0011339601967259E-2"/>
                  <c:y val="-2.4774042915085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C7-4432-A510-BEFF90F4F2A1}"/>
                </c:ext>
              </c:extLst>
            </c:dLbl>
            <c:dLbl>
              <c:idx val="5"/>
              <c:layout>
                <c:manualLayout>
                  <c:x val="-2.4965726371582193E-2"/>
                  <c:y val="-3.5744883103707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C7-4432-A510-BEFF90F4F2A1}"/>
                </c:ext>
              </c:extLst>
            </c:dLbl>
            <c:dLbl>
              <c:idx val="6"/>
              <c:layout>
                <c:manualLayout>
                  <c:x val="-3.9348801060061667E-2"/>
                  <c:y val="-2.4571486770658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C7-4432-A510-BEFF90F4F2A1}"/>
                </c:ext>
              </c:extLst>
            </c:dLbl>
            <c:dLbl>
              <c:idx val="7"/>
              <c:layout>
                <c:manualLayout>
                  <c:x val="-2.4678663239074552E-2"/>
                  <c:y val="2.7569897631960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C7-4432-A510-BEFF90F4F2A1}"/>
                </c:ext>
              </c:extLst>
            </c:dLbl>
            <c:dLbl>
              <c:idx val="8"/>
              <c:layout>
                <c:manualLayout>
                  <c:x val="-3.22065081670617E-2"/>
                  <c:y val="-2.8295952215008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FC7-4432-A510-BEFF90F4F2A1}"/>
                </c:ext>
              </c:extLst>
            </c:dLbl>
            <c:dLbl>
              <c:idx val="9"/>
              <c:layout>
                <c:manualLayout>
                  <c:x val="-1.6782356088984023E-2"/>
                  <c:y val="-2.08473066166533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FC7-4432-A510-BEFF90F4F2A1}"/>
                </c:ext>
              </c:extLst>
            </c:dLbl>
            <c:dLbl>
              <c:idx val="10"/>
              <c:layout>
                <c:manualLayout>
                  <c:x val="-2.4678663239074614E-2"/>
                  <c:y val="-3.9469188853446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FC7-4432-A510-BEFF90F4F2A1}"/>
                </c:ext>
              </c:extLst>
            </c:dLbl>
            <c:dLbl>
              <c:idx val="11"/>
              <c:layout>
                <c:manualLayout>
                  <c:x val="-2.9820051413881749E-2"/>
                  <c:y val="3.1294291325593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FC7-4432-A510-BEFF90F4F2A1}"/>
                </c:ext>
              </c:extLst>
            </c:dLbl>
            <c:dLbl>
              <c:idx val="12"/>
              <c:layout>
                <c:manualLayout>
                  <c:x val="-4.077560968545884E-2"/>
                  <c:y val="-2.8498508359435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FC7-4432-A510-BEFF90F4F2A1}"/>
                </c:ext>
              </c:extLst>
            </c:dLbl>
            <c:dLbl>
              <c:idx val="13"/>
              <c:layout>
                <c:manualLayout>
                  <c:x val="-3.1755727136049801E-2"/>
                  <c:y val="-2.7527094737220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FC7-4432-A510-BEFF90F4F2A1}"/>
                </c:ext>
              </c:extLst>
            </c:dLbl>
            <c:dLbl>
              <c:idx val="14"/>
              <c:layout>
                <c:manualLayout>
                  <c:x val="-1.4682873378691742E-2"/>
                  <c:y val="-2.8295952215008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FC7-4432-A510-BEFF90F4F2A1}"/>
                </c:ext>
              </c:extLst>
            </c:dLbl>
            <c:dLbl>
              <c:idx val="15"/>
              <c:layout>
                <c:manualLayout>
                  <c:x val="-2.4678663239074552E-2"/>
                  <c:y val="-3.2020401466179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FC7-4432-A510-BEFF90F4F2A1}"/>
                </c:ext>
              </c:extLst>
            </c:dLbl>
            <c:dLbl>
              <c:idx val="16"/>
              <c:layout>
                <c:manualLayout>
                  <c:x val="-5.2293784878831837E-2"/>
                  <c:y val="-2.1150855542948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FC7-4432-A510-BEFF90F4F2A1}"/>
                </c:ext>
              </c:extLst>
            </c:dLbl>
            <c:dLbl>
              <c:idx val="17"/>
              <c:layout>
                <c:manualLayout>
                  <c:x val="-3.4018498665006183E-2"/>
                  <c:y val="-3.2020417659358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FC7-4432-A510-BEFF90F4F2A1}"/>
                </c:ext>
              </c:extLst>
            </c:dLbl>
            <c:dLbl>
              <c:idx val="18"/>
              <c:layout>
                <c:manualLayout>
                  <c:x val="-1.8209170835765551E-2"/>
                  <c:y val="-2.4774042915085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FC7-4432-A510-BEFF90F4F2A1}"/>
                </c:ext>
              </c:extLst>
            </c:dLbl>
            <c:dLbl>
              <c:idx val="19"/>
              <c:layout>
                <c:manualLayout>
                  <c:x val="-2.9820051413881749E-2"/>
                  <c:y val="3.1294291325593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FC7-4432-A510-BEFF90F4F2A1}"/>
                </c:ext>
              </c:extLst>
            </c:dLbl>
            <c:dLbl>
              <c:idx val="20"/>
              <c:layout>
                <c:manualLayout>
                  <c:x val="-3.1919519057547113E-2"/>
                  <c:y val="-3.2020401466179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FC7-4432-A510-BEFF90F4F2A1}"/>
                </c:ext>
              </c:extLst>
            </c:dLbl>
            <c:dLbl>
              <c:idx val="21"/>
              <c:layout>
                <c:manualLayout>
                  <c:x val="-2.1636742707932716E-2"/>
                  <c:y val="-2.8296007772545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FC7-4432-A510-BEFF90F4F2A1}"/>
                </c:ext>
              </c:extLst>
            </c:dLbl>
            <c:dLbl>
              <c:idx val="22"/>
              <c:layout>
                <c:manualLayout>
                  <c:x val="-2.5070145223957882E-2"/>
                  <c:y val="-3.4833951034477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FC7-4432-A510-BEFF90F4F2A1}"/>
                </c:ext>
              </c:extLst>
            </c:dLbl>
            <c:dLbl>
              <c:idx val="23"/>
              <c:layout>
                <c:manualLayout>
                  <c:x val="-2.9820051413881873E-2"/>
                  <c:y val="3.5018685019227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FC7-4432-A510-BEFF90F4F2A1}"/>
                </c:ext>
              </c:extLst>
            </c:dLbl>
            <c:dLbl>
              <c:idx val="24"/>
              <c:layout>
                <c:manualLayout>
                  <c:x val="-2.6777649002737016E-2"/>
                  <c:y val="-3.2020417659358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FC7-4432-A510-BEFF90F4F2A1}"/>
                </c:ext>
              </c:extLst>
            </c:dLbl>
            <c:dLbl>
              <c:idx val="25"/>
              <c:layout>
                <c:manualLayout>
                  <c:x val="-5.2485071756775907E-2"/>
                  <c:y val="-2.1150855542948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FC7-4432-A510-BEFF90F4F2A1}"/>
                </c:ext>
              </c:extLst>
            </c:dLbl>
            <c:dLbl>
              <c:idx val="26"/>
              <c:layout>
                <c:manualLayout>
                  <c:x val="-1.1353966358318321E-2"/>
                  <c:y val="1.49914177652406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FC7-4432-A510-BEFF90F4F2A1}"/>
                </c:ext>
              </c:extLst>
            </c:dLbl>
            <c:dLbl>
              <c:idx val="27"/>
              <c:layout>
                <c:manualLayout>
                  <c:x val="-2.6392477639324209E-2"/>
                  <c:y val="2.7772444433286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FC7-4432-A510-BEFF90F4F2A1}"/>
                </c:ext>
              </c:extLst>
            </c:dLbl>
            <c:dLbl>
              <c:idx val="28"/>
              <c:layout>
                <c:manualLayout>
                  <c:x val="-1.2682090831191088E-2"/>
                  <c:y val="2.3845503938326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FC7-4432-A510-BEFF90F4F2A1}"/>
                </c:ext>
              </c:extLst>
            </c:dLbl>
            <c:dLbl>
              <c:idx val="29"/>
              <c:layout>
                <c:manualLayout>
                  <c:x val="-4.5738705732608756E-2"/>
                  <c:y val="-1.570580403235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FC7-4432-A510-BEFF90F4F2A1}"/>
                </c:ext>
              </c:extLst>
            </c:dLbl>
            <c:dLbl>
              <c:idx val="30"/>
              <c:layout>
                <c:manualLayout>
                  <c:x val="-1.1492877710674516E-2"/>
                  <c:y val="-2.0543472400013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FC7-4432-A510-BEFF90F4F2A1}"/>
                </c:ext>
              </c:extLst>
            </c:dLbl>
            <c:dLbl>
              <c:idx val="31"/>
              <c:layout>
                <c:manualLayout>
                  <c:x val="-1.6581449169753525E-2"/>
                  <c:y val="2.6891182559858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FC7-4432-A510-BEFF90F4F2A1}"/>
                </c:ext>
              </c:extLst>
            </c:dLbl>
            <c:dLbl>
              <c:idx val="32"/>
              <c:layout>
                <c:manualLayout>
                  <c:x val="-9.1754297222120711E-5"/>
                  <c:y val="2.3197528472689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FC7-4432-A510-BEFF90F4F2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2'!$B$19:$AH$20</c:f>
              <c:multiLvlStrCache>
                <c:ptCount val="3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2'!$B$21:$AH$21</c:f>
              <c:numCache>
                <c:formatCode>#\ ##0,0</c:formatCode>
                <c:ptCount val="33"/>
                <c:pt idx="0">
                  <c:v>107.04955714362214</c:v>
                </c:pt>
                <c:pt idx="1">
                  <c:v>103.05469693630643</c:v>
                </c:pt>
                <c:pt idx="2">
                  <c:v>106.5540849399146</c:v>
                </c:pt>
                <c:pt idx="3">
                  <c:v>83.804058120513616</c:v>
                </c:pt>
                <c:pt idx="4">
                  <c:v>97.663587687631406</c:v>
                </c:pt>
                <c:pt idx="5">
                  <c:v>96.047232355670943</c:v>
                </c:pt>
                <c:pt idx="6">
                  <c:v>108.87893967295254</c:v>
                </c:pt>
                <c:pt idx="7">
                  <c:v>93.476142278451405</c:v>
                </c:pt>
                <c:pt idx="8">
                  <c:v>116.03027535062083</c:v>
                </c:pt>
                <c:pt idx="9">
                  <c:v>112.37403253245004</c:v>
                </c:pt>
                <c:pt idx="10">
                  <c:v>99.332915825323369</c:v>
                </c:pt>
                <c:pt idx="11">
                  <c:v>81.894486392152885</c:v>
                </c:pt>
                <c:pt idx="12">
                  <c:v>100.54069338788538</c:v>
                </c:pt>
                <c:pt idx="13">
                  <c:v>111.77933359663091</c:v>
                </c:pt>
                <c:pt idx="14">
                  <c:v>85.694935103741471</c:v>
                </c:pt>
                <c:pt idx="15">
                  <c:v>71.283537880135214</c:v>
                </c:pt>
                <c:pt idx="16">
                  <c:v>103.90424682350312</c:v>
                </c:pt>
                <c:pt idx="17">
                  <c:v>121.75061963317823</c:v>
                </c:pt>
                <c:pt idx="18">
                  <c:v>100.8184202333199</c:v>
                </c:pt>
                <c:pt idx="19">
                  <c:v>78.376764810035453</c:v>
                </c:pt>
                <c:pt idx="20">
                  <c:v>129.49769232961904</c:v>
                </c:pt>
                <c:pt idx="21">
                  <c:v>117.47585360993436</c:v>
                </c:pt>
                <c:pt idx="22">
                  <c:v>105.08585699580438</c:v>
                </c:pt>
                <c:pt idx="23">
                  <c:v>83.287463510424814</c:v>
                </c:pt>
                <c:pt idx="24">
                  <c:v>90.924906043100663</c:v>
                </c:pt>
                <c:pt idx="25">
                  <c:v>114.41147354263464</c:v>
                </c:pt>
                <c:pt idx="26">
                  <c:v>114.20579997969134</c:v>
                </c:pt>
                <c:pt idx="27">
                  <c:v>84.167356355788357</c:v>
                </c:pt>
                <c:pt idx="28">
                  <c:v>92.421884276527052</c:v>
                </c:pt>
                <c:pt idx="29" formatCode="0,0">
                  <c:v>112.45124175218632</c:v>
                </c:pt>
                <c:pt idx="30" formatCode="0,0">
                  <c:v>106.13290668113962</c:v>
                </c:pt>
                <c:pt idx="31" formatCode="0,0">
                  <c:v>98.153444711323928</c:v>
                </c:pt>
                <c:pt idx="32" formatCode="0,0">
                  <c:v>124.81061560262756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D8C-45EE-B332-341AC82C0A62}"/>
            </c:ext>
          </c:extLst>
        </c:ser>
        <c:ser>
          <c:idx val="1"/>
          <c:order val="1"/>
          <c:tx>
            <c:strRef>
              <c:f>'Figura 2'!$A$22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160767525418544E-2"/>
                  <c:y val="2.3845422844510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FC7-4432-A510-BEFF90F4F2A1}"/>
                </c:ext>
              </c:extLst>
            </c:dLbl>
            <c:dLbl>
              <c:idx val="1"/>
              <c:layout>
                <c:manualLayout>
                  <c:x val="-3.0137604158703479E-2"/>
                  <c:y val="-3.1150282109356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FC7-4432-A510-BEFF90F4F2A1}"/>
                </c:ext>
              </c:extLst>
            </c:dLbl>
            <c:dLbl>
              <c:idx val="2"/>
              <c:layout>
                <c:manualLayout>
                  <c:x val="-3.1919519057547113E-2"/>
                  <c:y val="2.0121110244692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FC7-4432-A510-BEFF90F4F2A1}"/>
                </c:ext>
              </c:extLst>
            </c:dLbl>
            <c:dLbl>
              <c:idx val="3"/>
              <c:layout>
                <c:manualLayout>
                  <c:x val="-2.182809673062712E-2"/>
                  <c:y val="-2.4774042915085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FC7-4432-A510-BEFF90F4F2A1}"/>
                </c:ext>
              </c:extLst>
            </c:dLbl>
            <c:dLbl>
              <c:idx val="4"/>
              <c:layout>
                <c:manualLayout>
                  <c:x val="-3.6521580860378204E-2"/>
                  <c:y val="2.7569888288859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FC7-4432-A510-BEFF90F4F2A1}"/>
                </c:ext>
              </c:extLst>
            </c:dLbl>
            <c:dLbl>
              <c:idx val="5"/>
              <c:layout>
                <c:manualLayout>
                  <c:x val="-2.7723543052264099E-2"/>
                  <c:y val="3.10917975887830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FC7-4432-A510-BEFF90F4F2A1}"/>
                </c:ext>
              </c:extLst>
            </c:dLbl>
            <c:dLbl>
              <c:idx val="6"/>
              <c:layout>
                <c:manualLayout>
                  <c:x val="-3.3633259434803719E-2"/>
                  <c:y val="2.7569888288859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FC7-4432-A510-BEFF90F4F2A1}"/>
                </c:ext>
              </c:extLst>
            </c:dLbl>
            <c:dLbl>
              <c:idx val="7"/>
              <c:layout>
                <c:manualLayout>
                  <c:x val="-9.2544987146529565E-3"/>
                  <c:y val="-1.712282669164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FC7-4432-A510-BEFF90F4F2A1}"/>
                </c:ext>
              </c:extLst>
            </c:dLbl>
            <c:dLbl>
              <c:idx val="8"/>
              <c:layout>
                <c:manualLayout>
                  <c:x val="-5.4485895573732838E-2"/>
                  <c:y val="5.4259370575325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FC7-4432-A510-BEFF90F4F2A1}"/>
                </c:ext>
              </c:extLst>
            </c:dLbl>
            <c:dLbl>
              <c:idx val="9"/>
              <c:layout>
                <c:manualLayout>
                  <c:x val="-3.8774703290623373E-2"/>
                  <c:y val="2.38455039383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FC7-4432-A510-BEFF90F4F2A1}"/>
                </c:ext>
              </c:extLst>
            </c:dLbl>
            <c:dLbl>
              <c:idx val="10"/>
              <c:layout>
                <c:manualLayout>
                  <c:x val="-3.6675235646958015E-2"/>
                  <c:y val="2.756989763196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FC7-4432-A510-BEFF90F4F2A1}"/>
                </c:ext>
              </c:extLst>
            </c:dLbl>
            <c:dLbl>
              <c:idx val="11"/>
              <c:layout>
                <c:manualLayout>
                  <c:x val="-2.8363063390110309E-2"/>
                  <c:y val="3.4917541105345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FC7-4432-A510-BEFF90F4F2A1}"/>
                </c:ext>
              </c:extLst>
            </c:dLbl>
            <c:dLbl>
              <c:idx val="12"/>
              <c:layout>
                <c:manualLayout>
                  <c:x val="-2.8106255355612682E-2"/>
                  <c:y val="3.1294291325593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7FC7-4432-A510-BEFF90F4F2A1}"/>
                </c:ext>
              </c:extLst>
            </c:dLbl>
            <c:dLbl>
              <c:idx val="13"/>
              <c:layout>
                <c:manualLayout>
                  <c:x val="-1.7438809246436312E-2"/>
                  <c:y val="-2.3863110845854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FC7-4432-A510-BEFF90F4F2A1}"/>
                </c:ext>
              </c:extLst>
            </c:dLbl>
            <c:dLbl>
              <c:idx val="14"/>
              <c:layout>
                <c:manualLayout>
                  <c:x val="-4.1816615242648299E-2"/>
                  <c:y val="2.4047978988936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FC7-4432-A510-BEFF90F4F2A1}"/>
                </c:ext>
              </c:extLst>
            </c:dLbl>
            <c:dLbl>
              <c:idx val="15"/>
              <c:layout>
                <c:manualLayout>
                  <c:x val="-2.8106255355612682E-2"/>
                  <c:y val="2.756989763196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FC7-4432-A510-BEFF90F4F2A1}"/>
                </c:ext>
              </c:extLst>
            </c:dLbl>
            <c:dLbl>
              <c:idx val="16"/>
              <c:layout>
                <c:manualLayout>
                  <c:x val="-1.6109682712391847E-2"/>
                  <c:y val="2.7367617434777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FC7-4432-A510-BEFF90F4F2A1}"/>
                </c:ext>
              </c:extLst>
            </c:dLbl>
            <c:dLbl>
              <c:idx val="17"/>
              <c:layout>
                <c:manualLayout>
                  <c:x val="-2.84913945704427E-2"/>
                  <c:y val="-2.1150855542948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FC7-4432-A510-BEFF90F4F2A1}"/>
                </c:ext>
              </c:extLst>
            </c:dLbl>
            <c:dLbl>
              <c:idx val="18"/>
              <c:layout>
                <c:manualLayout>
                  <c:x val="-3.1405436148746323E-2"/>
                  <c:y val="2.7772444433286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7FC7-4432-A510-BEFF90F4F2A1}"/>
                </c:ext>
              </c:extLst>
            </c:dLbl>
            <c:dLbl>
              <c:idx val="19"/>
              <c:layout>
                <c:manualLayout>
                  <c:x val="-2.8106255355612682E-2"/>
                  <c:y val="-3.9469188853446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7FC7-4432-A510-BEFF90F4F2A1}"/>
                </c:ext>
              </c:extLst>
            </c:dLbl>
            <c:dLbl>
              <c:idx val="20"/>
              <c:layout>
                <c:manualLayout>
                  <c:x val="-1.7823479005998413E-2"/>
                  <c:y val="2.7569897631960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7FC7-4432-A510-BEFF90F4F2A1}"/>
                </c:ext>
              </c:extLst>
            </c:dLbl>
            <c:dLbl>
              <c:idx val="21"/>
              <c:layout>
                <c:manualLayout>
                  <c:x val="-4.0102827763496142E-2"/>
                  <c:y val="-2.8296007772545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7FC7-4432-A510-BEFF90F4F2A1}"/>
                </c:ext>
              </c:extLst>
            </c:dLbl>
            <c:dLbl>
              <c:idx val="22"/>
              <c:layout>
                <c:manualLayout>
                  <c:x val="-2.6392459297343615E-2"/>
                  <c:y val="2.756989763196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7FC7-4432-A510-BEFF90F4F2A1}"/>
                </c:ext>
              </c:extLst>
            </c:dLbl>
            <c:dLbl>
              <c:idx val="23"/>
              <c:layout>
                <c:manualLayout>
                  <c:x val="-2.5351400249726066E-2"/>
                  <c:y val="-2.4571486770658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7FC7-4432-A510-BEFF90F4F2A1}"/>
                </c:ext>
              </c:extLst>
            </c:dLbl>
            <c:dLbl>
              <c:idx val="24"/>
              <c:layout>
                <c:manualLayout>
                  <c:x val="-2.6777649002737016E-2"/>
                  <c:y val="2.7569888288859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7FC7-4432-A510-BEFF90F4F2A1}"/>
                </c:ext>
              </c:extLst>
            </c:dLbl>
            <c:dLbl>
              <c:idx val="25"/>
              <c:layout>
                <c:manualLayout>
                  <c:x val="-1.2682090831191088E-2"/>
                  <c:y val="3.5018685019227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7FC7-4432-A510-BEFF90F4F2A1}"/>
                </c:ext>
              </c:extLst>
            </c:dLbl>
            <c:dLbl>
              <c:idx val="26"/>
              <c:layout>
                <c:manualLayout>
                  <c:x val="-4.8188084499146341E-2"/>
                  <c:y val="-2.0239923473718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7FC7-4432-A510-BEFF90F4F2A1}"/>
                </c:ext>
              </c:extLst>
            </c:dLbl>
            <c:dLbl>
              <c:idx val="27"/>
              <c:layout>
                <c:manualLayout>
                  <c:x val="-3.2015134091103271E-2"/>
                  <c:y val="-3.202041765935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7FC7-4432-A510-BEFF90F4F2A1}"/>
                </c:ext>
              </c:extLst>
            </c:dLbl>
            <c:dLbl>
              <c:idx val="28"/>
              <c:layout>
                <c:manualLayout>
                  <c:x val="-4.2385266162118206E-2"/>
                  <c:y val="2.5849302222611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7FC7-4432-A510-BEFF90F4F2A1}"/>
                </c:ext>
              </c:extLst>
            </c:dLbl>
            <c:dLbl>
              <c:idx val="29"/>
              <c:layout>
                <c:manualLayout>
                  <c:x val="-2.6585295090041764E-2"/>
                  <c:y val="-3.574479515981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7FC7-4432-A510-BEFF90F4F2A1}"/>
                </c:ext>
              </c:extLst>
            </c:dLbl>
            <c:dLbl>
              <c:idx val="30"/>
              <c:layout>
                <c:manualLayout>
                  <c:x val="-5.9205864685006873E-3"/>
                  <c:y val="-1.035889240017937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7FC7-4432-A510-BEFF90F4F2A1}"/>
                </c:ext>
              </c:extLst>
            </c:dLbl>
            <c:dLbl>
              <c:idx val="31"/>
              <c:layout>
                <c:manualLayout>
                  <c:x val="-4.2653594271589955E-2"/>
                  <c:y val="-3.035203972610985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7FC7-4432-A510-BEFF90F4F2A1}"/>
                </c:ext>
              </c:extLst>
            </c:dLbl>
            <c:dLbl>
              <c:idx val="32"/>
              <c:layout>
                <c:manualLayout>
                  <c:x val="0"/>
                  <c:y val="2.3197528472689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7FC7-4432-A510-BEFF90F4F2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2'!$B$19:$AH$20</c:f>
              <c:multiLvlStrCache>
                <c:ptCount val="3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2'!$B$22:$AH$22</c:f>
              <c:numCache>
                <c:formatCode>#\ ##0,0</c:formatCode>
                <c:ptCount val="33"/>
                <c:pt idx="0">
                  <c:v>106.32363840150403</c:v>
                </c:pt>
                <c:pt idx="1">
                  <c:v>112.03752197942065</c:v>
                </c:pt>
                <c:pt idx="2">
                  <c:v>106.24094623150131</c:v>
                </c:pt>
                <c:pt idx="3">
                  <c:v>107.92813662968615</c:v>
                </c:pt>
                <c:pt idx="4">
                  <c:v>94.400104290284631</c:v>
                </c:pt>
                <c:pt idx="5">
                  <c:v>94.437390084542201</c:v>
                </c:pt>
                <c:pt idx="6">
                  <c:v>100.6095432052643</c:v>
                </c:pt>
                <c:pt idx="7">
                  <c:v>94.145274542115814</c:v>
                </c:pt>
                <c:pt idx="8">
                  <c:v>115.19027152038439</c:v>
                </c:pt>
                <c:pt idx="9">
                  <c:v>103.62098669571817</c:v>
                </c:pt>
                <c:pt idx="10">
                  <c:v>99.147688156183818</c:v>
                </c:pt>
                <c:pt idx="11">
                  <c:v>99.755109028932736</c:v>
                </c:pt>
                <c:pt idx="12">
                  <c:v>93.68976480021378</c:v>
                </c:pt>
                <c:pt idx="13">
                  <c:v>101.62156394157972</c:v>
                </c:pt>
                <c:pt idx="14">
                  <c:v>81.728010071364707</c:v>
                </c:pt>
                <c:pt idx="15">
                  <c:v>69.517656214361068</c:v>
                </c:pt>
                <c:pt idx="16">
                  <c:v>73.959803043393492</c:v>
                </c:pt>
                <c:pt idx="17">
                  <c:v>93.752330261178145</c:v>
                </c:pt>
                <c:pt idx="18">
                  <c:v>86.811663105059509</c:v>
                </c:pt>
                <c:pt idx="19">
                  <c:v>79.643812518387932</c:v>
                </c:pt>
                <c:pt idx="20">
                  <c:v>88.887920831852767</c:v>
                </c:pt>
                <c:pt idx="21">
                  <c:v>92.923464078044901</c:v>
                </c:pt>
                <c:pt idx="22">
                  <c:v>98.30519698859753</c:v>
                </c:pt>
                <c:pt idx="23">
                  <c:v>99.977310656379856</c:v>
                </c:pt>
                <c:pt idx="24" formatCode="0,0">
                  <c:v>90.415711128050958</c:v>
                </c:pt>
                <c:pt idx="25" formatCode="0,0">
                  <c:v>92.544788099159774</c:v>
                </c:pt>
                <c:pt idx="26" formatCode="0,0">
                  <c:v>123.33461185332185</c:v>
                </c:pt>
                <c:pt idx="27" formatCode="0,0">
                  <c:v>145.62616468779689</c:v>
                </c:pt>
                <c:pt idx="28" formatCode="0,0">
                  <c:v>129.53315145310887</c:v>
                </c:pt>
                <c:pt idx="29" formatCode="0,0">
                  <c:v>119.63933960141166</c:v>
                </c:pt>
                <c:pt idx="30" formatCode="0,0">
                  <c:v>125.94594158412818</c:v>
                </c:pt>
                <c:pt idx="31" formatCode="0,0">
                  <c:v>144.1</c:v>
                </c:pt>
                <c:pt idx="32" formatCode="0,0">
                  <c:v>138.93269924268836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2D8C-45EE-B332-341AC82C0A6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922368"/>
        <c:axId val="181922928"/>
      </c:lineChart>
      <c:catAx>
        <c:axId val="18192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922928"/>
        <c:crossesAt val="50"/>
        <c:auto val="0"/>
        <c:lblAlgn val="ctr"/>
        <c:lblOffset val="100"/>
        <c:noMultiLvlLbl val="0"/>
      </c:catAx>
      <c:valAx>
        <c:axId val="181922928"/>
        <c:scaling>
          <c:orientation val="minMax"/>
          <c:max val="170"/>
          <c:min val="50"/>
        </c:scaling>
        <c:delete val="0"/>
        <c:axPos val="l"/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92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7.9311033036221973E-2"/>
          <c:y val="0.92998049555732143"/>
          <c:w val="0.90022613392334228"/>
          <c:h val="6.78598947061441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44224392622983"/>
          <c:y val="2.5787355527927429E-2"/>
          <c:w val="0.79059950538447554"/>
          <c:h val="0.744733158355205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3'!$B$22</c:f>
              <c:strCache>
                <c:ptCount val="1"/>
                <c:pt idx="0">
                  <c:v>Ianuarie - septembrie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3'!$B$23:$B$27</c:f>
              <c:numCache>
                <c:formatCode>#\ ##0,0</c:formatCode>
                <c:ptCount val="5"/>
                <c:pt idx="0">
                  <c:v>7</c:v>
                </c:pt>
                <c:pt idx="1">
                  <c:v>3.7</c:v>
                </c:pt>
                <c:pt idx="2">
                  <c:v>88.1</c:v>
                </c:pt>
                <c:pt idx="3">
                  <c:v>1.2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2-423F-8D54-2DEAA91EB392}"/>
            </c:ext>
          </c:extLst>
        </c:ser>
        <c:ser>
          <c:idx val="1"/>
          <c:order val="1"/>
          <c:tx>
            <c:strRef>
              <c:f>'Figura 3'!$C$22</c:f>
              <c:strCache>
                <c:ptCount val="1"/>
                <c:pt idx="0">
                  <c:v>Ianuarie - septembrie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3'!$C$23:$C$27</c:f>
              <c:numCache>
                <c:formatCode>#\ ##0,0</c:formatCode>
                <c:ptCount val="5"/>
                <c:pt idx="0">
                  <c:v>7.3</c:v>
                </c:pt>
                <c:pt idx="1">
                  <c:v>3.1</c:v>
                </c:pt>
                <c:pt idx="2">
                  <c:v>88.4</c:v>
                </c:pt>
                <c:pt idx="3">
                  <c:v>1.1000000000000001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D-49BF-AD38-66FEB4074930}"/>
            </c:ext>
          </c:extLst>
        </c:ser>
        <c:ser>
          <c:idx val="2"/>
          <c:order val="2"/>
          <c:tx>
            <c:strRef>
              <c:f>'Figura 3'!$D$22</c:f>
              <c:strCache>
                <c:ptCount val="1"/>
                <c:pt idx="0">
                  <c:v>Ianuarie - septembrie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3'!$D$23:$D$27</c:f>
              <c:numCache>
                <c:formatCode>#\ ##0,0</c:formatCode>
                <c:ptCount val="5"/>
                <c:pt idx="0">
                  <c:v>6.6</c:v>
                </c:pt>
                <c:pt idx="1">
                  <c:v>4.5</c:v>
                </c:pt>
                <c:pt idx="2">
                  <c:v>87.2</c:v>
                </c:pt>
                <c:pt idx="3">
                  <c:v>1.6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D-49BF-AD38-66FEB4074930}"/>
            </c:ext>
          </c:extLst>
        </c:ser>
        <c:ser>
          <c:idx val="3"/>
          <c:order val="3"/>
          <c:tx>
            <c:strRef>
              <c:f>'Figura 3'!$E$22</c:f>
              <c:strCache>
                <c:ptCount val="1"/>
                <c:pt idx="0">
                  <c:v>Ianuarie - septembrie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3'!$E$23:$E$27</c:f>
              <c:numCache>
                <c:formatCode>#\ ##0,0</c:formatCode>
                <c:ptCount val="5"/>
                <c:pt idx="0">
                  <c:v>6.6</c:v>
                </c:pt>
                <c:pt idx="1">
                  <c:v>3.9</c:v>
                </c:pt>
                <c:pt idx="2">
                  <c:v>87.5</c:v>
                </c:pt>
                <c:pt idx="3">
                  <c:v>1.9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7D-49BF-AD38-66FEB4074930}"/>
            </c:ext>
          </c:extLst>
        </c:ser>
        <c:ser>
          <c:idx val="4"/>
          <c:order val="4"/>
          <c:tx>
            <c:strRef>
              <c:f>'Figura 3'!$F$22</c:f>
              <c:strCache>
                <c:ptCount val="1"/>
                <c:pt idx="0">
                  <c:v>Ianuarie - septembrie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3'!$F$23:$F$27</c:f>
              <c:numCache>
                <c:formatCode>#\ ##0,0</c:formatCode>
                <c:ptCount val="5"/>
                <c:pt idx="0">
                  <c:v>7.7</c:v>
                </c:pt>
                <c:pt idx="1">
                  <c:v>2.8</c:v>
                </c:pt>
                <c:pt idx="2">
                  <c:v>86.6</c:v>
                </c:pt>
                <c:pt idx="3">
                  <c:v>2.8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7D-49BF-AD38-66FEB4074930}"/>
            </c:ext>
          </c:extLst>
        </c:ser>
        <c:ser>
          <c:idx val="5"/>
          <c:order val="5"/>
          <c:tx>
            <c:strRef>
              <c:f>'Figura 3'!$G$22</c:f>
              <c:strCache>
                <c:ptCount val="1"/>
                <c:pt idx="0">
                  <c:v>Ianuarie - septembrie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3'!$G$23:$G$27</c:f>
              <c:numCache>
                <c:formatCode>#\ ##0,0</c:formatCode>
                <c:ptCount val="5"/>
                <c:pt idx="0">
                  <c:v>6.6</c:v>
                </c:pt>
                <c:pt idx="1">
                  <c:v>2.2000000000000002</c:v>
                </c:pt>
                <c:pt idx="2">
                  <c:v>89.5</c:v>
                </c:pt>
                <c:pt idx="3">
                  <c:v>1.5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7D-49BF-AD38-66FEB4074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0965776"/>
        <c:axId val="240966336"/>
      </c:barChart>
      <c:catAx>
        <c:axId val="240965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966336"/>
        <c:crosses val="autoZero"/>
        <c:auto val="1"/>
        <c:lblAlgn val="ctr"/>
        <c:lblOffset val="100"/>
        <c:noMultiLvlLbl val="0"/>
      </c:catAx>
      <c:valAx>
        <c:axId val="2409663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965776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0317179275242529"/>
          <c:y val="0.88995112137928867"/>
          <c:w val="0.89682824803149608"/>
          <c:h val="0.1100488592772057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03993862784941E-2"/>
          <c:y val="7.9067734558931208E-2"/>
          <c:w val="0.89680642947696532"/>
          <c:h val="0.666971714372613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4'!$A$21</c:f>
              <c:strCache>
                <c:ptCount val="1"/>
                <c:pt idx="0">
                  <c:v>Ţările Uniunii Europene 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 - septembrie 2016</c:v>
                </c:pt>
                <c:pt idx="1">
                  <c:v>Ianuarie - septembrie 2017</c:v>
                </c:pt>
                <c:pt idx="2">
                  <c:v>Ianuarie - septembrie 2018</c:v>
                </c:pt>
                <c:pt idx="3">
                  <c:v>Ianuarie - septembrie 2019</c:v>
                </c:pt>
                <c:pt idx="4">
                  <c:v>Ianuarie - septembrie 2020</c:v>
                </c:pt>
                <c:pt idx="5">
                  <c:v>Ianuarie - septembrie 2021</c:v>
                </c:pt>
              </c:strCache>
            </c:strRef>
          </c:cat>
          <c:val>
            <c:numRef>
              <c:f>'Figura 4'!$B$21:$G$21</c:f>
              <c:numCache>
                <c:formatCode>#\ ##0,0</c:formatCode>
                <c:ptCount val="6"/>
                <c:pt idx="0">
                  <c:v>57.6</c:v>
                </c:pt>
                <c:pt idx="1">
                  <c:v>58.8</c:v>
                </c:pt>
                <c:pt idx="2">
                  <c:v>66.400000000000006</c:v>
                </c:pt>
                <c:pt idx="3">
                  <c:v>63.6</c:v>
                </c:pt>
                <c:pt idx="4">
                  <c:v>65.7</c:v>
                </c:pt>
                <c:pt idx="5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9-4207-A2A3-2E8D24AB4E7A}"/>
            </c:ext>
          </c:extLst>
        </c:ser>
        <c:ser>
          <c:idx val="1"/>
          <c:order val="1"/>
          <c:tx>
            <c:strRef>
              <c:f>'Figura 4'!$A$22</c:f>
              <c:strCache>
                <c:ptCount val="1"/>
                <c:pt idx="0">
                  <c:v>Ţările CSI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 - septembrie 2016</c:v>
                </c:pt>
                <c:pt idx="1">
                  <c:v>Ianuarie - septembrie 2017</c:v>
                </c:pt>
                <c:pt idx="2">
                  <c:v>Ianuarie - septembrie 2018</c:v>
                </c:pt>
                <c:pt idx="3">
                  <c:v>Ianuarie - septembrie 2019</c:v>
                </c:pt>
                <c:pt idx="4">
                  <c:v>Ianuarie - septembrie 2020</c:v>
                </c:pt>
                <c:pt idx="5">
                  <c:v>Ianuarie - septembrie 2021</c:v>
                </c:pt>
              </c:strCache>
            </c:strRef>
          </c:cat>
          <c:val>
            <c:numRef>
              <c:f>'Figura 4'!$B$22:$G$22</c:f>
              <c:numCache>
                <c:formatCode>#\ ##0,0</c:formatCode>
                <c:ptCount val="6"/>
                <c:pt idx="0">
                  <c:v>21</c:v>
                </c:pt>
                <c:pt idx="1">
                  <c:v>20.399999999999999</c:v>
                </c:pt>
                <c:pt idx="2">
                  <c:v>15.6</c:v>
                </c:pt>
                <c:pt idx="3">
                  <c:v>14.9</c:v>
                </c:pt>
                <c:pt idx="4">
                  <c:v>15.8</c:v>
                </c:pt>
                <c:pt idx="5">
                  <c:v>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9-4207-A2A3-2E8D24AB4E7A}"/>
            </c:ext>
          </c:extLst>
        </c:ser>
        <c:ser>
          <c:idx val="2"/>
          <c:order val="2"/>
          <c:tx>
            <c:strRef>
              <c:f>'Figura 4'!$A$23</c:f>
              <c:strCache>
                <c:ptCount val="1"/>
                <c:pt idx="0">
                  <c:v>Celelalte ţări ale lumii 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 - septembrie 2016</c:v>
                </c:pt>
                <c:pt idx="1">
                  <c:v>Ianuarie - septembrie 2017</c:v>
                </c:pt>
                <c:pt idx="2">
                  <c:v>Ianuarie - septembrie 2018</c:v>
                </c:pt>
                <c:pt idx="3">
                  <c:v>Ianuarie - septembrie 2019</c:v>
                </c:pt>
                <c:pt idx="4">
                  <c:v>Ianuarie - septembrie 2020</c:v>
                </c:pt>
                <c:pt idx="5">
                  <c:v>Ianuarie - septembrie 2021</c:v>
                </c:pt>
              </c:strCache>
            </c:strRef>
          </c:cat>
          <c:val>
            <c:numRef>
              <c:f>'Figura 4'!$B$23:$G$23</c:f>
              <c:numCache>
                <c:formatCode>#\ ##0,0</c:formatCode>
                <c:ptCount val="6"/>
                <c:pt idx="0">
                  <c:v>21.4</c:v>
                </c:pt>
                <c:pt idx="1">
                  <c:v>20.8</c:v>
                </c:pt>
                <c:pt idx="2">
                  <c:v>18</c:v>
                </c:pt>
                <c:pt idx="3">
                  <c:v>21.5</c:v>
                </c:pt>
                <c:pt idx="4">
                  <c:v>18.5</c:v>
                </c:pt>
                <c:pt idx="5">
                  <c:v>23.4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9-4207-A2A3-2E8D24AB4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566224"/>
        <c:axId val="181566784"/>
      </c:barChart>
      <c:catAx>
        <c:axId val="1815662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566784"/>
        <c:crosses val="autoZero"/>
        <c:auto val="1"/>
        <c:lblAlgn val="ctr"/>
        <c:lblOffset val="100"/>
        <c:noMultiLvlLbl val="0"/>
      </c:catAx>
      <c:valAx>
        <c:axId val="181566784"/>
        <c:scaling>
          <c:orientation val="minMax"/>
          <c:max val="100"/>
        </c:scaling>
        <c:delete val="0"/>
        <c:axPos val="l"/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566224"/>
        <c:crosses val="autoZero"/>
        <c:crossBetween val="between"/>
        <c:majorUnit val="10"/>
      </c:valAx>
      <c:spPr>
        <a:noFill/>
        <a:ln w="31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93755354110147993"/>
          <c:w val="1"/>
          <c:h val="6.24464588985200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41699880107581E-2"/>
          <c:y val="3.9900389809764354E-2"/>
          <c:w val="0.94076377536801559"/>
          <c:h val="0.59043102615005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5'!$B$23</c:f>
              <c:strCache>
                <c:ptCount val="1"/>
                <c:pt idx="0">
                  <c:v> Ianuarie - septembrie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Turcia</c:v>
                </c:pt>
                <c:pt idx="2">
                  <c:v>Federaţia Rusă</c:v>
                </c:pt>
                <c:pt idx="3">
                  <c:v>Germania</c:v>
                </c:pt>
                <c:pt idx="4">
                  <c:v>Italia</c:v>
                </c:pt>
                <c:pt idx="5">
                  <c:v>Polonia</c:v>
                </c:pt>
                <c:pt idx="6">
                  <c:v>Ucraina</c:v>
                </c:pt>
                <c:pt idx="7">
                  <c:v>Elveţia</c:v>
                </c:pt>
                <c:pt idx="8">
                  <c:v>Republica Cehă</c:v>
                </c:pt>
                <c:pt idx="9">
                  <c:v>Belarus</c:v>
                </c:pt>
                <c:pt idx="10">
                  <c:v>Regatul Unit </c:v>
                </c:pt>
                <c:pt idx="11">
                  <c:v>Bulgaria</c:v>
                </c:pt>
                <c:pt idx="12">
                  <c:v>Ungaria</c:v>
                </c:pt>
                <c:pt idx="13">
                  <c:v>Olanda</c:v>
                </c:pt>
                <c:pt idx="14">
                  <c:v>Franţa</c:v>
                </c:pt>
                <c:pt idx="15">
                  <c:v>Spania</c:v>
                </c:pt>
                <c:pt idx="16">
                  <c:v>Grecia</c:v>
                </c:pt>
                <c:pt idx="17">
                  <c:v>Liban</c:v>
                </c:pt>
                <c:pt idx="18">
                  <c:v>S.U.A.</c:v>
                </c:pt>
              </c:strCache>
            </c:strRef>
          </c:cat>
          <c:val>
            <c:numRef>
              <c:f>'Figura 5'!$B$24:$B$42</c:f>
              <c:numCache>
                <c:formatCode>#\ ##0,0</c:formatCode>
                <c:ptCount val="19"/>
                <c:pt idx="0">
                  <c:v>24.826963172111753</c:v>
                </c:pt>
                <c:pt idx="1">
                  <c:v>3.1141822936987373</c:v>
                </c:pt>
                <c:pt idx="2">
                  <c:v>11.74226980071203</c:v>
                </c:pt>
                <c:pt idx="3">
                  <c:v>6.3527878584777024</c:v>
                </c:pt>
                <c:pt idx="4">
                  <c:v>9.9337461012113391</c:v>
                </c:pt>
                <c:pt idx="5">
                  <c:v>3.4335397741605789</c:v>
                </c:pt>
                <c:pt idx="6">
                  <c:v>2.5264218101800444</c:v>
                </c:pt>
                <c:pt idx="7">
                  <c:v>1.7815111344268955</c:v>
                </c:pt>
                <c:pt idx="8">
                  <c:v>1.5121161641193015</c:v>
                </c:pt>
                <c:pt idx="9">
                  <c:v>5.4363158687680251</c:v>
                </c:pt>
                <c:pt idx="10">
                  <c:v>6.2264829901641709</c:v>
                </c:pt>
                <c:pt idx="11">
                  <c:v>3.1259106505702938</c:v>
                </c:pt>
                <c:pt idx="12">
                  <c:v>0.34014969631284403</c:v>
                </c:pt>
                <c:pt idx="13">
                  <c:v>1.3183164173871136</c:v>
                </c:pt>
                <c:pt idx="14">
                  <c:v>2.0503949342437222</c:v>
                </c:pt>
                <c:pt idx="15">
                  <c:v>0.29181641749812259</c:v>
                </c:pt>
                <c:pt idx="16">
                  <c:v>1.1703689001720889</c:v>
                </c:pt>
                <c:pt idx="17">
                  <c:v>0.60824364370966633</c:v>
                </c:pt>
                <c:pt idx="18">
                  <c:v>0.86432918973537143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D-42D8-B371-6A71C526E757}"/>
            </c:ext>
          </c:extLst>
        </c:ser>
        <c:ser>
          <c:idx val="1"/>
          <c:order val="1"/>
          <c:tx>
            <c:strRef>
              <c:f>'Figura 5'!$C$23</c:f>
              <c:strCache>
                <c:ptCount val="1"/>
                <c:pt idx="0">
                  <c:v>Ianuarie - septembrie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Turcia</c:v>
                </c:pt>
                <c:pt idx="2">
                  <c:v>Federaţia Rusă</c:v>
                </c:pt>
                <c:pt idx="3">
                  <c:v>Germania</c:v>
                </c:pt>
                <c:pt idx="4">
                  <c:v>Italia</c:v>
                </c:pt>
                <c:pt idx="5">
                  <c:v>Polonia</c:v>
                </c:pt>
                <c:pt idx="6">
                  <c:v>Ucraina</c:v>
                </c:pt>
                <c:pt idx="7">
                  <c:v>Elveţia</c:v>
                </c:pt>
                <c:pt idx="8">
                  <c:v>Republica Cehă</c:v>
                </c:pt>
                <c:pt idx="9">
                  <c:v>Belarus</c:v>
                </c:pt>
                <c:pt idx="10">
                  <c:v>Regatul Unit </c:v>
                </c:pt>
                <c:pt idx="11">
                  <c:v>Bulgaria</c:v>
                </c:pt>
                <c:pt idx="12">
                  <c:v>Ungaria</c:v>
                </c:pt>
                <c:pt idx="13">
                  <c:v>Olanda</c:v>
                </c:pt>
                <c:pt idx="14">
                  <c:v>Franţa</c:v>
                </c:pt>
                <c:pt idx="15">
                  <c:v>Spania</c:v>
                </c:pt>
                <c:pt idx="16">
                  <c:v>Grecia</c:v>
                </c:pt>
                <c:pt idx="17">
                  <c:v>Liban</c:v>
                </c:pt>
                <c:pt idx="18">
                  <c:v>S.U.A.</c:v>
                </c:pt>
              </c:strCache>
            </c:strRef>
          </c:cat>
          <c:val>
            <c:numRef>
              <c:f>'Figura 5'!$C$24:$C$42</c:f>
              <c:numCache>
                <c:formatCode>#\ ##0,0</c:formatCode>
                <c:ptCount val="19"/>
                <c:pt idx="0">
                  <c:v>24.882217285196102</c:v>
                </c:pt>
                <c:pt idx="1">
                  <c:v>3.9395097332860951</c:v>
                </c:pt>
                <c:pt idx="2">
                  <c:v>11.08216572316644</c:v>
                </c:pt>
                <c:pt idx="3">
                  <c:v>6.6445671718870765</c:v>
                </c:pt>
                <c:pt idx="4">
                  <c:v>9.6394912545102915</c:v>
                </c:pt>
                <c:pt idx="5">
                  <c:v>3.5632752573733204</c:v>
                </c:pt>
                <c:pt idx="6">
                  <c:v>2.9563487072576811</c:v>
                </c:pt>
                <c:pt idx="7">
                  <c:v>1.4146556363275447</c:v>
                </c:pt>
                <c:pt idx="8">
                  <c:v>1.3096835403606839</c:v>
                </c:pt>
                <c:pt idx="9">
                  <c:v>4.9800362040309247</c:v>
                </c:pt>
                <c:pt idx="10">
                  <c:v>5.7725305141323933</c:v>
                </c:pt>
                <c:pt idx="11">
                  <c:v>3.5322477086589381</c:v>
                </c:pt>
                <c:pt idx="12">
                  <c:v>0.4640227044033271</c:v>
                </c:pt>
                <c:pt idx="13">
                  <c:v>0.98441176893746907</c:v>
                </c:pt>
                <c:pt idx="14">
                  <c:v>1.716970426619421</c:v>
                </c:pt>
                <c:pt idx="15">
                  <c:v>0.96546221337049554</c:v>
                </c:pt>
                <c:pt idx="16">
                  <c:v>1.3011048279122546</c:v>
                </c:pt>
                <c:pt idx="17">
                  <c:v>0.39940160140791131</c:v>
                </c:pt>
                <c:pt idx="18">
                  <c:v>0.81141682485976063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D-42D8-B371-6A71C526E757}"/>
            </c:ext>
          </c:extLst>
        </c:ser>
        <c:ser>
          <c:idx val="2"/>
          <c:order val="2"/>
          <c:tx>
            <c:strRef>
              <c:f>'Figura 5'!$D$23</c:f>
              <c:strCache>
                <c:ptCount val="1"/>
                <c:pt idx="0">
                  <c:v>Ianuarie - septembrie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Turcia</c:v>
                </c:pt>
                <c:pt idx="2">
                  <c:v>Federaţia Rusă</c:v>
                </c:pt>
                <c:pt idx="3">
                  <c:v>Germania</c:v>
                </c:pt>
                <c:pt idx="4">
                  <c:v>Italia</c:v>
                </c:pt>
                <c:pt idx="5">
                  <c:v>Polonia</c:v>
                </c:pt>
                <c:pt idx="6">
                  <c:v>Ucraina</c:v>
                </c:pt>
                <c:pt idx="7">
                  <c:v>Elveţia</c:v>
                </c:pt>
                <c:pt idx="8">
                  <c:v>Republica Cehă</c:v>
                </c:pt>
                <c:pt idx="9">
                  <c:v>Belarus</c:v>
                </c:pt>
                <c:pt idx="10">
                  <c:v>Regatul Unit </c:v>
                </c:pt>
                <c:pt idx="11">
                  <c:v>Bulgaria</c:v>
                </c:pt>
                <c:pt idx="12">
                  <c:v>Ungaria</c:v>
                </c:pt>
                <c:pt idx="13">
                  <c:v>Olanda</c:v>
                </c:pt>
                <c:pt idx="14">
                  <c:v>Franţa</c:v>
                </c:pt>
                <c:pt idx="15">
                  <c:v>Spania</c:v>
                </c:pt>
                <c:pt idx="16">
                  <c:v>Grecia</c:v>
                </c:pt>
                <c:pt idx="17">
                  <c:v>Liban</c:v>
                </c:pt>
                <c:pt idx="18">
                  <c:v>S.U.A.</c:v>
                </c:pt>
              </c:strCache>
            </c:strRef>
          </c:cat>
          <c:val>
            <c:numRef>
              <c:f>'Figura 5'!$D$24:$D$42</c:f>
              <c:numCache>
                <c:formatCode>#\ ##0,0</c:formatCode>
                <c:ptCount val="19"/>
                <c:pt idx="0">
                  <c:v>28.673214276324938</c:v>
                </c:pt>
                <c:pt idx="1">
                  <c:v>3.0883532183431166</c:v>
                </c:pt>
                <c:pt idx="2">
                  <c:v>8.1400639498893845</c:v>
                </c:pt>
                <c:pt idx="3">
                  <c:v>8.3607176765475746</c:v>
                </c:pt>
                <c:pt idx="4">
                  <c:v>11.722679594022678</c:v>
                </c:pt>
                <c:pt idx="5">
                  <c:v>3.5449202437282632</c:v>
                </c:pt>
                <c:pt idx="6">
                  <c:v>2.9867976670329321</c:v>
                </c:pt>
                <c:pt idx="7">
                  <c:v>1.9862049695544333</c:v>
                </c:pt>
                <c:pt idx="8">
                  <c:v>1.5534886756788138</c:v>
                </c:pt>
                <c:pt idx="9">
                  <c:v>3.478194014628333</c:v>
                </c:pt>
                <c:pt idx="10">
                  <c:v>3.2171872913561059</c:v>
                </c:pt>
                <c:pt idx="11">
                  <c:v>1.92422620669579</c:v>
                </c:pt>
                <c:pt idx="12">
                  <c:v>0.30168639565633398</c:v>
                </c:pt>
                <c:pt idx="13">
                  <c:v>1.3770044089213822</c:v>
                </c:pt>
                <c:pt idx="14">
                  <c:v>1.9520749730284022</c:v>
                </c:pt>
                <c:pt idx="15">
                  <c:v>1.0150733561527991</c:v>
                </c:pt>
                <c:pt idx="16">
                  <c:v>1.3557782229429998</c:v>
                </c:pt>
                <c:pt idx="17">
                  <c:v>0.59410859659240856</c:v>
                </c:pt>
                <c:pt idx="18">
                  <c:v>0.82863570251120988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D-42D8-B371-6A71C526E757}"/>
            </c:ext>
          </c:extLst>
        </c:ser>
        <c:ser>
          <c:idx val="3"/>
          <c:order val="3"/>
          <c:tx>
            <c:strRef>
              <c:f>'Figura 5'!$E$23</c:f>
              <c:strCache>
                <c:ptCount val="1"/>
                <c:pt idx="0">
                  <c:v> Ianuarie - septembrie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Turcia</c:v>
                </c:pt>
                <c:pt idx="2">
                  <c:v>Federaţia Rusă</c:v>
                </c:pt>
                <c:pt idx="3">
                  <c:v>Germania</c:v>
                </c:pt>
                <c:pt idx="4">
                  <c:v>Italia</c:v>
                </c:pt>
                <c:pt idx="5">
                  <c:v>Polonia</c:v>
                </c:pt>
                <c:pt idx="6">
                  <c:v>Ucraina</c:v>
                </c:pt>
                <c:pt idx="7">
                  <c:v>Elveţia</c:v>
                </c:pt>
                <c:pt idx="8">
                  <c:v>Republica Cehă</c:v>
                </c:pt>
                <c:pt idx="9">
                  <c:v>Belarus</c:v>
                </c:pt>
                <c:pt idx="10">
                  <c:v>Regatul Unit </c:v>
                </c:pt>
                <c:pt idx="11">
                  <c:v>Bulgaria</c:v>
                </c:pt>
                <c:pt idx="12">
                  <c:v>Ungaria</c:v>
                </c:pt>
                <c:pt idx="13">
                  <c:v>Olanda</c:v>
                </c:pt>
                <c:pt idx="14">
                  <c:v>Franţa</c:v>
                </c:pt>
                <c:pt idx="15">
                  <c:v>Spania</c:v>
                </c:pt>
                <c:pt idx="16">
                  <c:v>Grecia</c:v>
                </c:pt>
                <c:pt idx="17">
                  <c:v>Liban</c:v>
                </c:pt>
                <c:pt idx="18">
                  <c:v>S.U.A.</c:v>
                </c:pt>
              </c:strCache>
            </c:strRef>
          </c:cat>
          <c:val>
            <c:numRef>
              <c:f>'Figura 5'!$E$24:$E$42</c:f>
              <c:numCache>
                <c:formatCode>#\ ##0,0</c:formatCode>
                <c:ptCount val="19"/>
                <c:pt idx="0">
                  <c:v>28.232947866457824</c:v>
                </c:pt>
                <c:pt idx="1">
                  <c:v>7.3960538163391449</c:v>
                </c:pt>
                <c:pt idx="2">
                  <c:v>8.4757902274192123</c:v>
                </c:pt>
                <c:pt idx="3">
                  <c:v>8.9788486629316555</c:v>
                </c:pt>
                <c:pt idx="4">
                  <c:v>10.205860053828975</c:v>
                </c:pt>
                <c:pt idx="5">
                  <c:v>3.9698454818509594</c:v>
                </c:pt>
                <c:pt idx="6">
                  <c:v>2.6550254933367037</c:v>
                </c:pt>
                <c:pt idx="7">
                  <c:v>2.9628534357755534</c:v>
                </c:pt>
                <c:pt idx="8">
                  <c:v>2.0699477272359315</c:v>
                </c:pt>
                <c:pt idx="9">
                  <c:v>2.9567656155859816</c:v>
                </c:pt>
                <c:pt idx="10">
                  <c:v>1.9230742558175022</c:v>
                </c:pt>
                <c:pt idx="11">
                  <c:v>1.7531661149759075</c:v>
                </c:pt>
                <c:pt idx="12">
                  <c:v>0.33587870003475229</c:v>
                </c:pt>
                <c:pt idx="13">
                  <c:v>1.2543294957528623</c:v>
                </c:pt>
                <c:pt idx="14">
                  <c:v>1.2291279217598157</c:v>
                </c:pt>
                <c:pt idx="15">
                  <c:v>1.1632498115350558</c:v>
                </c:pt>
                <c:pt idx="16">
                  <c:v>1.1283568803738353</c:v>
                </c:pt>
                <c:pt idx="17">
                  <c:v>0.47074515140297535</c:v>
                </c:pt>
                <c:pt idx="18">
                  <c:v>0.80589873135736345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DD-42D8-B371-6A71C526E757}"/>
            </c:ext>
          </c:extLst>
        </c:ser>
        <c:ser>
          <c:idx val="4"/>
          <c:order val="4"/>
          <c:tx>
            <c:strRef>
              <c:f>'Figura 5'!$F$23</c:f>
              <c:strCache>
                <c:ptCount val="1"/>
                <c:pt idx="0">
                  <c:v>Ianuarie - septembrie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Turcia</c:v>
                </c:pt>
                <c:pt idx="2">
                  <c:v>Federaţia Rusă</c:v>
                </c:pt>
                <c:pt idx="3">
                  <c:v>Germania</c:v>
                </c:pt>
                <c:pt idx="4">
                  <c:v>Italia</c:v>
                </c:pt>
                <c:pt idx="5">
                  <c:v>Polonia</c:v>
                </c:pt>
                <c:pt idx="6">
                  <c:v>Ucraina</c:v>
                </c:pt>
                <c:pt idx="7">
                  <c:v>Elveţia</c:v>
                </c:pt>
                <c:pt idx="8">
                  <c:v>Republica Cehă</c:v>
                </c:pt>
                <c:pt idx="9">
                  <c:v>Belarus</c:v>
                </c:pt>
                <c:pt idx="10">
                  <c:v>Regatul Unit </c:v>
                </c:pt>
                <c:pt idx="11">
                  <c:v>Bulgaria</c:v>
                </c:pt>
                <c:pt idx="12">
                  <c:v>Ungaria</c:v>
                </c:pt>
                <c:pt idx="13">
                  <c:v>Olanda</c:v>
                </c:pt>
                <c:pt idx="14">
                  <c:v>Franţa</c:v>
                </c:pt>
                <c:pt idx="15">
                  <c:v>Spania</c:v>
                </c:pt>
                <c:pt idx="16">
                  <c:v>Grecia</c:v>
                </c:pt>
                <c:pt idx="17">
                  <c:v>Liban</c:v>
                </c:pt>
                <c:pt idx="18">
                  <c:v>S.U.A.</c:v>
                </c:pt>
              </c:strCache>
            </c:strRef>
          </c:cat>
          <c:val>
            <c:numRef>
              <c:f>'Figura 5'!$F$24:$F$42</c:f>
              <c:numCache>
                <c:formatCode>#\ ##0,0</c:formatCode>
                <c:ptCount val="19"/>
                <c:pt idx="0">
                  <c:v>27.951234636485811</c:v>
                </c:pt>
                <c:pt idx="1">
                  <c:v>6.6541017759603154</c:v>
                </c:pt>
                <c:pt idx="2">
                  <c:v>9.3897262239558845</c:v>
                </c:pt>
                <c:pt idx="3">
                  <c:v>9.3363230396767776</c:v>
                </c:pt>
                <c:pt idx="4">
                  <c:v>8.793585906229854</c:v>
                </c:pt>
                <c:pt idx="5">
                  <c:v>4.2066250018039364</c:v>
                </c:pt>
                <c:pt idx="6">
                  <c:v>2.6492092303963379</c:v>
                </c:pt>
                <c:pt idx="7">
                  <c:v>2.5550125095090555</c:v>
                </c:pt>
                <c:pt idx="8">
                  <c:v>3.3034103402875603</c:v>
                </c:pt>
                <c:pt idx="9">
                  <c:v>2.7921368615712927</c:v>
                </c:pt>
                <c:pt idx="10">
                  <c:v>1.7445948628829606</c:v>
                </c:pt>
                <c:pt idx="11">
                  <c:v>1.6604442981096166</c:v>
                </c:pt>
                <c:pt idx="12">
                  <c:v>0.9762431661383143</c:v>
                </c:pt>
                <c:pt idx="13">
                  <c:v>1.4892054064236466</c:v>
                </c:pt>
                <c:pt idx="14">
                  <c:v>1.3300140520648291</c:v>
                </c:pt>
                <c:pt idx="15">
                  <c:v>1.3547498597503</c:v>
                </c:pt>
                <c:pt idx="16">
                  <c:v>1.3610598097009505</c:v>
                </c:pt>
                <c:pt idx="17">
                  <c:v>0.57246603747315261</c:v>
                </c:pt>
                <c:pt idx="18">
                  <c:v>1.129474516758239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DD-42D8-B371-6A71C526E757}"/>
            </c:ext>
          </c:extLst>
        </c:ser>
        <c:ser>
          <c:idx val="5"/>
          <c:order val="5"/>
          <c:tx>
            <c:strRef>
              <c:f>'Figura 5'!$G$23</c:f>
              <c:strCache>
                <c:ptCount val="1"/>
                <c:pt idx="0">
                  <c:v>Ianuarie - septembrie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Turcia</c:v>
                </c:pt>
                <c:pt idx="2">
                  <c:v>Federaţia Rusă</c:v>
                </c:pt>
                <c:pt idx="3">
                  <c:v>Germania</c:v>
                </c:pt>
                <c:pt idx="4">
                  <c:v>Italia</c:v>
                </c:pt>
                <c:pt idx="5">
                  <c:v>Polonia</c:v>
                </c:pt>
                <c:pt idx="6">
                  <c:v>Ucraina</c:v>
                </c:pt>
                <c:pt idx="7">
                  <c:v>Elveţia</c:v>
                </c:pt>
                <c:pt idx="8">
                  <c:v>Republica Cehă</c:v>
                </c:pt>
                <c:pt idx="9">
                  <c:v>Belarus</c:v>
                </c:pt>
                <c:pt idx="10">
                  <c:v>Regatul Unit </c:v>
                </c:pt>
                <c:pt idx="11">
                  <c:v>Bulgaria</c:v>
                </c:pt>
                <c:pt idx="12">
                  <c:v>Ungaria</c:v>
                </c:pt>
                <c:pt idx="13">
                  <c:v>Olanda</c:v>
                </c:pt>
                <c:pt idx="14">
                  <c:v>Franţa</c:v>
                </c:pt>
                <c:pt idx="15">
                  <c:v>Spania</c:v>
                </c:pt>
                <c:pt idx="16">
                  <c:v>Grecia</c:v>
                </c:pt>
                <c:pt idx="17">
                  <c:v>Liban</c:v>
                </c:pt>
                <c:pt idx="18">
                  <c:v>S.U.A.</c:v>
                </c:pt>
              </c:strCache>
            </c:strRef>
          </c:cat>
          <c:val>
            <c:numRef>
              <c:f>'Figura 5'!$G$24:$G$42</c:f>
              <c:numCache>
                <c:formatCode>#\ ##0,0</c:formatCode>
                <c:ptCount val="19"/>
                <c:pt idx="0">
                  <c:v>26.859417171796316</c:v>
                </c:pt>
                <c:pt idx="1">
                  <c:v>9.7263985648028637</c:v>
                </c:pt>
                <c:pt idx="2">
                  <c:v>9.231802985590841</c:v>
                </c:pt>
                <c:pt idx="3">
                  <c:v>8.9332756768955477</c:v>
                </c:pt>
                <c:pt idx="4">
                  <c:v>7.4662795306653278</c:v>
                </c:pt>
                <c:pt idx="5">
                  <c:v>3.6486133959482832</c:v>
                </c:pt>
                <c:pt idx="6">
                  <c:v>3.0208251317207067</c:v>
                </c:pt>
                <c:pt idx="7">
                  <c:v>2.9425125403580199</c:v>
                </c:pt>
                <c:pt idx="8">
                  <c:v>2.8610887632433317</c:v>
                </c:pt>
                <c:pt idx="9">
                  <c:v>2.1753351923658357</c:v>
                </c:pt>
                <c:pt idx="10">
                  <c:v>2.1502362075630175</c:v>
                </c:pt>
                <c:pt idx="11">
                  <c:v>1.8846387308540336</c:v>
                </c:pt>
                <c:pt idx="12">
                  <c:v>1.3962078364454271</c:v>
                </c:pt>
                <c:pt idx="13">
                  <c:v>1.2485540909355453</c:v>
                </c:pt>
                <c:pt idx="14">
                  <c:v>1.1186409945442042</c:v>
                </c:pt>
                <c:pt idx="15">
                  <c:v>0.99409944050477539</c:v>
                </c:pt>
                <c:pt idx="16">
                  <c:v>0.97472557001483195</c:v>
                </c:pt>
                <c:pt idx="17">
                  <c:v>0.97412220396236493</c:v>
                </c:pt>
                <c:pt idx="18">
                  <c:v>0.88384298440932829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DD-42D8-B371-6A71C526E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6990736"/>
        <c:axId val="250553152"/>
      </c:barChart>
      <c:catAx>
        <c:axId val="30699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0553152"/>
        <c:crosses val="autoZero"/>
        <c:auto val="1"/>
        <c:lblAlgn val="ctr"/>
        <c:lblOffset val="100"/>
        <c:noMultiLvlLbl val="0"/>
      </c:catAx>
      <c:valAx>
        <c:axId val="250553152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6990736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367639180296727"/>
          <c:y val="0.87016811283858642"/>
          <c:w val="0.74175126090956245"/>
          <c:h val="0.120018142208144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 baseline="0">
                <a:solidFill>
                  <a:sysClr val="windowText" lastClr="000000"/>
                </a:solidFill>
              </a:rPr>
              <a:t>Ianuarie-</a:t>
            </a:r>
            <a:r>
              <a:rPr lang="en-US" sz="900" b="1" baseline="0">
                <a:solidFill>
                  <a:sysClr val="windowText" lastClr="000000"/>
                </a:solidFill>
              </a:rPr>
              <a:t>septembrie</a:t>
            </a:r>
            <a:r>
              <a:rPr lang="ro-RO" sz="900" b="1" baseline="0">
                <a:solidFill>
                  <a:sysClr val="windowText" lastClr="000000"/>
                </a:solidFill>
              </a:rPr>
              <a:t> </a:t>
            </a:r>
            <a:r>
              <a:rPr lang="en-US" sz="900" b="1" baseline="0">
                <a:solidFill>
                  <a:sysClr val="windowText" lastClr="000000"/>
                </a:solidFill>
              </a:rPr>
              <a:t> </a:t>
            </a:r>
            <a:r>
              <a:rPr lang="ro-RO" sz="900" b="1" baseline="0">
                <a:solidFill>
                  <a:sysClr val="windowText" lastClr="000000"/>
                </a:solidFill>
              </a:rPr>
              <a:t>2020</a:t>
            </a:r>
            <a:endParaRPr lang="en-US" sz="900" b="1" baseline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4070144854115297"/>
          <c:y val="1.24541507783225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450982871867027"/>
          <c:y val="0.14671789654880885"/>
          <c:w val="0.52484583099504412"/>
          <c:h val="0.57519206008434975"/>
        </c:manualLayout>
      </c:layout>
      <c:pieChart>
        <c:varyColors val="1"/>
        <c:ser>
          <c:idx val="0"/>
          <c:order val="0"/>
          <c:tx>
            <c:strRef>
              <c:f>'Figura 6'!$B$25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outerShdw blurRad="254000" sx="102000" sy="102000" algn="ctr" rotWithShape="0">
                <a:schemeClr val="bg1">
                  <a:alpha val="20000"/>
                </a:schemeClr>
              </a:outerShdw>
            </a:effectLst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812-4B6E-845E-70CFFD92003C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812-4B6E-845E-70CFFD92003C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812-4B6E-845E-70CFFD92003C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812-4B6E-845E-70CFFD92003C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812-4B6E-845E-70CFFD92003C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812-4B6E-845E-70CFFD92003C}"/>
              </c:ext>
            </c:extLst>
          </c:dPt>
          <c:dPt>
            <c:idx val="6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812-4B6E-845E-70CFFD92003C}"/>
              </c:ext>
            </c:extLst>
          </c:dPt>
          <c:dPt>
            <c:idx val="7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812-4B6E-845E-70CFFD92003C}"/>
              </c:ext>
            </c:extLst>
          </c:dPt>
          <c:dPt>
            <c:idx val="8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812-4B6E-845E-70CFFD92003C}"/>
              </c:ext>
            </c:extLst>
          </c:dPt>
          <c:dLbls>
            <c:dLbl>
              <c:idx val="0"/>
              <c:layout>
                <c:manualLayout>
                  <c:x val="1.1742651672052273E-2"/>
                  <c:y val="3.52733431256872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71644033074503"/>
                      <c:h val="0.144159824058689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812-4B6E-845E-70CFFD92003C}"/>
                </c:ext>
              </c:extLst>
            </c:dLbl>
            <c:dLbl>
              <c:idx val="1"/>
              <c:layout>
                <c:manualLayout>
                  <c:x val="1.261254773215854E-2"/>
                  <c:y val="-0.110828174780039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340117862625661"/>
                      <c:h val="0.17004621897010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812-4B6E-845E-70CFFD92003C}"/>
                </c:ext>
              </c:extLst>
            </c:dLbl>
            <c:dLbl>
              <c:idx val="2"/>
              <c:layout>
                <c:manualLayout>
                  <c:x val="3.263970460212634E-2"/>
                  <c:y val="-0.131078756664850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9854074844418"/>
                      <c:h val="0.212265436517405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812-4B6E-845E-70CFFD92003C}"/>
                </c:ext>
              </c:extLst>
            </c:dLbl>
            <c:dLbl>
              <c:idx val="3"/>
              <c:layout>
                <c:manualLayout>
                  <c:x val="3.0499672663511824E-2"/>
                  <c:y val="-3.04419023093811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5522705888179"/>
                      <c:h val="0.158395503592353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812-4B6E-845E-70CFFD92003C}"/>
                </c:ext>
              </c:extLst>
            </c:dLbl>
            <c:dLbl>
              <c:idx val="4"/>
              <c:layout>
                <c:manualLayout>
                  <c:x val="-2.9098715856968667E-2"/>
                  <c:y val="5.08022582082899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79142868335488"/>
                      <c:h val="0.171258977243229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812-4B6E-845E-70CFFD92003C}"/>
                </c:ext>
              </c:extLst>
            </c:dLbl>
            <c:dLbl>
              <c:idx val="5"/>
              <c:layout>
                <c:manualLayout>
                  <c:x val="-6.1901802853452884E-2"/>
                  <c:y val="1.1242965796446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289304157963768"/>
                      <c:h val="0.1592046839947509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812-4B6E-845E-70CFFD92003C}"/>
                </c:ext>
              </c:extLst>
            </c:dLbl>
            <c:dLbl>
              <c:idx val="6"/>
              <c:layout>
                <c:manualLayout>
                  <c:x val="-3.5497494708383724E-2"/>
                  <c:y val="-3.73185427293285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7013358404826"/>
                      <c:h val="0.189049830309672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F812-4B6E-845E-70CFFD92003C}"/>
                </c:ext>
              </c:extLst>
            </c:dLbl>
            <c:dLbl>
              <c:idx val="7"/>
              <c:layout>
                <c:manualLayout>
                  <c:x val="3.4031625253957572E-3"/>
                  <c:y val="-6.964294557519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39718729188702"/>
                      <c:h val="0.245371636237777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812-4B6E-845E-70CFFD92003C}"/>
                </c:ext>
              </c:extLst>
            </c:dLbl>
            <c:dLbl>
              <c:idx val="8"/>
              <c:layout>
                <c:manualLayout>
                  <c:x val="2.6754014550806554E-3"/>
                  <c:y val="0.100562901335446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07752575704152"/>
                      <c:h val="0.222003018853412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F812-4B6E-845E-70CFFD92003C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>
                <a:outerShdw sx="1000" sy="1000" algn="tl" rotWithShape="0">
                  <a:schemeClr val="bg1"/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bg2">
                      <a:lumMod val="7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6'!$A$26:$A$34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 </c:v>
                </c:pt>
                <c:pt idx="5">
                  <c:v>Produse chimice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6'!$B$26:$B$34</c:f>
              <c:numCache>
                <c:formatCode>#\ ##0,0</c:formatCode>
                <c:ptCount val="9"/>
                <c:pt idx="0">
                  <c:v>23.4</c:v>
                </c:pt>
                <c:pt idx="1">
                  <c:v>7.6</c:v>
                </c:pt>
                <c:pt idx="2">
                  <c:v>8.8000000000000007</c:v>
                </c:pt>
                <c:pt idx="3">
                  <c:v>0.5</c:v>
                </c:pt>
                <c:pt idx="4">
                  <c:v>4</c:v>
                </c:pt>
                <c:pt idx="5">
                  <c:v>5.3</c:v>
                </c:pt>
                <c:pt idx="6">
                  <c:v>7.1</c:v>
                </c:pt>
                <c:pt idx="7">
                  <c:v>22.1</c:v>
                </c:pt>
                <c:pt idx="8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812-4B6E-845E-70CFFD92003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</a:t>
            </a:r>
            <a:r>
              <a:rPr lang="en-US" sz="9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-septembrie  </a:t>
            </a:r>
            <a:r>
              <a:rPr lang="ro-RO" sz="9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2021</a:t>
            </a:r>
            <a:endParaRPr lang="en-US" sz="9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9661870125346929"/>
          <c:y val="1.97247137265484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040792382912905"/>
          <c:y val="0.15649531559909241"/>
          <c:w val="0.50365949978060554"/>
          <c:h val="0.58254936399254897"/>
        </c:manualLayout>
      </c:layout>
      <c:pieChart>
        <c:varyColors val="1"/>
        <c:ser>
          <c:idx val="0"/>
          <c:order val="0"/>
          <c:tx>
            <c:strRef>
              <c:f>'Figura 6'!$B$36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78-4F5F-8973-1809C55EF17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78-4F5F-8973-1809C55EF17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378-4F5F-8973-1809C55EF17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378-4F5F-8973-1809C55EF17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378-4F5F-8973-1809C55EF17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378-4F5F-8973-1809C55EF17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378-4F5F-8973-1809C55EF17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378-4F5F-8973-1809C55EF17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378-4F5F-8973-1809C55EF17F}"/>
              </c:ext>
            </c:extLst>
          </c:dPt>
          <c:dLbls>
            <c:dLbl>
              <c:idx val="0"/>
              <c:layout>
                <c:manualLayout>
                  <c:x val="-2.9634941913789237E-2"/>
                  <c:y val="5.5055220655488062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7682312755042576"/>
                      <c:h val="0.171267766446697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378-4F5F-8973-1809C55EF17F}"/>
                </c:ext>
              </c:extLst>
            </c:dLbl>
            <c:dLbl>
              <c:idx val="1"/>
              <c:layout>
                <c:manualLayout>
                  <c:x val="-2.3167859287854514E-2"/>
                  <c:y val="-6.17995096291294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44307091737149"/>
                      <c:h val="0.174130096792416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378-4F5F-8973-1809C55EF17F}"/>
                </c:ext>
              </c:extLst>
            </c:dLbl>
            <c:dLbl>
              <c:idx val="2"/>
              <c:layout>
                <c:manualLayout>
                  <c:x val="2.393717715007708E-2"/>
                  <c:y val="-7.6861430021404831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4378-4F5F-8973-1809C55EF17F}"/>
                </c:ext>
              </c:extLst>
            </c:dLbl>
            <c:dLbl>
              <c:idx val="3"/>
              <c:layout>
                <c:manualLayout>
                  <c:x val="4.1666817349668671E-2"/>
                  <c:y val="-1.75352447384603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22801837270337"/>
                      <c:h val="0.174130176174021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378-4F5F-8973-1809C55EF17F}"/>
                </c:ext>
              </c:extLst>
            </c:dLbl>
            <c:dLbl>
              <c:idx val="4"/>
              <c:layout>
                <c:manualLayout>
                  <c:x val="-1.3070753597684174E-2"/>
                  <c:y val="7.52955622106161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78-4F5F-8973-1809C55EF17F}"/>
                </c:ext>
              </c:extLst>
            </c:dLbl>
            <c:dLbl>
              <c:idx val="5"/>
              <c:layout>
                <c:manualLayout>
                  <c:x val="-9.583327653743258E-2"/>
                  <c:y val="3.09708922836176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378-4F5F-8973-1809C55EF17F}"/>
                </c:ext>
              </c:extLst>
            </c:dLbl>
            <c:dLbl>
              <c:idx val="6"/>
              <c:layout>
                <c:manualLayout>
                  <c:x val="-7.1887753867244483E-2"/>
                  <c:y val="-6.99792731851154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20800524934378"/>
                      <c:h val="0.22733057648369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4378-4F5F-8973-1809C55EF17F}"/>
                </c:ext>
              </c:extLst>
            </c:dLbl>
            <c:dLbl>
              <c:idx val="7"/>
              <c:layout>
                <c:manualLayout>
                  <c:x val="1.3909200184825452E-7"/>
                  <c:y val="-9.02574138874406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22637795275591"/>
                      <c:h val="0.280530976793368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378-4F5F-8973-1809C55EF17F}"/>
                </c:ext>
              </c:extLst>
            </c:dLbl>
            <c:dLbl>
              <c:idx val="8"/>
              <c:layout>
                <c:manualLayout>
                  <c:x val="-1.7008256303033018E-2"/>
                  <c:y val="5.8388750803660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91537558612269"/>
                      <c:h val="0.177278777545184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378-4F5F-8973-1809C55EF17F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bg1">
                      <a:lumMod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6'!$A$37:$A$45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 </c:v>
                </c:pt>
                <c:pt idx="5">
                  <c:v>Produse chimice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6'!$B$37:$B$45</c:f>
              <c:numCache>
                <c:formatCode>#\ ##0,0</c:formatCode>
                <c:ptCount val="9"/>
                <c:pt idx="0">
                  <c:v>23.1</c:v>
                </c:pt>
                <c:pt idx="1">
                  <c:v>7.1</c:v>
                </c:pt>
                <c:pt idx="2">
                  <c:v>10.3</c:v>
                </c:pt>
                <c:pt idx="3">
                  <c:v>0.7</c:v>
                </c:pt>
                <c:pt idx="4">
                  <c:v>2.2000000000000002</c:v>
                </c:pt>
                <c:pt idx="5">
                  <c:v>5.0999999999999996</c:v>
                </c:pt>
                <c:pt idx="6">
                  <c:v>8.5</c:v>
                </c:pt>
                <c:pt idx="7">
                  <c:v>22.5</c:v>
                </c:pt>
                <c:pt idx="8">
                  <c:v>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378-4F5F-8973-1809C55EF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315800362667183E-2"/>
          <c:y val="8.2824526452265762E-2"/>
          <c:w val="0.94068416183226722"/>
          <c:h val="0.711200158199403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7'!$B$21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7'!$B$22:$B$27</c:f>
              <c:numCache>
                <c:formatCode>#\ ##0,0</c:formatCode>
                <c:ptCount val="6"/>
                <c:pt idx="0">
                  <c:v>207.3</c:v>
                </c:pt>
                <c:pt idx="1">
                  <c:v>266.8</c:v>
                </c:pt>
                <c:pt idx="2">
                  <c:v>374.3</c:v>
                </c:pt>
                <c:pt idx="3">
                  <c:v>372.6</c:v>
                </c:pt>
                <c:pt idx="4">
                  <c:v>379.8</c:v>
                </c:pt>
                <c:pt idx="5">
                  <c:v>399.4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5-4F6B-A686-03D9A8D64A69}"/>
            </c:ext>
          </c:extLst>
        </c:ser>
        <c:ser>
          <c:idx val="2"/>
          <c:order val="1"/>
          <c:tx>
            <c:strRef>
              <c:f>'Figura 7'!$C$21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7'!$C$22:$C$27</c:f>
              <c:numCache>
                <c:formatCode>#\ ##0,0</c:formatCode>
                <c:ptCount val="6"/>
                <c:pt idx="0">
                  <c:v>287</c:v>
                </c:pt>
                <c:pt idx="1">
                  <c:v>332.7</c:v>
                </c:pt>
                <c:pt idx="2">
                  <c:v>427.6</c:v>
                </c:pt>
                <c:pt idx="3">
                  <c:v>459.3</c:v>
                </c:pt>
                <c:pt idx="4">
                  <c:v>484.8</c:v>
                </c:pt>
                <c:pt idx="5">
                  <c:v>521.4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85-4F6B-A686-03D9A8D64A69}"/>
            </c:ext>
          </c:extLst>
        </c:ser>
        <c:ser>
          <c:idx val="3"/>
          <c:order val="2"/>
          <c:tx>
            <c:strRef>
              <c:f>'Figura 7'!$D$21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7'!$D$22:$D$27</c:f>
              <c:numCache>
                <c:formatCode>#\ ##0,0</c:formatCode>
                <c:ptCount val="6"/>
                <c:pt idx="0">
                  <c:v>366.8</c:v>
                </c:pt>
                <c:pt idx="1">
                  <c:v>431.2</c:v>
                </c:pt>
                <c:pt idx="2">
                  <c:v>524.1</c:v>
                </c:pt>
                <c:pt idx="3">
                  <c:v>533.79999999999995</c:v>
                </c:pt>
                <c:pt idx="4">
                  <c:v>500.5</c:v>
                </c:pt>
                <c:pt idx="5">
                  <c:v>630.1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85-4F6B-A686-03D9A8D64A69}"/>
            </c:ext>
          </c:extLst>
        </c:ser>
        <c:ser>
          <c:idx val="4"/>
          <c:order val="3"/>
          <c:tx>
            <c:strRef>
              <c:f>'Figura 7'!$E$21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7'!$E$22:$E$27</c:f>
              <c:numCache>
                <c:formatCode>#\ ##0,0</c:formatCode>
                <c:ptCount val="6"/>
                <c:pt idx="0">
                  <c:v>354.9</c:v>
                </c:pt>
                <c:pt idx="1">
                  <c:v>361.5</c:v>
                </c:pt>
                <c:pt idx="2">
                  <c:v>444.6</c:v>
                </c:pt>
                <c:pt idx="3">
                  <c:v>515.6</c:v>
                </c:pt>
                <c:pt idx="4">
                  <c:v>285.60000000000002</c:v>
                </c:pt>
                <c:pt idx="5">
                  <c:v>562.20000000000005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5-4F6B-A686-03D9A8D64A69}"/>
            </c:ext>
          </c:extLst>
        </c:ser>
        <c:ser>
          <c:idx val="5"/>
          <c:order val="4"/>
          <c:tx>
            <c:strRef>
              <c:f>'Figura 7'!$F$21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7'!$F$22:$F$27</c:f>
              <c:numCache>
                <c:formatCode>#\ ##0,0</c:formatCode>
                <c:ptCount val="6"/>
                <c:pt idx="0">
                  <c:v>327.7</c:v>
                </c:pt>
                <c:pt idx="1">
                  <c:v>400.4</c:v>
                </c:pt>
                <c:pt idx="2">
                  <c:v>505.6</c:v>
                </c:pt>
                <c:pt idx="3">
                  <c:v>481.6</c:v>
                </c:pt>
                <c:pt idx="4">
                  <c:v>329.4</c:v>
                </c:pt>
                <c:pt idx="5">
                  <c:v>563.4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85-4F6B-A686-03D9A8D64A69}"/>
            </c:ext>
          </c:extLst>
        </c:ser>
        <c:ser>
          <c:idx val="6"/>
          <c:order val="5"/>
          <c:tx>
            <c:strRef>
              <c:f>'Figura 7'!$G$21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7'!$G$22:$G$27</c:f>
              <c:numCache>
                <c:formatCode>#\ ##0,0</c:formatCode>
                <c:ptCount val="6"/>
                <c:pt idx="0">
                  <c:v>324.60000000000002</c:v>
                </c:pt>
                <c:pt idx="1">
                  <c:v>388.8</c:v>
                </c:pt>
                <c:pt idx="2">
                  <c:v>458.7</c:v>
                </c:pt>
                <c:pt idx="3">
                  <c:v>445.4</c:v>
                </c:pt>
                <c:pt idx="4">
                  <c:v>413.5</c:v>
                </c:pt>
                <c:pt idx="5">
                  <c:v>589.6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85-4F6B-A686-03D9A8D64A69}"/>
            </c:ext>
          </c:extLst>
        </c:ser>
        <c:ser>
          <c:idx val="7"/>
          <c:order val="6"/>
          <c:tx>
            <c:strRef>
              <c:f>'Figura 7'!$H$21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7'!$H$22:$H$27</c:f>
              <c:numCache>
                <c:formatCode>#\ ##0,0</c:formatCode>
                <c:ptCount val="6"/>
                <c:pt idx="0">
                  <c:v>314.10000000000002</c:v>
                </c:pt>
                <c:pt idx="1">
                  <c:v>396.9</c:v>
                </c:pt>
                <c:pt idx="2">
                  <c:v>488</c:v>
                </c:pt>
                <c:pt idx="3">
                  <c:v>499.1</c:v>
                </c:pt>
                <c:pt idx="4">
                  <c:v>496.6</c:v>
                </c:pt>
                <c:pt idx="5">
                  <c:v>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85-4F6B-A686-03D9A8D64A69}"/>
            </c:ext>
          </c:extLst>
        </c:ser>
        <c:ser>
          <c:idx val="8"/>
          <c:order val="7"/>
          <c:tx>
            <c:strRef>
              <c:f>'Figura 7'!$I$21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7'!$I$22:$I$27</c:f>
              <c:numCache>
                <c:formatCode>#\ ##0,0</c:formatCode>
                <c:ptCount val="6"/>
                <c:pt idx="0">
                  <c:v>351.1</c:v>
                </c:pt>
                <c:pt idx="1">
                  <c:v>429.7</c:v>
                </c:pt>
                <c:pt idx="2">
                  <c:v>480.7</c:v>
                </c:pt>
                <c:pt idx="3">
                  <c:v>464.3</c:v>
                </c:pt>
                <c:pt idx="4">
                  <c:v>433.6</c:v>
                </c:pt>
                <c:pt idx="5">
                  <c:v>574.9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85-4F6B-A686-03D9A8D64A69}"/>
            </c:ext>
          </c:extLst>
        </c:ser>
        <c:ser>
          <c:idx val="9"/>
          <c:order val="8"/>
          <c:tx>
            <c:strRef>
              <c:f>'Figura 7'!$J$21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7'!$J$22:$J$27</c:f>
              <c:numCache>
                <c:formatCode>#\ ##0,0</c:formatCode>
                <c:ptCount val="6"/>
                <c:pt idx="0">
                  <c:v>361.6</c:v>
                </c:pt>
                <c:pt idx="1">
                  <c:v>430.8</c:v>
                </c:pt>
                <c:pt idx="2">
                  <c:v>474</c:v>
                </c:pt>
                <c:pt idx="3">
                  <c:v>501.7</c:v>
                </c:pt>
                <c:pt idx="4">
                  <c:v>508.3</c:v>
                </c:pt>
                <c:pt idx="5">
                  <c:v>669.7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385-4F6B-A686-03D9A8D64A69}"/>
            </c:ext>
          </c:extLst>
        </c:ser>
        <c:ser>
          <c:idx val="10"/>
          <c:order val="9"/>
          <c:tx>
            <c:strRef>
              <c:f>'Figura 7'!$K$21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7'!$K$22:$K$27</c:f>
              <c:numCache>
                <c:formatCode>#\ ##0,0</c:formatCode>
                <c:ptCount val="6"/>
                <c:pt idx="0">
                  <c:v>380.2</c:v>
                </c:pt>
                <c:pt idx="1">
                  <c:v>465.9</c:v>
                </c:pt>
                <c:pt idx="2">
                  <c:v>540.6</c:v>
                </c:pt>
                <c:pt idx="3">
                  <c:v>525.29999999999995</c:v>
                </c:pt>
                <c:pt idx="4">
                  <c:v>493.6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85-4F6B-A686-03D9A8D64A69}"/>
            </c:ext>
          </c:extLst>
        </c:ser>
        <c:ser>
          <c:idx val="11"/>
          <c:order val="10"/>
          <c:tx>
            <c:strRef>
              <c:f>'Figura 7'!$L$21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7'!$L$22:$L$27</c:f>
              <c:numCache>
                <c:formatCode>#\ ##0,0</c:formatCode>
                <c:ptCount val="6"/>
                <c:pt idx="0">
                  <c:v>353.5</c:v>
                </c:pt>
                <c:pt idx="1">
                  <c:v>455.3</c:v>
                </c:pt>
                <c:pt idx="2">
                  <c:v>522.6</c:v>
                </c:pt>
                <c:pt idx="3">
                  <c:v>504.1</c:v>
                </c:pt>
                <c:pt idx="4">
                  <c:v>522.9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385-4F6B-A686-03D9A8D64A69}"/>
            </c:ext>
          </c:extLst>
        </c:ser>
        <c:ser>
          <c:idx val="12"/>
          <c:order val="11"/>
          <c:tx>
            <c:strRef>
              <c:f>'Figura 7'!$M$21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7'!$M$22:$M$27</c:f>
              <c:numCache>
                <c:formatCode>#\ ##0,0</c:formatCode>
                <c:ptCount val="6"/>
                <c:pt idx="0">
                  <c:v>391.4</c:v>
                </c:pt>
                <c:pt idx="1">
                  <c:v>471.4</c:v>
                </c:pt>
                <c:pt idx="2">
                  <c:v>519.29999999999995</c:v>
                </c:pt>
                <c:pt idx="3">
                  <c:v>539.70000000000005</c:v>
                </c:pt>
                <c:pt idx="4">
                  <c:v>567.29999999999995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F-4049-8950-86FE86034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55572080"/>
        <c:axId val="255572640"/>
      </c:barChart>
      <c:catAx>
        <c:axId val="25557208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5572640"/>
        <c:crosses val="autoZero"/>
        <c:auto val="0"/>
        <c:lblAlgn val="ctr"/>
        <c:lblOffset val="100"/>
        <c:tickLblSkip val="1"/>
        <c:noMultiLvlLbl val="0"/>
      </c:catAx>
      <c:valAx>
        <c:axId val="255572640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5572080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322762736849671"/>
          <c:w val="1"/>
          <c:h val="7.8507415488726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58010999798734E-2"/>
          <c:y val="6.6174643530060306E-2"/>
          <c:w val="0.91471125269646625"/>
          <c:h val="0.67606110380261897"/>
        </c:manualLayout>
      </c:layout>
      <c:lineChart>
        <c:grouping val="standard"/>
        <c:varyColors val="0"/>
        <c:ser>
          <c:idx val="0"/>
          <c:order val="0"/>
          <c:tx>
            <c:strRef>
              <c:f>'Figura 8'!$A$25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341781132602164E-2"/>
                  <c:y val="3.5646025728265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C5-4341-8624-B7AE9C654835}"/>
                </c:ext>
              </c:extLst>
            </c:dLbl>
            <c:dLbl>
              <c:idx val="1"/>
              <c:layout>
                <c:manualLayout>
                  <c:x val="-4.5141692313841478E-2"/>
                  <c:y val="-3.4324747261481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C5-4341-8624-B7AE9C654835}"/>
                </c:ext>
              </c:extLst>
            </c:dLbl>
            <c:dLbl>
              <c:idx val="2"/>
              <c:layout>
                <c:manualLayout>
                  <c:x val="-3.4394260362124784E-2"/>
                  <c:y val="-3.6512912226665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C5-4341-8624-B7AE9C654835}"/>
                </c:ext>
              </c:extLst>
            </c:dLbl>
            <c:dLbl>
              <c:idx val="3"/>
              <c:layout>
                <c:manualLayout>
                  <c:x val="-3.0079946903188826E-2"/>
                  <c:y val="-2.9653128202145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C5-4341-8624-B7AE9C654835}"/>
                </c:ext>
              </c:extLst>
            </c:dLbl>
            <c:dLbl>
              <c:idx val="4"/>
              <c:layout>
                <c:manualLayout>
                  <c:x val="-3.4329218311433471E-2"/>
                  <c:y val="2.7470891439774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C5-4341-8624-B7AE9C654835}"/>
                </c:ext>
              </c:extLst>
            </c:dLbl>
            <c:dLbl>
              <c:idx val="5"/>
              <c:layout>
                <c:manualLayout>
                  <c:x val="-2.6794302996389411E-2"/>
                  <c:y val="3.1301655116454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C5-4341-8624-B7AE9C654835}"/>
                </c:ext>
              </c:extLst>
            </c:dLbl>
            <c:dLbl>
              <c:idx val="6"/>
              <c:layout>
                <c:manualLayout>
                  <c:x val="-3.3150532654006484E-2"/>
                  <c:y val="-3.6325788430051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C5-4341-8624-B7AE9C654835}"/>
                </c:ext>
              </c:extLst>
            </c:dLbl>
            <c:dLbl>
              <c:idx val="7"/>
              <c:layout>
                <c:manualLayout>
                  <c:x val="-3.2209400549069296E-2"/>
                  <c:y val="3.7346966498888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C5-4341-8624-B7AE9C654835}"/>
                </c:ext>
              </c:extLst>
            </c:dLbl>
            <c:dLbl>
              <c:idx val="8"/>
              <c:layout>
                <c:manualLayout>
                  <c:x val="-3.9455214037331661E-2"/>
                  <c:y val="-3.3300711228131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C5-4341-8624-B7AE9C654835}"/>
                </c:ext>
              </c:extLst>
            </c:dLbl>
            <c:dLbl>
              <c:idx val="9"/>
              <c:layout>
                <c:manualLayout>
                  <c:x val="-3.1730151751335652E-2"/>
                  <c:y val="-3.14546643814633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C5-4341-8624-B7AE9C654835}"/>
                </c:ext>
              </c:extLst>
            </c:dLbl>
            <c:dLbl>
              <c:idx val="10"/>
              <c:layout>
                <c:manualLayout>
                  <c:x val="-3.1824599511268058E-2"/>
                  <c:y val="2.77236389741217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C5-4341-8624-B7AE9C654835}"/>
                </c:ext>
              </c:extLst>
            </c:dLbl>
            <c:dLbl>
              <c:idx val="11"/>
              <c:layout>
                <c:manualLayout>
                  <c:x val="-3.7130509548375421E-2"/>
                  <c:y val="-3.9740739072405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C5-4341-8624-B7AE9C654835}"/>
                </c:ext>
              </c:extLst>
            </c:dLbl>
            <c:dLbl>
              <c:idx val="12"/>
              <c:layout>
                <c:manualLayout>
                  <c:x val="-3.28926016227667E-2"/>
                  <c:y val="3.159806916879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C5-4341-8624-B7AE9C654835}"/>
                </c:ext>
              </c:extLst>
            </c:dLbl>
            <c:dLbl>
              <c:idx val="13"/>
              <c:layout>
                <c:manualLayout>
                  <c:x val="-3.28926016227667E-2"/>
                  <c:y val="-3.0807521299585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C5-4341-8624-B7AE9C654835}"/>
                </c:ext>
              </c:extLst>
            </c:dLbl>
            <c:dLbl>
              <c:idx val="14"/>
              <c:layout>
                <c:manualLayout>
                  <c:x val="-1.2918967025673515E-2"/>
                  <c:y val="7.683197731147666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C5-4341-8624-B7AE9C654835}"/>
                </c:ext>
              </c:extLst>
            </c:dLbl>
            <c:dLbl>
              <c:idx val="15"/>
              <c:layout>
                <c:manualLayout>
                  <c:x val="-5.1585062019531822E-2"/>
                  <c:y val="-1.1359447576939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C5-4341-8624-B7AE9C654835}"/>
                </c:ext>
              </c:extLst>
            </c:dLbl>
            <c:dLbl>
              <c:idx val="16"/>
              <c:layout>
                <c:manualLayout>
                  <c:x val="-6.0154312607475863E-2"/>
                  <c:y val="-1.93480951082127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DC5-4341-8624-B7AE9C654835}"/>
                </c:ext>
              </c:extLst>
            </c:dLbl>
            <c:dLbl>
              <c:idx val="17"/>
              <c:layout>
                <c:manualLayout>
                  <c:x val="-3.2759302146055269E-2"/>
                  <c:y val="-3.0066727552472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C5-4341-8624-B7AE9C654835}"/>
                </c:ext>
              </c:extLst>
            </c:dLbl>
            <c:dLbl>
              <c:idx val="18"/>
              <c:layout>
                <c:manualLayout>
                  <c:x val="-1.5488761874308858E-2"/>
                  <c:y val="-1.818326336968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C5-4341-8624-B7AE9C654835}"/>
                </c:ext>
              </c:extLst>
            </c:dLbl>
            <c:dLbl>
              <c:idx val="19"/>
              <c:layout>
                <c:manualLayout>
                  <c:x val="-2.7306774446621555E-2"/>
                  <c:y val="2.8361384896817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DC5-4341-8624-B7AE9C654835}"/>
                </c:ext>
              </c:extLst>
            </c:dLbl>
            <c:dLbl>
              <c:idx val="20"/>
              <c:layout>
                <c:manualLayout>
                  <c:x val="-3.1676459224322974E-2"/>
                  <c:y val="-3.1006897008536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DC5-4341-8624-B7AE9C654835}"/>
                </c:ext>
              </c:extLst>
            </c:dLbl>
            <c:dLbl>
              <c:idx val="21"/>
              <c:layout>
                <c:manualLayout>
                  <c:x val="-2.9989474665920567E-2"/>
                  <c:y val="-2.423342192636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DC5-4341-8624-B7AE9C654835}"/>
                </c:ext>
              </c:extLst>
            </c:dLbl>
            <c:dLbl>
              <c:idx val="22"/>
              <c:layout>
                <c:manualLayout>
                  <c:x val="-4.5779207802070551E-2"/>
                  <c:y val="-3.2330658983084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DC5-4341-8624-B7AE9C654835}"/>
                </c:ext>
              </c:extLst>
            </c:dLbl>
            <c:dLbl>
              <c:idx val="23"/>
              <c:layout>
                <c:manualLayout>
                  <c:x val="-3.3871990620461784E-2"/>
                  <c:y val="-3.8466926649941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DC5-4341-8624-B7AE9C654835}"/>
                </c:ext>
              </c:extLst>
            </c:dLbl>
            <c:dLbl>
              <c:idx val="24"/>
              <c:layout>
                <c:manualLayout>
                  <c:x val="-3.3282538212135247E-2"/>
                  <c:y val="3.6586774615555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DC5-4341-8624-B7AE9C654835}"/>
                </c:ext>
              </c:extLst>
            </c:dLbl>
            <c:dLbl>
              <c:idx val="25"/>
              <c:layout>
                <c:manualLayout>
                  <c:x val="-4.1176439239511427E-2"/>
                  <c:y val="-2.9234705283290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DC5-4341-8624-B7AE9C654835}"/>
                </c:ext>
              </c:extLst>
            </c:dLbl>
            <c:dLbl>
              <c:idx val="26"/>
              <c:layout>
                <c:manualLayout>
                  <c:x val="-1.0917436081911081E-2"/>
                  <c:y val="1.394272088228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4C-4954-B7BA-1B3D8193EA75}"/>
                </c:ext>
              </c:extLst>
            </c:dLbl>
            <c:dLbl>
              <c:idx val="27"/>
              <c:layout>
                <c:manualLayout>
                  <c:x val="-2.8725768416003838E-2"/>
                  <c:y val="3.3899500732755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4C-4954-B7BA-1B3D8193EA75}"/>
                </c:ext>
              </c:extLst>
            </c:dLbl>
            <c:dLbl>
              <c:idx val="28"/>
              <c:layout>
                <c:manualLayout>
                  <c:x val="-2.6887032521949985E-2"/>
                  <c:y val="3.2724773756592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4C-4954-B7BA-1B3D8193EA75}"/>
                </c:ext>
              </c:extLst>
            </c:dLbl>
            <c:dLbl>
              <c:idx val="29"/>
              <c:layout>
                <c:manualLayout>
                  <c:x val="-3.7380305910037111E-2"/>
                  <c:y val="-3.8727402542172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88-4809-82CF-C50CF17B375B}"/>
                </c:ext>
              </c:extLst>
            </c:dLbl>
            <c:dLbl>
              <c:idx val="30"/>
              <c:layout>
                <c:manualLayout>
                  <c:x val="-2.4330442197263415E-2"/>
                  <c:y val="2.7168086639012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4C-4954-B7BA-1B3D8193EA75}"/>
                </c:ext>
              </c:extLst>
            </c:dLbl>
            <c:dLbl>
              <c:idx val="31"/>
              <c:layout>
                <c:manualLayout>
                  <c:x val="-1.3645096393407677E-2"/>
                  <c:y val="2.6929630641595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88-4809-82CF-C50CF17B375B}"/>
                </c:ext>
              </c:extLst>
            </c:dLbl>
            <c:dLbl>
              <c:idx val="32"/>
              <c:layout>
                <c:manualLayout>
                  <c:x val="-1.069613760208908E-2"/>
                  <c:y val="-2.354355547827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88-4809-82CF-C50CF17B37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8'!$B$23:$AH$24</c:f>
              <c:multiLvlStrCache>
                <c:ptCount val="3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8'!$B$25:$AH$25</c:f>
              <c:numCache>
                <c:formatCode>#\ ##0,0</c:formatCode>
                <c:ptCount val="33"/>
                <c:pt idx="0">
                  <c:v>71.738158213015794</c:v>
                </c:pt>
                <c:pt idx="1">
                  <c:v>123.27227087030982</c:v>
                </c:pt>
                <c:pt idx="2">
                  <c:v>116.24365644398502</c:v>
                </c:pt>
                <c:pt idx="3">
                  <c:v>96.580225893758936</c:v>
                </c:pt>
                <c:pt idx="4">
                  <c:v>93.408604141465986</c:v>
                </c:pt>
                <c:pt idx="5">
                  <c:v>92.490171422142794</c:v>
                </c:pt>
                <c:pt idx="6">
                  <c:v>112.04816621722891</c:v>
                </c:pt>
                <c:pt idx="7">
                  <c:v>93.020207912369386</c:v>
                </c:pt>
                <c:pt idx="8">
                  <c:v>108.06099409813686</c:v>
                </c:pt>
                <c:pt idx="9">
                  <c:v>104.71321760096355</c:v>
                </c:pt>
                <c:pt idx="10">
                  <c:v>95.961007942682357</c:v>
                </c:pt>
                <c:pt idx="11">
                  <c:v>107.05149255623367</c:v>
                </c:pt>
                <c:pt idx="12">
                  <c:v>70.382208343865415</c:v>
                </c:pt>
                <c:pt idx="13">
                  <c:v>127.63158194440297</c:v>
                </c:pt>
                <c:pt idx="14">
                  <c:v>103.24095247310265</c:v>
                </c:pt>
                <c:pt idx="15">
                  <c:v>57.064146061655876</c:v>
                </c:pt>
                <c:pt idx="16">
                  <c:v>115.32045479750228</c:v>
                </c:pt>
                <c:pt idx="17">
                  <c:v>125.55839051166471</c:v>
                </c:pt>
                <c:pt idx="18">
                  <c:v>120.09478099934977</c:v>
                </c:pt>
                <c:pt idx="19">
                  <c:v>87.312042792465732</c:v>
                </c:pt>
                <c:pt idx="20">
                  <c:v>117.22959939467061</c:v>
                </c:pt>
                <c:pt idx="21">
                  <c:v>97.096953437578748</c:v>
                </c:pt>
                <c:pt idx="22">
                  <c:v>105.93754706899317</c:v>
                </c:pt>
                <c:pt idx="23">
                  <c:v>108.49423751970338</c:v>
                </c:pt>
                <c:pt idx="24">
                  <c:v>70.407885353173725</c:v>
                </c:pt>
                <c:pt idx="25">
                  <c:v>130.56565598353049</c:v>
                </c:pt>
                <c:pt idx="26">
                  <c:v>120.83026196604835</c:v>
                </c:pt>
                <c:pt idx="27">
                  <c:v>89.231037795592442</c:v>
                </c:pt>
                <c:pt idx="28">
                  <c:v>100.2114807539604</c:v>
                </c:pt>
                <c:pt idx="29" formatCode="0,0">
                  <c:v>104.66057637383682</c:v>
                </c:pt>
                <c:pt idx="30" formatCode="0,0">
                  <c:v>95.30942428771003</c:v>
                </c:pt>
                <c:pt idx="31" formatCode="0,0">
                  <c:v>102.30249040432689</c:v>
                </c:pt>
                <c:pt idx="32" formatCode="0,0">
                  <c:v>116.47910704981066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DC5-4341-8624-B7AE9C654835}"/>
            </c:ext>
          </c:extLst>
        </c:ser>
        <c:ser>
          <c:idx val="1"/>
          <c:order val="1"/>
          <c:tx>
            <c:strRef>
              <c:f>'Figura 8'!$A$26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501978496342781E-2"/>
                  <c:y val="3.2179305662501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88-4809-82CF-C50CF17B375B}"/>
                </c:ext>
              </c:extLst>
            </c:dLbl>
            <c:dLbl>
              <c:idx val="1"/>
              <c:layout>
                <c:manualLayout>
                  <c:x val="-2.7799805481167644E-2"/>
                  <c:y val="-2.5692971343881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DC5-4341-8624-B7AE9C654835}"/>
                </c:ext>
              </c:extLst>
            </c:dLbl>
            <c:dLbl>
              <c:idx val="2"/>
              <c:layout>
                <c:manualLayout>
                  <c:x val="-3.6931665267729862E-2"/>
                  <c:y val="2.8562723035014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DC5-4341-8624-B7AE9C654835}"/>
                </c:ext>
              </c:extLst>
            </c:dLbl>
            <c:dLbl>
              <c:idx val="3"/>
              <c:layout>
                <c:manualLayout>
                  <c:x val="-1.9720878798779595E-2"/>
                  <c:y val="-2.4597067322420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DC5-4341-8624-B7AE9C654835}"/>
                </c:ext>
              </c:extLst>
            </c:dLbl>
            <c:dLbl>
              <c:idx val="4"/>
              <c:layout>
                <c:manualLayout>
                  <c:x val="-2.4095287581438106E-2"/>
                  <c:y val="-3.1132417596065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DC5-4341-8624-B7AE9C654835}"/>
                </c:ext>
              </c:extLst>
            </c:dLbl>
            <c:dLbl>
              <c:idx val="5"/>
              <c:layout>
                <c:manualLayout>
                  <c:x val="-2.3283904232783086E-2"/>
                  <c:y val="-3.6068787931477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DC5-4341-8624-B7AE9C654835}"/>
                </c:ext>
              </c:extLst>
            </c:dLbl>
            <c:dLbl>
              <c:idx val="6"/>
              <c:layout>
                <c:manualLayout>
                  <c:x val="-3.5559055118110236E-2"/>
                  <c:y val="4.1184804877446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DC5-4341-8624-B7AE9C654835}"/>
                </c:ext>
              </c:extLst>
            </c:dLbl>
            <c:dLbl>
              <c:idx val="7"/>
              <c:layout>
                <c:manualLayout>
                  <c:x val="-3.0471731574093778E-2"/>
                  <c:y val="-4.4587984194283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DC5-4341-8624-B7AE9C654835}"/>
                </c:ext>
              </c:extLst>
            </c:dLbl>
            <c:dLbl>
              <c:idx val="8"/>
              <c:layout>
                <c:manualLayout>
                  <c:x val="-3.5101722690755024E-2"/>
                  <c:y val="4.4001092923321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DC5-4341-8624-B7AE9C654835}"/>
                </c:ext>
              </c:extLst>
            </c:dLbl>
            <c:dLbl>
              <c:idx val="9"/>
              <c:layout>
                <c:manualLayout>
                  <c:x val="-3.5303968983572548E-2"/>
                  <c:y val="4.7221573643988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DC5-4341-8624-B7AE9C654835}"/>
                </c:ext>
              </c:extLst>
            </c:dLbl>
            <c:dLbl>
              <c:idx val="10"/>
              <c:layout>
                <c:manualLayout>
                  <c:x val="-2.8802049611172675E-2"/>
                  <c:y val="-3.4842878682717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4C-4954-B7BA-1B3D8193EA75}"/>
                </c:ext>
              </c:extLst>
            </c:dLbl>
            <c:dLbl>
              <c:idx val="11"/>
              <c:layout>
                <c:manualLayout>
                  <c:x val="-2.9047726792771594E-2"/>
                  <c:y val="4.1146003102079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DC5-4341-8624-B7AE9C654835}"/>
                </c:ext>
              </c:extLst>
            </c:dLbl>
            <c:dLbl>
              <c:idx val="12"/>
              <c:layout>
                <c:manualLayout>
                  <c:x val="-3.2407248828644493E-2"/>
                  <c:y val="-3.4515472799942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DC5-4341-8624-B7AE9C654835}"/>
                </c:ext>
              </c:extLst>
            </c:dLbl>
            <c:dLbl>
              <c:idx val="13"/>
              <c:layout>
                <c:manualLayout>
                  <c:x val="-1.9258297027592425E-2"/>
                  <c:y val="-2.8049711451683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DC5-4341-8624-B7AE9C654835}"/>
                </c:ext>
              </c:extLst>
            </c:dLbl>
            <c:dLbl>
              <c:idx val="14"/>
              <c:layout>
                <c:manualLayout>
                  <c:x val="-4.7192400442330494E-2"/>
                  <c:y val="1.9150997292530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DC5-4341-8624-B7AE9C654835}"/>
                </c:ext>
              </c:extLst>
            </c:dLbl>
            <c:dLbl>
              <c:idx val="15"/>
              <c:layout>
                <c:manualLayout>
                  <c:x val="-5.3188825534739191E-3"/>
                  <c:y val="1.55245852041516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DC5-4341-8624-B7AE9C654835}"/>
                </c:ext>
              </c:extLst>
            </c:dLbl>
            <c:dLbl>
              <c:idx val="16"/>
              <c:layout>
                <c:manualLayout>
                  <c:x val="-3.7611148860199645E-2"/>
                  <c:y val="-3.8592116048585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DC5-4341-8624-B7AE9C654835}"/>
                </c:ext>
              </c:extLst>
            </c:dLbl>
            <c:dLbl>
              <c:idx val="17"/>
              <c:layout>
                <c:manualLayout>
                  <c:x val="-1.3776463221285219E-2"/>
                  <c:y val="3.1942505609511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DC5-4341-8624-B7AE9C654835}"/>
                </c:ext>
              </c:extLst>
            </c:dLbl>
            <c:dLbl>
              <c:idx val="18"/>
              <c:layout>
                <c:manualLayout>
                  <c:x val="-3.3168791718294219E-2"/>
                  <c:y val="-2.8108663073267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DC5-4341-8624-B7AE9C654835}"/>
                </c:ext>
              </c:extLst>
            </c:dLbl>
            <c:dLbl>
              <c:idx val="19"/>
              <c:layout>
                <c:manualLayout>
                  <c:x val="-2.8012577108064537E-2"/>
                  <c:y val="-3.3084776074914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DC5-4341-8624-B7AE9C654835}"/>
                </c:ext>
              </c:extLst>
            </c:dLbl>
            <c:dLbl>
              <c:idx val="20"/>
              <c:layout>
                <c:manualLayout>
                  <c:x val="-3.3413272579506242E-2"/>
                  <c:y val="3.686778111726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773082942097026E-2"/>
                      <c:h val="4.20367454068241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D-7DC5-4341-8624-B7AE9C654835}"/>
                </c:ext>
              </c:extLst>
            </c:dLbl>
            <c:dLbl>
              <c:idx val="21"/>
              <c:layout>
                <c:manualLayout>
                  <c:x val="-2.555164741463167E-2"/>
                  <c:y val="3.0805534166273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DC5-4341-8624-B7AE9C654835}"/>
                </c:ext>
              </c:extLst>
            </c:dLbl>
            <c:dLbl>
              <c:idx val="22"/>
              <c:layout>
                <c:manualLayout>
                  <c:x val="-3.2187137775290781E-2"/>
                  <c:y val="2.9562913468623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DC5-4341-8624-B7AE9C654835}"/>
                </c:ext>
              </c:extLst>
            </c:dLbl>
            <c:dLbl>
              <c:idx val="23"/>
              <c:layout>
                <c:manualLayout>
                  <c:x val="-2.2791878172588834E-2"/>
                  <c:y val="3.0929729998261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DC5-4341-8624-B7AE9C654835}"/>
                </c:ext>
              </c:extLst>
            </c:dLbl>
            <c:dLbl>
              <c:idx val="24"/>
              <c:layout>
                <c:manualLayout>
                  <c:x val="-2.2015668092250015E-2"/>
                  <c:y val="-3.0394859948500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DC5-4341-8624-B7AE9C654835}"/>
                </c:ext>
              </c:extLst>
            </c:dLbl>
            <c:dLbl>
              <c:idx val="25"/>
              <c:layout>
                <c:manualLayout>
                  <c:x val="-2.5569900209174486E-2"/>
                  <c:y val="3.66980468135489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DC5-4341-8624-B7AE9C654835}"/>
                </c:ext>
              </c:extLst>
            </c:dLbl>
            <c:dLbl>
              <c:idx val="26"/>
              <c:layout>
                <c:manualLayout>
                  <c:x val="-8.3516527439146254E-3"/>
                  <c:y val="-1.8180613858598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4C-4954-B7BA-1B3D8193EA75}"/>
                </c:ext>
              </c:extLst>
            </c:dLbl>
            <c:dLbl>
              <c:idx val="27"/>
              <c:layout>
                <c:manualLayout>
                  <c:x val="-2.3717974339502103E-2"/>
                  <c:y val="-2.6430528991447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4C-4954-B7BA-1B3D8193EA75}"/>
                </c:ext>
              </c:extLst>
            </c:dLbl>
            <c:dLbl>
              <c:idx val="28"/>
              <c:layout>
                <c:manualLayout>
                  <c:x val="-5.6903420067416673E-3"/>
                  <c:y val="-7.076181723341365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4C-4954-B7BA-1B3D8193EA75}"/>
                </c:ext>
              </c:extLst>
            </c:dLbl>
            <c:dLbl>
              <c:idx val="29"/>
              <c:layout>
                <c:manualLayout>
                  <c:x val="-5.5740037571445702E-2"/>
                  <c:y val="9.62865446235620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88-4809-82CF-C50CF17B375B}"/>
                </c:ext>
              </c:extLst>
            </c:dLbl>
            <c:dLbl>
              <c:idx val="30"/>
              <c:layout>
                <c:manualLayout>
                  <c:x val="-3.3203964986610178E-2"/>
                  <c:y val="3.0993815047567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60337285425529E-2"/>
                      <c:h val="5.12935409887644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288-4809-82CF-C50CF17B375B}"/>
                </c:ext>
              </c:extLst>
            </c:dLbl>
            <c:dLbl>
              <c:idx val="31"/>
              <c:layout>
                <c:manualLayout>
                  <c:x val="-3.7333759675979711E-2"/>
                  <c:y val="-3.1955753164923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88-4809-82CF-C50CF17B375B}"/>
                </c:ext>
              </c:extLst>
            </c:dLbl>
            <c:dLbl>
              <c:idx val="32"/>
              <c:layout>
                <c:manualLayout>
                  <c:x val="-5.4385333812968805E-4"/>
                  <c:y val="-2.7749654321601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88-4809-82CF-C50CF17B37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8'!$B$23:$AH$24</c:f>
              <c:multiLvlStrCache>
                <c:ptCount val="3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8'!$B$26:$AH$26</c:f>
              <c:numCache>
                <c:formatCode>#\ ##0,0</c:formatCode>
                <c:ptCount val="33"/>
                <c:pt idx="0">
                  <c:v>99.543424894989869</c:v>
                </c:pt>
                <c:pt idx="1">
                  <c:v>107.40131750961253</c:v>
                </c:pt>
                <c:pt idx="2">
                  <c:v>101.84987714724333</c:v>
                </c:pt>
                <c:pt idx="3">
                  <c:v>115.96700414337735</c:v>
                </c:pt>
                <c:pt idx="4">
                  <c:v>95.255444572503052</c:v>
                </c:pt>
                <c:pt idx="5">
                  <c:v>97.112719321999705</c:v>
                </c:pt>
                <c:pt idx="6">
                  <c:v>102.26719836939048</c:v>
                </c:pt>
                <c:pt idx="7">
                  <c:v>96.591868428897087</c:v>
                </c:pt>
                <c:pt idx="8">
                  <c:v>105.84853894732886</c:v>
                </c:pt>
                <c:pt idx="9">
                  <c:v>97.174714783775727</c:v>
                </c:pt>
                <c:pt idx="10">
                  <c:v>96.469519333115954</c:v>
                </c:pt>
                <c:pt idx="11">
                  <c:v>103.91915692353963</c:v>
                </c:pt>
                <c:pt idx="12">
                  <c:v>101.95494191241148</c:v>
                </c:pt>
                <c:pt idx="13">
                  <c:v>105.56040244460927</c:v>
                </c:pt>
                <c:pt idx="14">
                  <c:v>93.752698643620619</c:v>
                </c:pt>
                <c:pt idx="15">
                  <c:v>55.393509795256001</c:v>
                </c:pt>
                <c:pt idx="16">
                  <c:v>68.38775508029515</c:v>
                </c:pt>
                <c:pt idx="17">
                  <c:v>92.838583025180498</c:v>
                </c:pt>
                <c:pt idx="18">
                  <c:v>99.505682896081424</c:v>
                </c:pt>
                <c:pt idx="19">
                  <c:v>93.399537993946922</c:v>
                </c:pt>
                <c:pt idx="20">
                  <c:v>101.32416894790069</c:v>
                </c:pt>
                <c:pt idx="21">
                  <c:v>93.954405564414117</c:v>
                </c:pt>
                <c:pt idx="22">
                  <c:v>103.7223292586142</c:v>
                </c:pt>
                <c:pt idx="23">
                  <c:v>105.12020671519058</c:v>
                </c:pt>
                <c:pt idx="24" formatCode="0,0">
                  <c:v>105.14366410240868</c:v>
                </c:pt>
                <c:pt idx="25" formatCode="0,0">
                  <c:v>107.56077192573727</c:v>
                </c:pt>
                <c:pt idx="26" formatCode="0,0">
                  <c:v>125.88605526903886</c:v>
                </c:pt>
                <c:pt idx="27" formatCode="0,0">
                  <c:v>196.84765533007069</c:v>
                </c:pt>
                <c:pt idx="28" formatCode="0,0">
                  <c:v>171.05720800538208</c:v>
                </c:pt>
                <c:pt idx="29" formatCode="0,0">
                  <c:v>142.58661575531545</c:v>
                </c:pt>
                <c:pt idx="30" formatCode="0,0">
                  <c:v>113.15935751484174</c:v>
                </c:pt>
                <c:pt idx="31" formatCode="0,0">
                  <c:v>132.58748410958998</c:v>
                </c:pt>
                <c:pt idx="32" formatCode="0,0">
                  <c:v>131.73867209997553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7DC5-4341-8624-B7AE9C65483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182928"/>
        <c:axId val="247183488"/>
      </c:lineChart>
      <c:catAx>
        <c:axId val="24718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7183488"/>
        <c:crossesAt val="50"/>
        <c:auto val="1"/>
        <c:lblAlgn val="ctr"/>
        <c:lblOffset val="100"/>
        <c:noMultiLvlLbl val="0"/>
      </c:catAx>
      <c:valAx>
        <c:axId val="247183488"/>
        <c:scaling>
          <c:orientation val="minMax"/>
          <c:min val="50"/>
        </c:scaling>
        <c:delete val="0"/>
        <c:axPos val="l"/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718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69144291235897E-2"/>
          <c:y val="0.93370396497048047"/>
          <c:w val="0.93252348122114592"/>
          <c:h val="5.4448278710923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</xdr:rowOff>
    </xdr:from>
    <xdr:to>
      <xdr:col>9</xdr:col>
      <xdr:colOff>609600</xdr:colOff>
      <xdr:row>17</xdr:row>
      <xdr:rowOff>133351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</xdr:row>
      <xdr:rowOff>0</xdr:rowOff>
    </xdr:from>
    <xdr:to>
      <xdr:col>10</xdr:col>
      <xdr:colOff>9525</xdr:colOff>
      <xdr:row>18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0.06059</cdr:x>
      <cdr:y>0.00369</cdr:y>
    </cdr:from>
    <cdr:to>
      <cdr:x>0.20897</cdr:x>
      <cdr:y>0.38923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4152" y="9525"/>
          <a:ext cx="891805" cy="995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323852</xdr:colOff>
      <xdr:row>2</xdr:row>
      <xdr:rowOff>9525</xdr:rowOff>
    </xdr:from>
    <xdr:to>
      <xdr:col>11</xdr:col>
      <xdr:colOff>152401</xdr:colOff>
      <xdr:row>20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0.04699</cdr:x>
      <cdr:y>0</cdr:y>
    </cdr:from>
    <cdr:to>
      <cdr:x>0.18796</cdr:x>
      <cdr:y>0.30094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48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9525</xdr:rowOff>
    </xdr:from>
    <xdr:to>
      <xdr:col>6</xdr:col>
      <xdr:colOff>0</xdr:colOff>
      <xdr:row>21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1</xdr:row>
      <xdr:rowOff>142875</xdr:rowOff>
    </xdr:from>
    <xdr:to>
      <xdr:col>4</xdr:col>
      <xdr:colOff>847726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0.04545</cdr:x>
      <cdr:y>0</cdr:y>
    </cdr:from>
    <cdr:to>
      <cdr:x>0.21446</cdr:x>
      <cdr:y>0.35688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8384" y="0"/>
          <a:ext cx="1035114" cy="1012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2</xdr:row>
      <xdr:rowOff>19051</xdr:rowOff>
    </xdr:from>
    <xdr:to>
      <xdr:col>6</xdr:col>
      <xdr:colOff>38101</xdr:colOff>
      <xdr:row>20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142874</xdr:rowOff>
    </xdr:from>
    <xdr:to>
      <xdr:col>2</xdr:col>
      <xdr:colOff>9525</xdr:colOff>
      <xdr:row>20</xdr:row>
      <xdr:rowOff>142873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504824</xdr:colOff>
      <xdr:row>2</xdr:row>
      <xdr:rowOff>28576</xdr:rowOff>
    </xdr:from>
    <xdr:to>
      <xdr:col>6</xdr:col>
      <xdr:colOff>104774</xdr:colOff>
      <xdr:row>21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2</xdr:row>
      <xdr:rowOff>19049</xdr:rowOff>
    </xdr:from>
    <xdr:to>
      <xdr:col>9</xdr:col>
      <xdr:colOff>704850</xdr:colOff>
      <xdr:row>19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0.04716</cdr:x>
      <cdr:y>0</cdr:y>
    </cdr:from>
    <cdr:to>
      <cdr:x>0.1932</cdr:x>
      <cdr:y>0.32542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o-RO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milioane dolari SUA</a:t>
          </a:r>
          <a:endParaRPr lang="en-US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0.03771</cdr:x>
      <cdr:y>0</cdr:y>
    </cdr:from>
    <cdr:to>
      <cdr:x>0.1825</cdr:x>
      <cdr:y>0.35821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1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2</xdr:row>
      <xdr:rowOff>19049</xdr:rowOff>
    </xdr:from>
    <xdr:to>
      <xdr:col>4</xdr:col>
      <xdr:colOff>190499</xdr:colOff>
      <xdr:row>21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0.05882</cdr:x>
      <cdr:y>0</cdr:y>
    </cdr:from>
    <cdr:to>
      <cdr:x>0.21569</cdr:x>
      <cdr:y>0.30868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12</xdr:col>
      <xdr:colOff>533400</xdr:colOff>
      <xdr:row>16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0.06554</cdr:x>
      <cdr:y>0</cdr:y>
    </cdr:from>
    <cdr:to>
      <cdr:x>0.20327</cdr:x>
      <cdr:y>0.29357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476964" y="0"/>
          <a:ext cx="1002274" cy="858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19049</xdr:rowOff>
    </xdr:from>
    <xdr:to>
      <xdr:col>5</xdr:col>
      <xdr:colOff>742949</xdr:colOff>
      <xdr:row>19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4</xdr:col>
      <xdr:colOff>723900</xdr:colOff>
      <xdr:row>18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0.07979</cdr:x>
      <cdr:y>0</cdr:y>
    </cdr:from>
    <cdr:to>
      <cdr:x>0.25</cdr:x>
      <cdr:y>0.41202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9800" y="0"/>
          <a:ext cx="980856" cy="1016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2</xdr:row>
      <xdr:rowOff>0</xdr:rowOff>
    </xdr:from>
    <xdr:to>
      <xdr:col>5</xdr:col>
      <xdr:colOff>714375</xdr:colOff>
      <xdr:row>21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6</xdr:col>
      <xdr:colOff>133350</xdr:colOff>
      <xdr:row>22</xdr:row>
      <xdr:rowOff>95250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333375"/>
          <a:ext cx="7124700" cy="3114675"/>
          <a:chOff x="9525" y="265541"/>
          <a:chExt cx="5285223" cy="2621918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GraphicFramePr>
            <a:graphicFrameLocks/>
          </xdr:cNvGraphicFramePr>
        </xdr:nvGraphicFramePr>
        <xdr:xfrm>
          <a:off x="9525" y="265541"/>
          <a:ext cx="2639046" cy="262191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GraphicFramePr>
            <a:graphicFrameLocks/>
          </xdr:cNvGraphicFramePr>
        </xdr:nvGraphicFramePr>
        <xdr:xfrm>
          <a:off x="2677100" y="265541"/>
          <a:ext cx="2617648" cy="258851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18" displayName="Table18" ref="A24:D30" totalsRowShown="0" headerRowDxfId="8" dataDxfId="6" headerRowBorderDxfId="7" tableBorderDxfId="5" totalsRowBorderDxfId="4">
  <tableColumns count="4">
    <tableColumn id="1" xr3:uid="{00000000-0010-0000-0000-000001000000}" name="Perioada" dataDxfId="3"/>
    <tableColumn id="2" xr3:uid="{00000000-0010-0000-0000-000002000000}" name="Export" dataDxfId="2"/>
    <tableColumn id="4" xr3:uid="{00000000-0010-0000-0000-000004000000}" name="Import" dataDxfId="1"/>
    <tableColumn id="3" xr3:uid="{00000000-0010-0000-0000-000003000000}" name="Balanţa Comercială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6"/>
  <sheetViews>
    <sheetView tabSelected="1" workbookViewId="0">
      <selection activeCell="A2" sqref="A2:J2"/>
    </sheetView>
  </sheetViews>
  <sheetFormatPr defaultRowHeight="12" x14ac:dyDescent="0.2"/>
  <cols>
    <col min="1" max="1" width="8.85546875" style="3" customWidth="1"/>
    <col min="2" max="2" width="10.140625" style="3" customWidth="1"/>
    <col min="3" max="3" width="11.28515625" style="3" customWidth="1"/>
    <col min="4" max="9" width="9.140625" style="3"/>
    <col min="10" max="10" width="11.85546875" style="3" customWidth="1"/>
    <col min="11" max="11" width="10.5703125" style="3" customWidth="1"/>
    <col min="12" max="12" width="10.28515625" style="3" customWidth="1"/>
    <col min="13" max="13" width="10.7109375" style="3" customWidth="1"/>
    <col min="14" max="16384" width="9.140625" style="3"/>
  </cols>
  <sheetData>
    <row r="2" spans="1:13" x14ac:dyDescent="0.2">
      <c r="A2" s="131" t="s">
        <v>83</v>
      </c>
      <c r="B2" s="131"/>
      <c r="C2" s="131"/>
      <c r="D2" s="131"/>
      <c r="E2" s="131"/>
      <c r="F2" s="131"/>
      <c r="G2" s="131"/>
      <c r="H2" s="131"/>
      <c r="I2" s="131"/>
      <c r="J2" s="131"/>
      <c r="K2" s="82"/>
      <c r="L2" s="82"/>
      <c r="M2" s="82"/>
    </row>
    <row r="3" spans="1:13" x14ac:dyDescent="0.2">
      <c r="A3" s="1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x14ac:dyDescent="0.2">
      <c r="A4" s="1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x14ac:dyDescent="0.2">
      <c r="A5" s="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x14ac:dyDescent="0.2">
      <c r="A6" s="1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x14ac:dyDescent="0.2">
      <c r="A7" s="1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x14ac:dyDescent="0.2">
      <c r="A8" s="1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x14ac:dyDescent="0.2">
      <c r="A9" s="1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x14ac:dyDescent="0.2">
      <c r="A10" s="1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x14ac:dyDescent="0.2">
      <c r="A11" s="1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x14ac:dyDescent="0.2">
      <c r="A12" s="1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x14ac:dyDescent="0.2">
      <c r="A13" s="1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x14ac:dyDescent="0.2">
      <c r="A14" s="1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x14ac:dyDescent="0.2">
      <c r="A15" s="1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x14ac:dyDescent="0.2">
      <c r="A16" s="1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4" x14ac:dyDescent="0.2">
      <c r="A17" s="1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4" x14ac:dyDescent="0.2">
      <c r="A18" s="1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14" x14ac:dyDescent="0.2">
      <c r="N19" s="6"/>
    </row>
    <row r="20" spans="1:14" x14ac:dyDescent="0.2">
      <c r="A20" s="41" t="s">
        <v>0</v>
      </c>
      <c r="B20" s="67" t="s">
        <v>1</v>
      </c>
      <c r="C20" s="67" t="s">
        <v>2</v>
      </c>
      <c r="D20" s="67" t="s">
        <v>3</v>
      </c>
      <c r="E20" s="67" t="s">
        <v>4</v>
      </c>
      <c r="F20" s="67" t="s">
        <v>5</v>
      </c>
      <c r="G20" s="67" t="s">
        <v>6</v>
      </c>
      <c r="H20" s="67" t="s">
        <v>7</v>
      </c>
      <c r="I20" s="67" t="s">
        <v>8</v>
      </c>
      <c r="J20" s="67" t="s">
        <v>9</v>
      </c>
      <c r="K20" s="67" t="s">
        <v>10</v>
      </c>
      <c r="L20" s="67" t="s">
        <v>11</v>
      </c>
      <c r="M20" s="67" t="s">
        <v>12</v>
      </c>
    </row>
    <row r="21" spans="1:14" x14ac:dyDescent="0.2">
      <c r="A21" s="50">
        <v>2016</v>
      </c>
      <c r="B21" s="62">
        <v>116.8</v>
      </c>
      <c r="C21" s="62">
        <v>138.5</v>
      </c>
      <c r="D21" s="62">
        <v>161.30000000000001</v>
      </c>
      <c r="E21" s="62">
        <v>178.5</v>
      </c>
      <c r="F21" s="62">
        <v>153</v>
      </c>
      <c r="G21" s="62">
        <v>157.4</v>
      </c>
      <c r="H21" s="62">
        <v>165.6</v>
      </c>
      <c r="I21" s="62">
        <v>168</v>
      </c>
      <c r="J21" s="62">
        <v>193.6</v>
      </c>
      <c r="K21" s="62">
        <v>200.8</v>
      </c>
      <c r="L21" s="62">
        <v>217.6</v>
      </c>
      <c r="M21" s="63">
        <v>193.5</v>
      </c>
    </row>
    <row r="22" spans="1:14" x14ac:dyDescent="0.2">
      <c r="A22" s="51">
        <v>2017</v>
      </c>
      <c r="B22" s="62">
        <v>139.5</v>
      </c>
      <c r="C22" s="62">
        <v>176.6</v>
      </c>
      <c r="D22" s="62">
        <v>212.1</v>
      </c>
      <c r="E22" s="62">
        <v>154.19999999999999</v>
      </c>
      <c r="F22" s="62">
        <v>174.7</v>
      </c>
      <c r="G22" s="62">
        <v>171.1</v>
      </c>
      <c r="H22" s="62">
        <v>191.6</v>
      </c>
      <c r="I22" s="62">
        <v>207.9</v>
      </c>
      <c r="J22" s="62">
        <v>223.9</v>
      </c>
      <c r="K22" s="62">
        <v>268.2</v>
      </c>
      <c r="L22" s="62">
        <v>272.10000000000002</v>
      </c>
      <c r="M22" s="63">
        <v>233.1</v>
      </c>
    </row>
    <row r="23" spans="1:14" x14ac:dyDescent="0.2">
      <c r="A23" s="51">
        <v>2018</v>
      </c>
      <c r="B23" s="62">
        <v>220.3</v>
      </c>
      <c r="C23" s="62">
        <v>215.5</v>
      </c>
      <c r="D23" s="62">
        <v>242.1</v>
      </c>
      <c r="E23" s="62">
        <v>199.7</v>
      </c>
      <c r="F23" s="62">
        <v>223</v>
      </c>
      <c r="G23" s="62">
        <v>214.1</v>
      </c>
      <c r="H23" s="62">
        <v>218.8</v>
      </c>
      <c r="I23" s="62">
        <v>218.6</v>
      </c>
      <c r="J23" s="62">
        <v>207.3</v>
      </c>
      <c r="K23" s="62">
        <v>259</v>
      </c>
      <c r="L23" s="62">
        <v>268.89999999999998</v>
      </c>
      <c r="M23" s="63">
        <v>218.8</v>
      </c>
    </row>
    <row r="24" spans="1:14" x14ac:dyDescent="0.2">
      <c r="A24" s="51">
        <v>2019</v>
      </c>
      <c r="B24" s="62">
        <v>234.3</v>
      </c>
      <c r="C24" s="62">
        <v>241.4</v>
      </c>
      <c r="D24" s="62">
        <v>257.2</v>
      </c>
      <c r="E24" s="62">
        <v>215.6</v>
      </c>
      <c r="F24" s="62">
        <v>210.5</v>
      </c>
      <c r="G24" s="62">
        <v>202.2</v>
      </c>
      <c r="H24" s="62">
        <v>220.2</v>
      </c>
      <c r="I24" s="62">
        <v>205.8</v>
      </c>
      <c r="J24" s="62">
        <v>238.8</v>
      </c>
      <c r="K24" s="62">
        <v>268.3</v>
      </c>
      <c r="L24" s="62">
        <v>266.60000000000002</v>
      </c>
      <c r="M24" s="63">
        <v>218.3</v>
      </c>
    </row>
    <row r="25" spans="1:14" x14ac:dyDescent="0.2">
      <c r="A25" s="51">
        <v>2020</v>
      </c>
      <c r="B25" s="62">
        <v>219.5</v>
      </c>
      <c r="C25" s="62">
        <v>245.3</v>
      </c>
      <c r="D25" s="62">
        <v>210.2</v>
      </c>
      <c r="E25" s="62">
        <v>149.80000000000001</v>
      </c>
      <c r="F25" s="62">
        <v>155.69999999999999</v>
      </c>
      <c r="G25" s="62">
        <v>189.6</v>
      </c>
      <c r="H25" s="62">
        <v>191.1</v>
      </c>
      <c r="I25" s="62">
        <v>163.9</v>
      </c>
      <c r="J25" s="62">
        <v>212.3</v>
      </c>
      <c r="K25" s="62">
        <v>249.4</v>
      </c>
      <c r="L25" s="62">
        <v>262</v>
      </c>
      <c r="M25" s="63">
        <v>218.3</v>
      </c>
    </row>
    <row r="26" spans="1:14" x14ac:dyDescent="0.2">
      <c r="A26" s="52">
        <v>2021</v>
      </c>
      <c r="B26" s="64">
        <v>198.4</v>
      </c>
      <c r="C26" s="64">
        <v>227</v>
      </c>
      <c r="D26" s="64">
        <v>259.3</v>
      </c>
      <c r="E26" s="64">
        <v>218.2</v>
      </c>
      <c r="F26" s="64">
        <v>201.7</v>
      </c>
      <c r="G26" s="64">
        <v>226.8</v>
      </c>
      <c r="H26" s="64">
        <v>240.7</v>
      </c>
      <c r="I26" s="64">
        <v>236.2</v>
      </c>
      <c r="J26" s="64">
        <v>294.89999999999998</v>
      </c>
      <c r="K26" s="64"/>
      <c r="L26" s="64"/>
      <c r="M26" s="65"/>
    </row>
  </sheetData>
  <mergeCells count="1">
    <mergeCell ref="A2:J2"/>
  </mergeCells>
  <pageMargins left="0.7" right="0.7" top="0.75" bottom="0.75" header="0.3" footer="0.3"/>
  <pageSetup paperSize="9" orientation="portrait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26"/>
  <sheetViews>
    <sheetView workbookViewId="0">
      <selection activeCell="A2" sqref="A2:M2"/>
    </sheetView>
  </sheetViews>
  <sheetFormatPr defaultRowHeight="12" x14ac:dyDescent="0.2"/>
  <cols>
    <col min="1" max="1" width="27.28515625" style="3" customWidth="1"/>
    <col min="2" max="7" width="15.42578125" style="3" customWidth="1"/>
    <col min="8" max="16384" width="9.140625" style="3"/>
  </cols>
  <sheetData>
    <row r="2" spans="1:13" x14ac:dyDescent="0.2">
      <c r="A2" s="131" t="s">
        <v>100</v>
      </c>
      <c r="B2" s="131"/>
      <c r="C2" s="131"/>
      <c r="D2" s="131"/>
      <c r="E2" s="131"/>
      <c r="F2" s="77"/>
      <c r="G2" s="77"/>
      <c r="H2" s="5"/>
      <c r="I2" s="5"/>
      <c r="J2" s="5"/>
      <c r="K2" s="5"/>
      <c r="L2" s="5"/>
      <c r="M2" s="5"/>
    </row>
    <row r="3" spans="1:13" x14ac:dyDescent="0.2">
      <c r="A3" s="79"/>
      <c r="B3" s="79"/>
      <c r="C3" s="79"/>
      <c r="D3" s="79"/>
      <c r="E3" s="79"/>
      <c r="F3" s="79"/>
      <c r="G3" s="79"/>
      <c r="H3" s="78"/>
      <c r="I3" s="78"/>
      <c r="J3" s="78"/>
      <c r="K3" s="78"/>
      <c r="L3" s="78"/>
      <c r="M3" s="78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x14ac:dyDescent="0.2">
      <c r="A18" s="4"/>
      <c r="B18" s="4"/>
      <c r="C18" s="4"/>
      <c r="D18" s="4"/>
      <c r="E18" s="4"/>
      <c r="F18" s="4"/>
      <c r="G18" s="4"/>
    </row>
    <row r="19" spans="1:7" x14ac:dyDescent="0.2">
      <c r="A19" s="5"/>
    </row>
    <row r="20" spans="1:7" x14ac:dyDescent="0.2">
      <c r="A20" s="5"/>
    </row>
    <row r="21" spans="1:7" x14ac:dyDescent="0.2">
      <c r="A21" s="5"/>
    </row>
    <row r="22" spans="1:7" ht="24" x14ac:dyDescent="0.2">
      <c r="A22" s="31"/>
      <c r="B22" s="13" t="s">
        <v>89</v>
      </c>
      <c r="C22" s="13" t="s">
        <v>88</v>
      </c>
      <c r="D22" s="13" t="s">
        <v>87</v>
      </c>
      <c r="E22" s="14" t="s">
        <v>86</v>
      </c>
      <c r="F22" s="14" t="s">
        <v>85</v>
      </c>
      <c r="G22" s="14" t="s">
        <v>84</v>
      </c>
    </row>
    <row r="23" spans="1:7" ht="15" customHeight="1" x14ac:dyDescent="0.2">
      <c r="A23" s="24" t="s">
        <v>62</v>
      </c>
      <c r="B23" s="93">
        <v>48</v>
      </c>
      <c r="C23" s="94">
        <v>48.6</v>
      </c>
      <c r="D23" s="94">
        <v>49.4</v>
      </c>
      <c r="E23" s="94">
        <v>49</v>
      </c>
      <c r="F23" s="94">
        <v>45.7</v>
      </c>
      <c r="G23" s="102">
        <v>45.8</v>
      </c>
    </row>
    <row r="24" spans="1:7" ht="15" customHeight="1" x14ac:dyDescent="0.2">
      <c r="A24" s="25" t="s">
        <v>63</v>
      </c>
      <c r="B24" s="95">
        <v>25.2</v>
      </c>
      <c r="C24" s="87">
        <v>24.7</v>
      </c>
      <c r="D24" s="87">
        <v>24.3</v>
      </c>
      <c r="E24" s="87">
        <v>24.1</v>
      </c>
      <c r="F24" s="87">
        <v>25</v>
      </c>
      <c r="G24" s="103">
        <v>24.3</v>
      </c>
    </row>
    <row r="25" spans="1:7" ht="15.75" customHeight="1" x14ac:dyDescent="0.2">
      <c r="A25" s="26" t="s">
        <v>64</v>
      </c>
      <c r="B25" s="96">
        <v>26.8</v>
      </c>
      <c r="C25" s="88">
        <v>26.7</v>
      </c>
      <c r="D25" s="88">
        <v>26.3</v>
      </c>
      <c r="E25" s="88">
        <v>26.9</v>
      </c>
      <c r="F25" s="88">
        <v>29.3</v>
      </c>
      <c r="G25" s="104">
        <v>29.9</v>
      </c>
    </row>
    <row r="26" spans="1:7" x14ac:dyDescent="0.2">
      <c r="G26" s="9"/>
    </row>
  </sheetData>
  <mergeCells count="1">
    <mergeCell ref="A2:E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M43"/>
  <sheetViews>
    <sheetView workbookViewId="0">
      <selection activeCell="A2" sqref="A2:M2"/>
    </sheetView>
  </sheetViews>
  <sheetFormatPr defaultRowHeight="12" x14ac:dyDescent="0.2"/>
  <cols>
    <col min="1" max="1" width="18" style="3" customWidth="1"/>
    <col min="2" max="4" width="15.5703125" style="3" customWidth="1"/>
    <col min="5" max="5" width="15.28515625" style="3" customWidth="1"/>
    <col min="6" max="6" width="16" style="3" customWidth="1"/>
    <col min="7" max="7" width="15.85546875" style="3" customWidth="1"/>
    <col min="8" max="16384" width="9.140625" style="3"/>
  </cols>
  <sheetData>
    <row r="2" spans="1:13" x14ac:dyDescent="0.2">
      <c r="A2" s="135" t="s">
        <v>97</v>
      </c>
      <c r="B2" s="135"/>
      <c r="C2" s="135"/>
      <c r="D2" s="135"/>
      <c r="E2" s="135"/>
      <c r="F2" s="135"/>
      <c r="G2" s="147"/>
      <c r="H2" s="146"/>
      <c r="I2" s="146"/>
      <c r="J2" s="146"/>
      <c r="K2" s="146"/>
      <c r="L2" s="146"/>
      <c r="M2" s="146"/>
    </row>
    <row r="24" spans="1:7" ht="24" x14ac:dyDescent="0.2">
      <c r="A24" s="47"/>
      <c r="B24" s="14" t="s">
        <v>90</v>
      </c>
      <c r="C24" s="14" t="s">
        <v>88</v>
      </c>
      <c r="D24" s="14" t="s">
        <v>87</v>
      </c>
      <c r="E24" s="14" t="s">
        <v>91</v>
      </c>
      <c r="F24" s="14" t="s">
        <v>85</v>
      </c>
      <c r="G24" s="14" t="s">
        <v>84</v>
      </c>
    </row>
    <row r="25" spans="1:7" x14ac:dyDescent="0.2">
      <c r="A25" s="130" t="s">
        <v>92</v>
      </c>
      <c r="B25" s="94">
        <v>12.827983496881695</v>
      </c>
      <c r="C25" s="94">
        <v>11.208992172255204</v>
      </c>
      <c r="D25" s="94">
        <v>11.63814233016303</v>
      </c>
      <c r="E25" s="94">
        <v>11.535657569524224</v>
      </c>
      <c r="F25" s="118">
        <f>IF(426915.36943="","-",426915.36943/3832218.99595*100)</f>
        <v>11.140161088945504</v>
      </c>
      <c r="G25" s="121">
        <f>IF(633371.63781="","-",633371.63781/5072717.74218*100)</f>
        <v>12.485844275219</v>
      </c>
    </row>
    <row r="26" spans="1:7" x14ac:dyDescent="0.2">
      <c r="A26" s="105" t="s">
        <v>36</v>
      </c>
      <c r="B26" s="87">
        <v>13.658947779317634</v>
      </c>
      <c r="C26" s="87">
        <v>14.390718086154109</v>
      </c>
      <c r="D26" s="87">
        <v>14.871656310271769</v>
      </c>
      <c r="E26" s="87">
        <v>14.629749910691142</v>
      </c>
      <c r="F26" s="119">
        <f>IF(455838.18818="","-",455838.18818/3832218.99595*100)</f>
        <v>11.894888801024758</v>
      </c>
      <c r="G26" s="122">
        <f>IF(609858.0482="","-",609858.0482/5072717.74218*100)</f>
        <v>12.022313860063374</v>
      </c>
    </row>
    <row r="27" spans="1:7" x14ac:dyDescent="0.2">
      <c r="A27" s="105" t="s">
        <v>67</v>
      </c>
      <c r="B27" s="87">
        <f>IF(OR(279700.78221="",279700.78221="***"),"-",279700.78221/2895177.69157*100)</f>
        <v>9.6609193634095583</v>
      </c>
      <c r="C27" s="87">
        <v>10.271673617281021</v>
      </c>
      <c r="D27" s="87">
        <v>10.486139967137531</v>
      </c>
      <c r="E27" s="87">
        <v>10.221759736639816</v>
      </c>
      <c r="F27" s="119">
        <f>IF(447982.60931="","-",447982.60931/3832218.99595*100)</f>
        <v>11.689901067330469</v>
      </c>
      <c r="G27" s="122">
        <f>IF(597195.63785="","-",597195.63785/5072717.74218*100)</f>
        <v>11.772695982752538</v>
      </c>
    </row>
    <row r="28" spans="1:7" x14ac:dyDescent="0.2">
      <c r="A28" s="105" t="s">
        <v>41</v>
      </c>
      <c r="B28" s="87">
        <v>9.6467434466361244</v>
      </c>
      <c r="C28" s="87">
        <v>10.907753356618853</v>
      </c>
      <c r="D28" s="87">
        <v>10.03950666272342</v>
      </c>
      <c r="E28" s="87">
        <v>9.9488298542240798</v>
      </c>
      <c r="F28" s="119">
        <f>IF(381779.70404="","-",381779.70404/3832218.99595*100)</f>
        <v>9.9623665673458603</v>
      </c>
      <c r="G28" s="122">
        <f>IF(473961.65975="","-",473961.65975/5072717.74218*100)</f>
        <v>9.3433477642364338</v>
      </c>
    </row>
    <row r="29" spans="1:7" x14ac:dyDescent="0.2">
      <c r="A29" s="105" t="s">
        <v>37</v>
      </c>
      <c r="B29" s="87">
        <v>7.9748934071398647</v>
      </c>
      <c r="C29" s="87">
        <v>8.1374373399452118</v>
      </c>
      <c r="D29" s="87">
        <v>8.4802606852982763</v>
      </c>
      <c r="E29" s="87">
        <v>8.3776649691722884</v>
      </c>
      <c r="F29" s="119">
        <f>IF(317639.1272="","-",317639.1272/3832218.99595*100)</f>
        <v>8.2886475834416089</v>
      </c>
      <c r="G29" s="122">
        <f>IF(404252.99797="","-",404252.99797/5072717.74218*100)</f>
        <v>7.969160093584712</v>
      </c>
    </row>
    <row r="30" spans="1:7" x14ac:dyDescent="0.2">
      <c r="A30" s="105" t="s">
        <v>38</v>
      </c>
      <c r="B30" s="87">
        <v>6.8115736089088994</v>
      </c>
      <c r="C30" s="87">
        <v>6.2747804112409389</v>
      </c>
      <c r="D30" s="87">
        <v>5.7222828171582609</v>
      </c>
      <c r="E30" s="87">
        <v>6.5849758343793248</v>
      </c>
      <c r="F30" s="119">
        <f>IF(262413.94316="","-",262413.94316/3832218.99595*100)</f>
        <v>6.8475716924666017</v>
      </c>
      <c r="G30" s="122">
        <f>IF(377586.02538="","-",377586.02538/5072717.74218*100)</f>
        <v>7.4434660978738476</v>
      </c>
    </row>
    <row r="31" spans="1:7" x14ac:dyDescent="0.2">
      <c r="A31" s="105" t="s">
        <v>39</v>
      </c>
      <c r="B31" s="87">
        <v>7.1638266004850264</v>
      </c>
      <c r="C31" s="87">
        <v>7.0532560657409924</v>
      </c>
      <c r="D31" s="87">
        <v>6.9306003071197759</v>
      </c>
      <c r="E31" s="87">
        <v>6.8826919694729538</v>
      </c>
      <c r="F31" s="119">
        <f>IF(248522.58662="","-",248522.58662/3832218.99595*100)</f>
        <v>6.4850831041400783</v>
      </c>
      <c r="G31" s="122">
        <f>IF(328473.12919="","-",328473.12919/5072717.74218*100)</f>
        <v>6.4752889059590908</v>
      </c>
    </row>
    <row r="32" spans="1:7" x14ac:dyDescent="0.2">
      <c r="A32" s="105" t="s">
        <v>40</v>
      </c>
      <c r="B32" s="87">
        <v>3.2237803317483653</v>
      </c>
      <c r="C32" s="87">
        <v>3.3708321943437736</v>
      </c>
      <c r="D32" s="87">
        <v>3.4973886038373099</v>
      </c>
      <c r="E32" s="87">
        <v>3.4278214284183881</v>
      </c>
      <c r="F32" s="119">
        <f>IF(152924.50092="","-",152924.50092/3832218.99595*100)</f>
        <v>3.990494830321937</v>
      </c>
      <c r="G32" s="122">
        <f>IF(191903.85096="","-",191903.85096/5072717.74218*100)</f>
        <v>3.783057932916436</v>
      </c>
    </row>
    <row r="33" spans="1:7" x14ac:dyDescent="0.2">
      <c r="A33" s="105" t="s">
        <v>94</v>
      </c>
      <c r="B33" s="87">
        <f>IF(OR(68515.79681="",68515.79681="***"),"-",68515.79681/2895177.69157*100)</f>
        <v>2.3665489344401927</v>
      </c>
      <c r="C33" s="87">
        <f>IF(OR(84716.14381="",84716.14381="***"),"-",84716.14381/3438760.41277*100)</f>
        <v>2.4635663332462063</v>
      </c>
      <c r="D33" s="87">
        <f>IF(OR(103340.54213="",103340.54213="***"),"-",103340.54213/4177554.78501*100)</f>
        <v>2.4737088428094096</v>
      </c>
      <c r="E33" s="87">
        <f>IF(OR(106480.52326="",106480.52326="***"),"-",106480.52326/4273352.38515*100)</f>
        <v>2.4917328051396441</v>
      </c>
      <c r="F33" s="119">
        <f>IF(89701.16994="","-",89701.16994/3832218.99595*100)</f>
        <v>2.3407109571451632</v>
      </c>
      <c r="G33" s="122">
        <f>IF(128203.07203="","-",128203.07203/5072717.74218*100)</f>
        <v>2.5273054513556423</v>
      </c>
    </row>
    <row r="34" spans="1:7" x14ac:dyDescent="0.2">
      <c r="A34" s="105" t="s">
        <v>43</v>
      </c>
      <c r="B34" s="87">
        <v>2.5164263517273828</v>
      </c>
      <c r="C34" s="87">
        <v>2.4473976627585721</v>
      </c>
      <c r="D34" s="87">
        <v>2.1358825172124321</v>
      </c>
      <c r="E34" s="87">
        <v>2.2728934807137522</v>
      </c>
      <c r="F34" s="119">
        <f>IF(81123.46862="","-",81123.46862/3832218.99595*100)</f>
        <v>2.1168797687640928</v>
      </c>
      <c r="G34" s="122">
        <f>IF(97036.67971="","-",97036.67971/5072717.74218*100)</f>
        <v>1.9129130505948178</v>
      </c>
    </row>
    <row r="35" spans="1:7" x14ac:dyDescent="0.2">
      <c r="A35" s="105" t="s">
        <v>44</v>
      </c>
      <c r="B35" s="87">
        <v>2.0420533065084432</v>
      </c>
      <c r="C35" s="87">
        <v>2.1066369579277016</v>
      </c>
      <c r="D35" s="87">
        <v>2.0586085831497751</v>
      </c>
      <c r="E35" s="87">
        <v>1.977904820433692</v>
      </c>
      <c r="F35" s="119">
        <f>IF(74196.9715="","-",74196.9715/3832218.99595*100)</f>
        <v>1.9361359979274022</v>
      </c>
      <c r="G35" s="122">
        <f>IF(91812.38569="","-",91812.38569/5072717.74218*100)</f>
        <v>1.8099249821564807</v>
      </c>
    </row>
    <row r="36" spans="1:7" ht="13.5" customHeight="1" x14ac:dyDescent="0.2">
      <c r="A36" s="105" t="s">
        <v>42</v>
      </c>
      <c r="B36" s="87">
        <v>1.3508232072896391</v>
      </c>
      <c r="C36" s="87">
        <v>1.3846135503707921</v>
      </c>
      <c r="D36" s="87">
        <f>IF(OR(61662.90068="",61662.90068="***"),"-",61662.90068/4177554.78501*100)</f>
        <v>1.476052472160515</v>
      </c>
      <c r="E36" s="87">
        <v>1.9363927006711246</v>
      </c>
      <c r="F36" s="119">
        <f>IF(65075.35071="","-",65075.35071/3832218.99595*100)</f>
        <v>1.6981114800269377</v>
      </c>
      <c r="G36" s="122">
        <f>IF(85218.62574="","-",85218.62574/5072717.74218*100)</f>
        <v>1.6799402228001221</v>
      </c>
    </row>
    <row r="37" spans="1:7" ht="12" customHeight="1" x14ac:dyDescent="0.2">
      <c r="A37" s="105" t="s">
        <v>98</v>
      </c>
      <c r="B37" s="87">
        <v>1.4046718226799633</v>
      </c>
      <c r="C37" s="87">
        <v>1.6082055284989369</v>
      </c>
      <c r="D37" s="87">
        <f>IF(OR(53965.88521="",53965.88521="***"),"-",53965.88521/4177554.78501*100)</f>
        <v>1.291805565390588</v>
      </c>
      <c r="E37" s="87">
        <v>1.3161124943836295</v>
      </c>
      <c r="F37" s="119">
        <f>IF(48972.32437="","-",48972.32437/3832218.99595*100)</f>
        <v>1.277910380950446</v>
      </c>
      <c r="G37" s="122">
        <f>IF(78076.54947="","-",78076.54947/5072717.74218*100)</f>
        <v>1.5391463400533421</v>
      </c>
    </row>
    <row r="38" spans="1:7" x14ac:dyDescent="0.2">
      <c r="A38" s="105" t="s">
        <v>68</v>
      </c>
      <c r="B38" s="87">
        <v>1.9633285475191595</v>
      </c>
      <c r="C38" s="87">
        <v>1.6887077434750042</v>
      </c>
      <c r="D38" s="87">
        <v>1.8456067617989464</v>
      </c>
      <c r="E38" s="87">
        <v>1.6620266937688304</v>
      </c>
      <c r="F38" s="119">
        <f>IF(42361.17194="","-",42361.17194/3832218.99595*100)</f>
        <v>1.1053953854090415</v>
      </c>
      <c r="G38" s="122">
        <f>IF(75564.58393="","-",75564.58393/5072717.74218*100)</f>
        <v>1.489627213075059</v>
      </c>
    </row>
    <row r="39" spans="1:7" x14ac:dyDescent="0.2">
      <c r="A39" s="105" t="s">
        <v>45</v>
      </c>
      <c r="B39" s="87">
        <v>1.2488461646163458</v>
      </c>
      <c r="C39" s="87">
        <v>1.2664876648070489</v>
      </c>
      <c r="D39" s="87">
        <v>1.3535802487354964</v>
      </c>
      <c r="E39" s="87">
        <v>1.4266167840932704</v>
      </c>
      <c r="F39" s="119">
        <f>IF(55173.92854="","-",55173.92854/3832218.99595*100)</f>
        <v>1.4397384021714157</v>
      </c>
      <c r="G39" s="122">
        <f>IF(69336.75505="","-",69336.75505/5072717.74218*100)</f>
        <v>1.3668561621999995</v>
      </c>
    </row>
    <row r="40" spans="1:7" x14ac:dyDescent="0.2">
      <c r="A40" s="105" t="s">
        <v>46</v>
      </c>
      <c r="B40" s="87">
        <v>1.4649280399435736</v>
      </c>
      <c r="C40" s="87">
        <v>1.5391806789867253</v>
      </c>
      <c r="D40" s="87">
        <v>1.1457885713851967</v>
      </c>
      <c r="E40" s="87">
        <v>1.0211121685549536</v>
      </c>
      <c r="F40" s="119">
        <f>IF(45164.07225="","-",45164.07225/3832218.99595*100)</f>
        <v>1.1785357856043901</v>
      </c>
      <c r="G40" s="122">
        <f>IF(62917.13323="","-",62917.13323/5072717.74218*100)</f>
        <v>1.2403042398129049</v>
      </c>
    </row>
    <row r="41" spans="1:7" x14ac:dyDescent="0.2">
      <c r="A41" s="105" t="s">
        <v>47</v>
      </c>
      <c r="B41" s="87">
        <v>1.0651593814014573</v>
      </c>
      <c r="C41" s="87">
        <v>0.9854261318747618</v>
      </c>
      <c r="D41" s="87">
        <v>1.0491489432351055</v>
      </c>
      <c r="E41" s="87">
        <v>1.0111256623758003</v>
      </c>
      <c r="F41" s="119">
        <f>IF(40498.95568="","-",40498.95568/3832218.99595*100)</f>
        <v>1.0568017047773226</v>
      </c>
      <c r="G41" s="122">
        <f>IF(54849.84143="","-",54849.84143/5072717.74218*100)</f>
        <v>1.0812713069745583</v>
      </c>
    </row>
    <row r="42" spans="1:7" x14ac:dyDescent="0.2">
      <c r="A42" s="105" t="s">
        <v>77</v>
      </c>
      <c r="B42" s="87">
        <v>0.71742796998191782</v>
      </c>
      <c r="C42" s="87">
        <v>0.71815424966193353</v>
      </c>
      <c r="D42" s="87">
        <v>0.96895400475048721</v>
      </c>
      <c r="E42" s="87">
        <v>0.86023624351095129</v>
      </c>
      <c r="F42" s="119">
        <f>IF(38765.00969="","-",38765.00969/3832218.99595*100)</f>
        <v>1.0115551781087664</v>
      </c>
      <c r="G42" s="122">
        <f>IF(48755.31286="","-",48755.31286/5072717.74218*100)</f>
        <v>0.96112804492542903</v>
      </c>
    </row>
    <row r="43" spans="1:7" x14ac:dyDescent="0.2">
      <c r="A43" s="92" t="s">
        <v>48</v>
      </c>
      <c r="B43" s="88">
        <v>1.5949527358702202</v>
      </c>
      <c r="C43" s="88">
        <f>IF(OR(42216.51206="",42216.51206="***"),"-",42216.51206/3438760.41277*100)</f>
        <v>1.2276665714548469</v>
      </c>
      <c r="D43" s="88">
        <f>IF(OR(43492.41195="",43492.41195="***"),"-",43492.41195/4177554.78501*100)</f>
        <v>1.0410973449363365</v>
      </c>
      <c r="E43" s="88">
        <f>IF(OR(42983.48613="",42983.48613="***"),"-",42983.48613/4273352.38515*100)</f>
        <v>1.0058493252128846</v>
      </c>
      <c r="F43" s="120">
        <f>IF(34464.10085="","-",34464.10085/3832218.99595*100)</f>
        <v>0.89932493123233981</v>
      </c>
      <c r="G43" s="123">
        <f>IF(46415.98912="","-",46415.98912/5072717.74218*100)</f>
        <v>0.91501225731618829</v>
      </c>
    </row>
  </sheetData>
  <mergeCells count="1">
    <mergeCell ref="A2:F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M43"/>
  <sheetViews>
    <sheetView workbookViewId="0">
      <selection activeCell="A2" sqref="A2:M2"/>
    </sheetView>
  </sheetViews>
  <sheetFormatPr defaultRowHeight="12" x14ac:dyDescent="0.2"/>
  <cols>
    <col min="1" max="1" width="47.140625" style="3" customWidth="1"/>
    <col min="2" max="2" width="13.7109375" style="3" customWidth="1"/>
    <col min="3" max="3" width="11.140625" style="3" customWidth="1"/>
    <col min="4" max="4" width="10.28515625" style="3" customWidth="1"/>
    <col min="5" max="5" width="10.140625" style="3" customWidth="1"/>
    <col min="6" max="16384" width="9.140625" style="3"/>
  </cols>
  <sheetData>
    <row r="2" spans="1:13" x14ac:dyDescent="0.2">
      <c r="A2" s="131" t="s">
        <v>75</v>
      </c>
      <c r="B2" s="131"/>
      <c r="C2" s="131"/>
      <c r="D2" s="131"/>
      <c r="E2" s="131"/>
      <c r="F2" s="131"/>
      <c r="G2" s="5"/>
      <c r="H2" s="5"/>
      <c r="I2" s="5"/>
      <c r="J2" s="5"/>
      <c r="K2" s="5"/>
      <c r="L2" s="5"/>
      <c r="M2" s="5"/>
    </row>
    <row r="3" spans="1:13" x14ac:dyDescent="0.2">
      <c r="A3" s="79"/>
      <c r="B3" s="79"/>
      <c r="C3" s="79"/>
      <c r="D3" s="79"/>
      <c r="E3" s="79"/>
      <c r="F3" s="79"/>
      <c r="G3" s="78"/>
      <c r="H3" s="78"/>
      <c r="I3" s="78"/>
      <c r="J3" s="78"/>
      <c r="K3" s="78"/>
      <c r="L3" s="78"/>
      <c r="M3" s="78"/>
    </row>
    <row r="4" spans="1:13" x14ac:dyDescent="0.2">
      <c r="A4" s="4"/>
      <c r="B4" s="4"/>
      <c r="C4" s="4"/>
      <c r="D4" s="4"/>
      <c r="E4" s="4"/>
      <c r="F4" s="4"/>
    </row>
    <row r="5" spans="1:13" x14ac:dyDescent="0.2">
      <c r="A5" s="4"/>
      <c r="B5" s="4"/>
      <c r="C5" s="4"/>
      <c r="D5" s="4"/>
      <c r="E5" s="4"/>
      <c r="F5" s="4"/>
    </row>
    <row r="6" spans="1:13" x14ac:dyDescent="0.2">
      <c r="A6" s="4"/>
      <c r="B6" s="4"/>
      <c r="C6" s="4"/>
      <c r="D6" s="4"/>
      <c r="E6" s="4"/>
      <c r="F6" s="4"/>
    </row>
    <row r="7" spans="1:13" x14ac:dyDescent="0.2">
      <c r="A7" s="4"/>
      <c r="B7" s="4"/>
      <c r="C7" s="4"/>
      <c r="D7" s="4"/>
      <c r="E7" s="4"/>
      <c r="F7" s="4"/>
    </row>
    <row r="8" spans="1:13" x14ac:dyDescent="0.2">
      <c r="A8" s="4"/>
      <c r="B8" s="4"/>
      <c r="C8" s="4"/>
      <c r="D8" s="4"/>
      <c r="E8" s="4"/>
      <c r="F8" s="4"/>
    </row>
    <row r="9" spans="1:13" x14ac:dyDescent="0.2">
      <c r="A9" s="4"/>
      <c r="B9" s="4"/>
      <c r="C9" s="4"/>
      <c r="D9" s="4"/>
      <c r="E9" s="4"/>
      <c r="F9" s="4"/>
    </row>
    <row r="10" spans="1:13" x14ac:dyDescent="0.2">
      <c r="A10" s="4"/>
      <c r="B10" s="4"/>
      <c r="C10" s="4"/>
      <c r="D10" s="4"/>
      <c r="E10" s="4"/>
      <c r="F10" s="4"/>
    </row>
    <row r="11" spans="1:13" x14ac:dyDescent="0.2">
      <c r="A11" s="4"/>
      <c r="B11" s="4"/>
      <c r="C11" s="4"/>
      <c r="D11" s="4"/>
      <c r="E11" s="4"/>
      <c r="F11" s="4"/>
    </row>
    <row r="12" spans="1:13" x14ac:dyDescent="0.2">
      <c r="A12" s="4"/>
      <c r="B12" s="4"/>
      <c r="C12" s="4"/>
      <c r="D12" s="4"/>
      <c r="E12" s="4"/>
      <c r="F12" s="4"/>
    </row>
    <row r="13" spans="1:13" x14ac:dyDescent="0.2">
      <c r="A13" s="4"/>
      <c r="B13" s="4"/>
      <c r="C13" s="4"/>
      <c r="D13" s="4"/>
      <c r="E13" s="4"/>
      <c r="F13" s="4"/>
    </row>
    <row r="14" spans="1:13" x14ac:dyDescent="0.2">
      <c r="A14" s="4"/>
      <c r="B14" s="4"/>
      <c r="C14" s="4"/>
      <c r="D14" s="4"/>
      <c r="E14" s="4"/>
      <c r="F14" s="4"/>
    </row>
    <row r="15" spans="1:13" x14ac:dyDescent="0.2">
      <c r="A15" s="4"/>
      <c r="B15" s="4"/>
      <c r="C15" s="4"/>
      <c r="D15" s="4"/>
      <c r="E15" s="4"/>
      <c r="F15" s="4"/>
    </row>
    <row r="16" spans="1:13" x14ac:dyDescent="0.2">
      <c r="A16" s="4"/>
      <c r="B16" s="4"/>
      <c r="C16" s="4"/>
      <c r="D16" s="4"/>
      <c r="E16" s="4"/>
      <c r="F16" s="4"/>
    </row>
    <row r="17" spans="1:6" x14ac:dyDescent="0.2">
      <c r="A17" s="4"/>
      <c r="B17" s="4"/>
      <c r="C17" s="4"/>
      <c r="D17" s="4"/>
      <c r="E17" s="4"/>
      <c r="F17" s="4"/>
    </row>
    <row r="18" spans="1:6" x14ac:dyDescent="0.2">
      <c r="A18" s="4"/>
      <c r="B18" s="4"/>
      <c r="C18" s="4"/>
      <c r="D18" s="4"/>
      <c r="E18" s="4"/>
      <c r="F18" s="4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5"/>
    </row>
    <row r="21" spans="1:6" x14ac:dyDescent="0.2">
      <c r="A21" s="5"/>
    </row>
    <row r="22" spans="1:6" x14ac:dyDescent="0.2">
      <c r="A22" s="5"/>
    </row>
    <row r="23" spans="1:6" x14ac:dyDescent="0.2">
      <c r="A23" s="70" t="s">
        <v>85</v>
      </c>
      <c r="B23" s="48" t="s">
        <v>49</v>
      </c>
    </row>
    <row r="24" spans="1:6" ht="13.5" customHeight="1" x14ac:dyDescent="0.2">
      <c r="A24" s="34" t="s">
        <v>50</v>
      </c>
      <c r="B24" s="124">
        <v>12.1</v>
      </c>
    </row>
    <row r="25" spans="1:6" x14ac:dyDescent="0.2">
      <c r="A25" s="35" t="s">
        <v>51</v>
      </c>
      <c r="B25" s="125">
        <v>2</v>
      </c>
    </row>
    <row r="26" spans="1:6" x14ac:dyDescent="0.2">
      <c r="A26" s="35" t="s">
        <v>52</v>
      </c>
      <c r="B26" s="125">
        <v>2.7</v>
      </c>
    </row>
    <row r="27" spans="1:6" x14ac:dyDescent="0.2">
      <c r="A27" s="35" t="s">
        <v>53</v>
      </c>
      <c r="B27" s="125">
        <v>11.1</v>
      </c>
    </row>
    <row r="28" spans="1:6" x14ac:dyDescent="0.2">
      <c r="A28" s="35" t="s">
        <v>65</v>
      </c>
      <c r="B28" s="125">
        <v>0.2</v>
      </c>
    </row>
    <row r="29" spans="1:6" x14ac:dyDescent="0.2">
      <c r="A29" s="35" t="s">
        <v>66</v>
      </c>
      <c r="B29" s="125">
        <v>15.9</v>
      </c>
    </row>
    <row r="30" spans="1:6" x14ac:dyDescent="0.2">
      <c r="A30" s="35" t="s">
        <v>56</v>
      </c>
      <c r="B30" s="125">
        <v>19.8</v>
      </c>
    </row>
    <row r="31" spans="1:6" x14ac:dyDescent="0.2">
      <c r="A31" s="35" t="s">
        <v>57</v>
      </c>
      <c r="B31" s="125">
        <v>25.6</v>
      </c>
    </row>
    <row r="32" spans="1:6" x14ac:dyDescent="0.2">
      <c r="A32" s="36" t="s">
        <v>58</v>
      </c>
      <c r="B32" s="126">
        <v>10.6</v>
      </c>
    </row>
    <row r="34" spans="1:2" x14ac:dyDescent="0.2">
      <c r="A34" s="70" t="s">
        <v>84</v>
      </c>
      <c r="B34" s="99" t="s">
        <v>49</v>
      </c>
    </row>
    <row r="35" spans="1:2" x14ac:dyDescent="0.2">
      <c r="A35" s="34" t="s">
        <v>50</v>
      </c>
      <c r="B35" s="124">
        <v>10.8</v>
      </c>
    </row>
    <row r="36" spans="1:2" x14ac:dyDescent="0.2">
      <c r="A36" s="35" t="s">
        <v>51</v>
      </c>
      <c r="B36" s="125">
        <v>1.9</v>
      </c>
    </row>
    <row r="37" spans="1:2" x14ac:dyDescent="0.2">
      <c r="A37" s="35" t="s">
        <v>52</v>
      </c>
      <c r="B37" s="125">
        <v>2.9</v>
      </c>
    </row>
    <row r="38" spans="1:2" x14ac:dyDescent="0.2">
      <c r="A38" s="35" t="s">
        <v>53</v>
      </c>
      <c r="B38" s="125">
        <v>12.8</v>
      </c>
    </row>
    <row r="39" spans="1:2" x14ac:dyDescent="0.2">
      <c r="A39" s="35" t="s">
        <v>54</v>
      </c>
      <c r="B39" s="125">
        <v>0.2</v>
      </c>
    </row>
    <row r="40" spans="1:2" x14ac:dyDescent="0.2">
      <c r="A40" s="35" t="s">
        <v>55</v>
      </c>
      <c r="B40" s="125">
        <v>15</v>
      </c>
    </row>
    <row r="41" spans="1:2" x14ac:dyDescent="0.2">
      <c r="A41" s="35" t="s">
        <v>56</v>
      </c>
      <c r="B41" s="125">
        <v>19</v>
      </c>
    </row>
    <row r="42" spans="1:2" x14ac:dyDescent="0.2">
      <c r="A42" s="35" t="s">
        <v>57</v>
      </c>
      <c r="B42" s="125">
        <v>25.6</v>
      </c>
    </row>
    <row r="43" spans="1:2" x14ac:dyDescent="0.2">
      <c r="A43" s="36" t="s">
        <v>58</v>
      </c>
      <c r="B43" s="126">
        <v>11.8</v>
      </c>
    </row>
  </sheetData>
  <mergeCells count="1">
    <mergeCell ref="A2:F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28"/>
  <sheetViews>
    <sheetView workbookViewId="0">
      <selection activeCell="A2" sqref="A2:M2"/>
    </sheetView>
  </sheetViews>
  <sheetFormatPr defaultRowHeight="12" x14ac:dyDescent="0.2"/>
  <cols>
    <col min="1" max="9" width="9.140625" style="3"/>
    <col min="10" max="10" width="11.42578125" style="3" customWidth="1"/>
    <col min="11" max="11" width="11.5703125" style="3" customWidth="1"/>
    <col min="12" max="12" width="11.28515625" style="3" customWidth="1"/>
    <col min="13" max="13" width="11.7109375" style="3" customWidth="1"/>
    <col min="14" max="16384" width="9.140625" style="3"/>
  </cols>
  <sheetData>
    <row r="2" spans="1:13" x14ac:dyDescent="0.2">
      <c r="A2" s="135" t="s">
        <v>78</v>
      </c>
      <c r="B2" s="135"/>
      <c r="C2" s="135"/>
      <c r="D2" s="135"/>
      <c r="E2" s="135"/>
      <c r="F2" s="135"/>
      <c r="G2" s="135"/>
      <c r="H2" s="135"/>
      <c r="I2" s="135"/>
      <c r="J2" s="135"/>
      <c r="K2" s="146"/>
      <c r="L2" s="146"/>
      <c r="M2" s="146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3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2" spans="1:13" x14ac:dyDescent="0.2">
      <c r="A22" s="45" t="s">
        <v>0</v>
      </c>
      <c r="B22" s="67" t="s">
        <v>1</v>
      </c>
      <c r="C22" s="67" t="s">
        <v>2</v>
      </c>
      <c r="D22" s="67" t="s">
        <v>3</v>
      </c>
      <c r="E22" s="67" t="s">
        <v>4</v>
      </c>
      <c r="F22" s="67" t="s">
        <v>5</v>
      </c>
      <c r="G22" s="67" t="s">
        <v>6</v>
      </c>
      <c r="H22" s="67" t="s">
        <v>7</v>
      </c>
      <c r="I22" s="67" t="s">
        <v>8</v>
      </c>
      <c r="J22" s="67" t="s">
        <v>9</v>
      </c>
      <c r="K22" s="67" t="s">
        <v>10</v>
      </c>
      <c r="L22" s="67" t="s">
        <v>11</v>
      </c>
      <c r="M22" s="68" t="s">
        <v>12</v>
      </c>
    </row>
    <row r="23" spans="1:13" x14ac:dyDescent="0.2">
      <c r="A23" s="44">
        <v>2016</v>
      </c>
      <c r="B23" s="62">
        <v>-90.5</v>
      </c>
      <c r="C23" s="62">
        <v>-148.5</v>
      </c>
      <c r="D23" s="62">
        <v>-205.5</v>
      </c>
      <c r="E23" s="62">
        <v>-176.4</v>
      </c>
      <c r="F23" s="62">
        <v>-174.7</v>
      </c>
      <c r="G23" s="62">
        <v>-167.2</v>
      </c>
      <c r="H23" s="62">
        <v>-148.5</v>
      </c>
      <c r="I23" s="62">
        <v>-183.1</v>
      </c>
      <c r="J23" s="62">
        <v>-168</v>
      </c>
      <c r="K23" s="62">
        <v>-179.4</v>
      </c>
      <c r="L23" s="62">
        <v>-135.9</v>
      </c>
      <c r="M23" s="62">
        <v>-197.9</v>
      </c>
    </row>
    <row r="24" spans="1:13" x14ac:dyDescent="0.2">
      <c r="A24" s="44">
        <v>2017</v>
      </c>
      <c r="B24" s="62">
        <v>-127.3</v>
      </c>
      <c r="C24" s="62">
        <v>-156.1</v>
      </c>
      <c r="D24" s="62">
        <v>-219.1</v>
      </c>
      <c r="E24" s="62">
        <v>-207.3</v>
      </c>
      <c r="F24" s="62">
        <v>-225.7</v>
      </c>
      <c r="G24" s="62">
        <v>-217.7</v>
      </c>
      <c r="H24" s="62">
        <v>-205.3</v>
      </c>
      <c r="I24" s="62">
        <v>-221.8</v>
      </c>
      <c r="J24" s="62">
        <v>-206.9</v>
      </c>
      <c r="K24" s="62">
        <v>-197.7</v>
      </c>
      <c r="L24" s="62">
        <v>-183.2</v>
      </c>
      <c r="M24" s="62">
        <v>-238.3</v>
      </c>
    </row>
    <row r="25" spans="1:13" x14ac:dyDescent="0.2">
      <c r="A25" s="44">
        <v>2018</v>
      </c>
      <c r="B25" s="62">
        <v>-154</v>
      </c>
      <c r="C25" s="62">
        <v>-212.1</v>
      </c>
      <c r="D25" s="62">
        <v>-282</v>
      </c>
      <c r="E25" s="62">
        <v>-244.9</v>
      </c>
      <c r="F25" s="62">
        <v>-282.60000000000002</v>
      </c>
      <c r="G25" s="62">
        <v>-244.6</v>
      </c>
      <c r="H25" s="62">
        <v>-269.2</v>
      </c>
      <c r="I25" s="62">
        <v>-262.10000000000002</v>
      </c>
      <c r="J25" s="62">
        <v>-266.7</v>
      </c>
      <c r="K25" s="62">
        <v>-281.60000000000002</v>
      </c>
      <c r="L25" s="62">
        <v>-253.70000000000005</v>
      </c>
      <c r="M25" s="62">
        <v>-300.49999999999994</v>
      </c>
    </row>
    <row r="26" spans="1:13" x14ac:dyDescent="0.2">
      <c r="A26" s="44">
        <v>2019</v>
      </c>
      <c r="B26" s="62">
        <v>-138.30000000000001</v>
      </c>
      <c r="C26" s="62">
        <v>-217.9</v>
      </c>
      <c r="D26" s="62">
        <v>-276.60000000000002</v>
      </c>
      <c r="E26" s="62">
        <v>-300</v>
      </c>
      <c r="F26" s="62">
        <v>-271.10000000000002</v>
      </c>
      <c r="G26" s="62">
        <v>-243.2</v>
      </c>
      <c r="H26" s="62">
        <v>-278.89999999999998</v>
      </c>
      <c r="I26" s="62">
        <v>-258.5</v>
      </c>
      <c r="J26" s="62">
        <v>-262.89999999999998</v>
      </c>
      <c r="K26" s="62">
        <v>-257</v>
      </c>
      <c r="L26" s="62">
        <v>-237.5</v>
      </c>
      <c r="M26" s="62">
        <v>-321.39999999999998</v>
      </c>
    </row>
    <row r="27" spans="1:13" x14ac:dyDescent="0.2">
      <c r="A27" s="44">
        <v>2020</v>
      </c>
      <c r="B27" s="62">
        <v>-160.30000000000001</v>
      </c>
      <c r="C27" s="62">
        <v>-239.5</v>
      </c>
      <c r="D27" s="62">
        <v>-290.3</v>
      </c>
      <c r="E27" s="62">
        <v>-135.80000000000001</v>
      </c>
      <c r="F27" s="62">
        <v>-173.7</v>
      </c>
      <c r="G27" s="62">
        <v>-223.9</v>
      </c>
      <c r="H27" s="62">
        <v>-305.5</v>
      </c>
      <c r="I27" s="62">
        <v>-269.7</v>
      </c>
      <c r="J27" s="62">
        <v>-296</v>
      </c>
      <c r="K27" s="62">
        <v>-244.2</v>
      </c>
      <c r="L27" s="62">
        <v>-260.89999999999998</v>
      </c>
      <c r="M27" s="62">
        <v>-349</v>
      </c>
    </row>
    <row r="28" spans="1:13" x14ac:dyDescent="0.2">
      <c r="A28" s="40">
        <v>2021</v>
      </c>
      <c r="B28" s="64">
        <v>-201</v>
      </c>
      <c r="C28" s="64">
        <v>-294.39999999999998</v>
      </c>
      <c r="D28" s="64">
        <v>-370.8</v>
      </c>
      <c r="E28" s="64">
        <v>-344</v>
      </c>
      <c r="F28" s="64">
        <v>-361.7</v>
      </c>
      <c r="G28" s="64">
        <v>-362.8</v>
      </c>
      <c r="H28" s="64">
        <v>-321.3</v>
      </c>
      <c r="I28" s="64">
        <v>-338.7</v>
      </c>
      <c r="J28" s="64">
        <v>-374.8</v>
      </c>
      <c r="K28" s="64"/>
      <c r="L28" s="64"/>
      <c r="M28" s="64"/>
    </row>
  </sheetData>
  <mergeCells count="1">
    <mergeCell ref="A2:J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30"/>
  <sheetViews>
    <sheetView workbookViewId="0">
      <selection activeCell="A2" sqref="A2:M2"/>
    </sheetView>
  </sheetViews>
  <sheetFormatPr defaultRowHeight="12" x14ac:dyDescent="0.2"/>
  <cols>
    <col min="1" max="1" width="28.42578125" style="3" customWidth="1"/>
    <col min="2" max="2" width="17.7109375" style="3" customWidth="1"/>
    <col min="3" max="3" width="18" style="3" customWidth="1"/>
    <col min="4" max="4" width="22.140625" style="3" customWidth="1"/>
    <col min="5" max="16384" width="9.140625" style="3"/>
  </cols>
  <sheetData>
    <row r="2" spans="1:13" x14ac:dyDescent="0.2">
      <c r="A2" s="139" t="s">
        <v>99</v>
      </c>
      <c r="B2" s="139"/>
      <c r="C2" s="139"/>
      <c r="D2" s="139"/>
      <c r="E2" s="139"/>
      <c r="F2" s="145"/>
      <c r="G2" s="146"/>
      <c r="H2" s="146"/>
      <c r="I2" s="146"/>
      <c r="J2" s="146"/>
      <c r="K2" s="146"/>
      <c r="L2" s="146"/>
      <c r="M2" s="146"/>
    </row>
    <row r="3" spans="1:13" ht="19.5" customHeight="1" x14ac:dyDescent="0.2">
      <c r="A3" s="4"/>
      <c r="B3" s="4"/>
      <c r="C3" s="4"/>
      <c r="D3" s="4"/>
      <c r="E3" s="4"/>
      <c r="F3" s="4"/>
    </row>
    <row r="4" spans="1:13" x14ac:dyDescent="0.2">
      <c r="A4" s="4"/>
      <c r="B4" s="4"/>
      <c r="C4" s="4"/>
      <c r="D4" s="4"/>
      <c r="E4" s="4"/>
      <c r="F4" s="4"/>
    </row>
    <row r="5" spans="1:13" x14ac:dyDescent="0.2">
      <c r="A5" s="4"/>
      <c r="B5" s="4"/>
      <c r="C5" s="4"/>
      <c r="D5" s="4"/>
      <c r="E5" s="4"/>
      <c r="F5" s="4"/>
    </row>
    <row r="6" spans="1:13" x14ac:dyDescent="0.2">
      <c r="A6" s="4"/>
      <c r="B6" s="4"/>
      <c r="C6" s="4"/>
      <c r="D6" s="4"/>
      <c r="E6" s="4"/>
      <c r="F6" s="4"/>
    </row>
    <row r="7" spans="1:13" x14ac:dyDescent="0.2">
      <c r="A7" s="4"/>
      <c r="B7" s="4"/>
      <c r="C7" s="4"/>
      <c r="D7" s="4"/>
      <c r="E7" s="4"/>
      <c r="F7" s="4"/>
    </row>
    <row r="8" spans="1:13" x14ac:dyDescent="0.2">
      <c r="A8" s="4"/>
      <c r="B8" s="4"/>
      <c r="C8" s="4"/>
      <c r="D8" s="4"/>
      <c r="E8" s="4"/>
      <c r="F8" s="4"/>
    </row>
    <row r="9" spans="1:13" x14ac:dyDescent="0.2">
      <c r="A9" s="4"/>
      <c r="B9" s="4"/>
      <c r="C9" s="4"/>
      <c r="D9" s="4"/>
      <c r="E9" s="4"/>
      <c r="F9" s="4"/>
    </row>
    <row r="10" spans="1:13" x14ac:dyDescent="0.2">
      <c r="A10" s="4"/>
      <c r="B10" s="4"/>
      <c r="C10" s="4"/>
      <c r="D10" s="4"/>
      <c r="E10" s="4"/>
      <c r="F10" s="4"/>
    </row>
    <row r="11" spans="1:13" x14ac:dyDescent="0.2">
      <c r="A11" s="4"/>
      <c r="B11" s="4"/>
      <c r="C11" s="4"/>
      <c r="D11" s="4"/>
      <c r="E11" s="4"/>
      <c r="F11" s="4"/>
    </row>
    <row r="12" spans="1:13" x14ac:dyDescent="0.2">
      <c r="A12" s="4"/>
      <c r="B12" s="4"/>
      <c r="C12" s="4"/>
      <c r="D12" s="4"/>
      <c r="E12" s="4"/>
      <c r="F12" s="4"/>
    </row>
    <row r="13" spans="1:13" x14ac:dyDescent="0.2">
      <c r="A13" s="4"/>
      <c r="B13" s="4"/>
      <c r="C13" s="4"/>
      <c r="D13" s="4"/>
      <c r="E13" s="4"/>
      <c r="F13" s="4"/>
    </row>
    <row r="14" spans="1:13" x14ac:dyDescent="0.2">
      <c r="A14" s="4"/>
      <c r="B14" s="4"/>
      <c r="C14" s="4"/>
      <c r="D14" s="4"/>
      <c r="E14" s="4"/>
      <c r="F14" s="4"/>
    </row>
    <row r="15" spans="1:13" x14ac:dyDescent="0.2">
      <c r="A15" s="4"/>
      <c r="B15" s="4"/>
      <c r="C15" s="4"/>
      <c r="D15" s="4"/>
      <c r="E15" s="4"/>
      <c r="F15" s="4"/>
    </row>
    <row r="16" spans="1:13" x14ac:dyDescent="0.2">
      <c r="A16" s="4"/>
      <c r="B16" s="4"/>
      <c r="C16" s="4"/>
      <c r="D16" s="4"/>
      <c r="E16" s="4"/>
      <c r="F16" s="4"/>
    </row>
    <row r="17" spans="1:6" x14ac:dyDescent="0.2">
      <c r="A17" s="4"/>
      <c r="B17" s="4"/>
      <c r="C17" s="4"/>
      <c r="D17" s="4"/>
      <c r="E17" s="4"/>
      <c r="F17" s="4"/>
    </row>
    <row r="18" spans="1:6" x14ac:dyDescent="0.2">
      <c r="A18" s="4"/>
      <c r="B18" s="4"/>
      <c r="C18" s="4"/>
      <c r="D18" s="4"/>
      <c r="E18" s="4"/>
      <c r="F18" s="4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4"/>
      <c r="B20" s="4"/>
      <c r="C20" s="4"/>
      <c r="D20" s="4"/>
      <c r="E20" s="4"/>
      <c r="F20" s="4"/>
    </row>
    <row r="21" spans="1:6" x14ac:dyDescent="0.2">
      <c r="A21" s="4"/>
      <c r="B21" s="4"/>
      <c r="C21" s="4"/>
      <c r="D21" s="4"/>
      <c r="E21" s="4"/>
      <c r="F21" s="4"/>
    </row>
    <row r="22" spans="1:6" x14ac:dyDescent="0.2">
      <c r="A22" s="4"/>
      <c r="B22" s="4"/>
      <c r="C22" s="4"/>
      <c r="D22" s="4"/>
      <c r="E22" s="4"/>
      <c r="F22" s="4"/>
    </row>
    <row r="24" spans="1:6" x14ac:dyDescent="0.2">
      <c r="A24" s="71" t="s">
        <v>69</v>
      </c>
      <c r="B24" s="37" t="s">
        <v>70</v>
      </c>
      <c r="C24" s="37" t="s">
        <v>71</v>
      </c>
      <c r="D24" s="38" t="s">
        <v>72</v>
      </c>
      <c r="E24" s="6"/>
    </row>
    <row r="25" spans="1:6" ht="15.75" customHeight="1" x14ac:dyDescent="0.2">
      <c r="A25" s="18" t="s">
        <v>89</v>
      </c>
      <c r="B25" s="87">
        <v>1432.6</v>
      </c>
      <c r="C25" s="87">
        <v>2895.2</v>
      </c>
      <c r="D25" s="127">
        <v>-1462.6</v>
      </c>
      <c r="E25" s="6"/>
    </row>
    <row r="26" spans="1:6" ht="15" customHeight="1" x14ac:dyDescent="0.2">
      <c r="A26" s="19" t="s">
        <v>88</v>
      </c>
      <c r="B26" s="87">
        <v>1651.5</v>
      </c>
      <c r="C26" s="87">
        <v>3438.8</v>
      </c>
      <c r="D26" s="127">
        <v>-1787.3</v>
      </c>
      <c r="E26" s="6"/>
    </row>
    <row r="27" spans="1:6" ht="14.25" customHeight="1" x14ac:dyDescent="0.2">
      <c r="A27" s="19" t="s">
        <v>87</v>
      </c>
      <c r="B27" s="87">
        <v>1959.5</v>
      </c>
      <c r="C27" s="87">
        <v>4177.6000000000004</v>
      </c>
      <c r="D27" s="128">
        <v>-2218.1</v>
      </c>
      <c r="E27" s="6"/>
    </row>
    <row r="28" spans="1:6" ht="14.25" customHeight="1" x14ac:dyDescent="0.2">
      <c r="A28" s="19" t="s">
        <v>86</v>
      </c>
      <c r="B28" s="87">
        <v>2026</v>
      </c>
      <c r="C28" s="87">
        <v>4273.3999999999996</v>
      </c>
      <c r="D28" s="128">
        <v>-2247.4</v>
      </c>
      <c r="E28" s="6"/>
    </row>
    <row r="29" spans="1:6" ht="13.5" customHeight="1" x14ac:dyDescent="0.2">
      <c r="A29" s="19" t="s">
        <v>85</v>
      </c>
      <c r="B29" s="87">
        <v>1737.5</v>
      </c>
      <c r="C29" s="87">
        <v>3832.2</v>
      </c>
      <c r="D29" s="128">
        <v>-2094.6999999999998</v>
      </c>
      <c r="E29" s="6"/>
    </row>
    <row r="30" spans="1:6" ht="13.5" customHeight="1" x14ac:dyDescent="0.2">
      <c r="A30" s="19" t="s">
        <v>84</v>
      </c>
      <c r="B30" s="87">
        <v>2103.3000000000002</v>
      </c>
      <c r="C30" s="87">
        <v>5072.7</v>
      </c>
      <c r="D30" s="128">
        <v>-2969.4</v>
      </c>
      <c r="E30" s="6"/>
    </row>
  </sheetData>
  <mergeCells count="1">
    <mergeCell ref="A2:E2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H22"/>
  <sheetViews>
    <sheetView workbookViewId="0">
      <selection activeCell="A2" sqref="A2:M2"/>
    </sheetView>
  </sheetViews>
  <sheetFormatPr defaultRowHeight="12" x14ac:dyDescent="0.2"/>
  <cols>
    <col min="1" max="1" width="17.85546875" style="3" customWidth="1"/>
    <col min="2" max="2" width="7" style="3" customWidth="1"/>
    <col min="3" max="3" width="6.85546875" style="3" bestFit="1" customWidth="1"/>
    <col min="4" max="4" width="7.7109375" style="3" bestFit="1" customWidth="1"/>
    <col min="5" max="5" width="7.5703125" style="3" bestFit="1" customWidth="1"/>
    <col min="6" max="6" width="6.7109375" style="3" bestFit="1" customWidth="1"/>
    <col min="7" max="7" width="7.5703125" style="3" bestFit="1" customWidth="1"/>
    <col min="8" max="8" width="7.85546875" style="3" bestFit="1" customWidth="1"/>
    <col min="9" max="9" width="5.85546875" style="3" customWidth="1"/>
    <col min="10" max="10" width="7.5703125" style="3" bestFit="1" customWidth="1"/>
    <col min="11" max="11" width="6.7109375" style="3" bestFit="1" customWidth="1"/>
    <col min="12" max="12" width="7.7109375" style="3" customWidth="1"/>
    <col min="13" max="13" width="9.85546875" style="3" customWidth="1"/>
    <col min="14" max="14" width="6.5703125" style="3" customWidth="1"/>
    <col min="15" max="15" width="7" style="3" customWidth="1"/>
    <col min="16" max="17" width="6.28515625" style="3" customWidth="1"/>
    <col min="18" max="19" width="6.140625" style="3" customWidth="1"/>
    <col min="20" max="20" width="6.42578125" style="3" customWidth="1"/>
    <col min="21" max="21" width="5.42578125" style="3" customWidth="1"/>
    <col min="22" max="22" width="6.28515625" style="3" customWidth="1"/>
    <col min="23" max="23" width="6" style="3" customWidth="1"/>
    <col min="24" max="25" width="6.7109375" style="3" customWidth="1"/>
    <col min="26" max="28" width="6" style="3" customWidth="1"/>
    <col min="29" max="29" width="5.85546875" style="3" customWidth="1"/>
    <col min="30" max="30" width="6.42578125" style="3" customWidth="1"/>
    <col min="31" max="31" width="5.85546875" style="3" customWidth="1"/>
    <col min="32" max="32" width="6.42578125" style="3" customWidth="1"/>
    <col min="33" max="33" width="6" style="3" customWidth="1"/>
    <col min="34" max="34" width="5.85546875" style="3" customWidth="1"/>
    <col min="35" max="16384" width="9.140625" style="3"/>
  </cols>
  <sheetData>
    <row r="2" spans="1:15" ht="15.75" customHeight="1" x14ac:dyDescent="0.2">
      <c r="A2" s="135" t="s">
        <v>82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7"/>
      <c r="O2" s="7"/>
    </row>
    <row r="3" spans="1:15" ht="14.2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5" ht="14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5" ht="16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5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5" ht="14.2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5" ht="13.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5" ht="17.2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5" ht="17.2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5" ht="16.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5" ht="1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5" ht="1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5" ht="15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5" ht="22.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34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34" ht="19.5" customHeight="1" x14ac:dyDescent="0.2">
      <c r="A18" s="5"/>
      <c r="AG18" s="6"/>
    </row>
    <row r="19" spans="1:34" x14ac:dyDescent="0.2">
      <c r="A19" s="132"/>
      <c r="B19" s="134">
        <v>2019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>
        <v>2020</v>
      </c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6">
        <v>2021</v>
      </c>
      <c r="AA19" s="137"/>
      <c r="AB19" s="137"/>
      <c r="AC19" s="137"/>
      <c r="AD19" s="137"/>
      <c r="AE19" s="137"/>
      <c r="AF19" s="137"/>
      <c r="AG19" s="137"/>
      <c r="AH19" s="138"/>
    </row>
    <row r="20" spans="1:34" x14ac:dyDescent="0.2">
      <c r="A20" s="133"/>
      <c r="B20" s="32" t="s">
        <v>13</v>
      </c>
      <c r="C20" s="32" t="s">
        <v>14</v>
      </c>
      <c r="D20" s="32" t="s">
        <v>15</v>
      </c>
      <c r="E20" s="32" t="s">
        <v>16</v>
      </c>
      <c r="F20" s="32" t="s">
        <v>17</v>
      </c>
      <c r="G20" s="32" t="s">
        <v>18</v>
      </c>
      <c r="H20" s="32" t="s">
        <v>19</v>
      </c>
      <c r="I20" s="32" t="s">
        <v>20</v>
      </c>
      <c r="J20" s="32" t="s">
        <v>21</v>
      </c>
      <c r="K20" s="32" t="s">
        <v>22</v>
      </c>
      <c r="L20" s="32" t="s">
        <v>23</v>
      </c>
      <c r="M20" s="32" t="s">
        <v>24</v>
      </c>
      <c r="N20" s="32" t="s">
        <v>13</v>
      </c>
      <c r="O20" s="32" t="s">
        <v>14</v>
      </c>
      <c r="P20" s="32" t="s">
        <v>15</v>
      </c>
      <c r="Q20" s="32" t="s">
        <v>16</v>
      </c>
      <c r="R20" s="32" t="s">
        <v>17</v>
      </c>
      <c r="S20" s="32" t="s">
        <v>25</v>
      </c>
      <c r="T20" s="32" t="s">
        <v>19</v>
      </c>
      <c r="U20" s="32" t="s">
        <v>26</v>
      </c>
      <c r="V20" s="32" t="s">
        <v>21</v>
      </c>
      <c r="W20" s="32" t="s">
        <v>27</v>
      </c>
      <c r="X20" s="32" t="s">
        <v>23</v>
      </c>
      <c r="Y20" s="32" t="s">
        <v>24</v>
      </c>
      <c r="Z20" s="91" t="s">
        <v>13</v>
      </c>
      <c r="AA20" s="116" t="s">
        <v>14</v>
      </c>
      <c r="AB20" s="91" t="s">
        <v>15</v>
      </c>
      <c r="AC20" s="91" t="s">
        <v>16</v>
      </c>
      <c r="AD20" s="91" t="s">
        <v>17</v>
      </c>
      <c r="AE20" s="91" t="s">
        <v>25</v>
      </c>
      <c r="AF20" s="91" t="s">
        <v>19</v>
      </c>
      <c r="AG20" s="91" t="s">
        <v>26</v>
      </c>
      <c r="AH20" s="98" t="s">
        <v>21</v>
      </c>
    </row>
    <row r="21" spans="1:34" ht="28.5" customHeight="1" x14ac:dyDescent="0.2">
      <c r="A21" s="30" t="s">
        <v>73</v>
      </c>
      <c r="B21" s="20">
        <v>107.04955714362214</v>
      </c>
      <c r="C21" s="20">
        <v>103.05469693630643</v>
      </c>
      <c r="D21" s="20">
        <v>106.5540849399146</v>
      </c>
      <c r="E21" s="20">
        <v>83.804058120513616</v>
      </c>
      <c r="F21" s="20">
        <v>97.663587687631406</v>
      </c>
      <c r="G21" s="20">
        <v>96.047232355670943</v>
      </c>
      <c r="H21" s="20">
        <v>108.87893967295254</v>
      </c>
      <c r="I21" s="20">
        <v>93.476142278451405</v>
      </c>
      <c r="J21" s="20">
        <v>116.03027535062083</v>
      </c>
      <c r="K21" s="20">
        <v>112.37403253245004</v>
      </c>
      <c r="L21" s="20">
        <v>99.332915825323369</v>
      </c>
      <c r="M21" s="16">
        <v>81.894486392152885</v>
      </c>
      <c r="N21" s="22">
        <v>100.54069338788538</v>
      </c>
      <c r="O21" s="22">
        <v>111.77933359663091</v>
      </c>
      <c r="P21" s="22">
        <v>85.694935103741471</v>
      </c>
      <c r="Q21" s="22">
        <v>71.283537880135214</v>
      </c>
      <c r="R21" s="22">
        <v>103.90424682350312</v>
      </c>
      <c r="S21" s="22">
        <v>121.75061963317823</v>
      </c>
      <c r="T21" s="22">
        <v>100.8184202333199</v>
      </c>
      <c r="U21" s="22">
        <v>78.376764810035453</v>
      </c>
      <c r="V21" s="22">
        <v>129.49769232961904</v>
      </c>
      <c r="W21" s="22">
        <v>117.47585360993436</v>
      </c>
      <c r="X21" s="22">
        <v>105.08585699580438</v>
      </c>
      <c r="Y21" s="16">
        <v>83.287463510424814</v>
      </c>
      <c r="Z21" s="55">
        <v>90.924906043100663</v>
      </c>
      <c r="AA21" s="21">
        <v>114.41147354263464</v>
      </c>
      <c r="AB21" s="21">
        <v>114.20579997969134</v>
      </c>
      <c r="AC21" s="21">
        <v>84.167356355788357</v>
      </c>
      <c r="AD21" s="21">
        <v>92.421884276527052</v>
      </c>
      <c r="AE21" s="97">
        <v>112.45124175218632</v>
      </c>
      <c r="AF21" s="97">
        <v>106.13290668113962</v>
      </c>
      <c r="AG21" s="97">
        <v>98.153444711323928</v>
      </c>
      <c r="AH21" s="117">
        <v>124.81061560262756</v>
      </c>
    </row>
    <row r="22" spans="1:34" ht="40.5" customHeight="1" x14ac:dyDescent="0.2">
      <c r="A22" s="29" t="s">
        <v>74</v>
      </c>
      <c r="B22" s="27">
        <f>IF(220321.7383="","-",234254.08835/220321.7383*100)</f>
        <v>106.32363840150403</v>
      </c>
      <c r="C22" s="15">
        <f>IF(215472.31369="","-",241409.84081/215472.31369*100)</f>
        <v>112.03752197942065</v>
      </c>
      <c r="D22" s="15">
        <f>IF(242121.38159="","-",257232.04683/242121.38159*100)</f>
        <v>106.24094623150131</v>
      </c>
      <c r="E22" s="15">
        <f>IF(199735.58403="","-",215570.89403/199735.58403*100)</f>
        <v>107.92813662968615</v>
      </c>
      <c r="F22" s="15">
        <f>IF(223023.34378="","-",210534.26912/223023.34378*100)</f>
        <v>94.400104290284631</v>
      </c>
      <c r="G22" s="15">
        <f>IF(214123.17565="","-",202212.33865/214123.17565*100)</f>
        <v>94.437390084542201</v>
      </c>
      <c r="H22" s="15">
        <f>IF(218832.76993="","-",220166.65021/218832.76993*100)</f>
        <v>100.6095432052643</v>
      </c>
      <c r="I22" s="15">
        <f>IF(218601.82808="","-",205803.2912/218601.82808*100)</f>
        <v>94.145274542115814</v>
      </c>
      <c r="J22" s="15">
        <f>IF(207304.07378="","-",238794.12546/207304.07378*100)</f>
        <v>115.19027152038439</v>
      </c>
      <c r="K22" s="15">
        <f>IF(258965.48256="","-",268342.58823/258965.48256*100)</f>
        <v>103.62098669571817</v>
      </c>
      <c r="L22" s="15">
        <f>IF(268843.90574="","-",266552.51729/268843.90574*100)</f>
        <v>99.147688156183818</v>
      </c>
      <c r="M22" s="17">
        <f>IF(218827.70429="","-",218291.815/218827.70429*100)</f>
        <v>99.755109028932736</v>
      </c>
      <c r="N22" s="15">
        <f>IF(234254.08835="","-",219472.10441/234254.08835*100)</f>
        <v>93.68976480021378</v>
      </c>
      <c r="O22" s="15">
        <f>IF(241409.84081="","-",245324.45574/241409.84081*100)</f>
        <v>101.62156394157972</v>
      </c>
      <c r="P22" s="15">
        <f>IF(257232.04683="","-",210230.63314/257232.04683*100)</f>
        <v>81.728010071364707</v>
      </c>
      <c r="Q22" s="15">
        <f>IF(215570.89403="","-",149859.83301/215570.89403*100)</f>
        <v>69.517656214361068</v>
      </c>
      <c r="R22" s="15">
        <f>IF(210534.26912="","-",155710.73078/210534.26912*100)</f>
        <v>73.959803043393492</v>
      </c>
      <c r="S22" s="15">
        <f>IF(202212.33865="","-",189578.77956/202212.33865*100)</f>
        <v>93.752330261178145</v>
      </c>
      <c r="T22" s="15">
        <f>IF(220166.65021="","-",191130.33065/220166.65021*100)</f>
        <v>86.811663105059509</v>
      </c>
      <c r="U22" s="15">
        <f>IF(205803.2912="","-",163909.5874/205803.2912*100)</f>
        <v>79.643812518387932</v>
      </c>
      <c r="V22" s="15">
        <f>IF(238794.12546="","-",212259.13319/238794.12546*100)</f>
        <v>88.887920831852767</v>
      </c>
      <c r="W22" s="15">
        <f>IF(268342.58823="","-",249353.22858/268342.58823*100)</f>
        <v>92.923464078044901</v>
      </c>
      <c r="X22" s="15">
        <f>IF(266552.51729="","-",262034.9772/266552.51729*100)</f>
        <v>98.30519698859753</v>
      </c>
      <c r="Y22" s="17">
        <f>IF(218291.815="","-",218242.28602/218291.815*100)</f>
        <v>99.977310656379856</v>
      </c>
      <c r="Z22" s="109">
        <f>IF(219472.10441="","-",198437.26393/219472.10441*100)</f>
        <v>90.415711128050958</v>
      </c>
      <c r="AA22" s="73">
        <f>IF(245324.45574="","-",227034.99772/245324.45574*100)</f>
        <v>92.544788099159774</v>
      </c>
      <c r="AB22" s="73">
        <f>IF(210230.63314="","-",259287.13538/210230.63314*100)</f>
        <v>123.33461185332185</v>
      </c>
      <c r="AC22" s="73">
        <f>IF(149859.83301="","-",218235.12722/149859.83301*100)</f>
        <v>145.62616468779689</v>
      </c>
      <c r="AD22" s="73">
        <f>IF(155710.73078="","-",201697.01673/155710.73078*100)</f>
        <v>129.53315145310887</v>
      </c>
      <c r="AE22" s="73">
        <f>IF(189578.77956="","-",226810.79989/189578.77956*100)</f>
        <v>119.63933960141166</v>
      </c>
      <c r="AF22" s="73">
        <f>IF(191130.33065="","-",240720.89459/191130.33065*100)</f>
        <v>125.94594158412818</v>
      </c>
      <c r="AG22" s="73">
        <v>144.1</v>
      </c>
      <c r="AH22" s="115">
        <f>IF(212259.13319="","-",294897.34313/212259.13319*100)</f>
        <v>138.93269924268836</v>
      </c>
    </row>
  </sheetData>
  <mergeCells count="5">
    <mergeCell ref="A19:A20"/>
    <mergeCell ref="B19:M19"/>
    <mergeCell ref="N19:Y19"/>
    <mergeCell ref="A2:M2"/>
    <mergeCell ref="Z19:AH1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7"/>
  <sheetViews>
    <sheetView workbookViewId="0">
      <selection activeCell="A2" sqref="A2:M2"/>
    </sheetView>
  </sheetViews>
  <sheetFormatPr defaultRowHeight="12" x14ac:dyDescent="0.2"/>
  <cols>
    <col min="1" max="1" width="24.42578125" style="3" customWidth="1"/>
    <col min="2" max="2" width="14.5703125" style="3" customWidth="1"/>
    <col min="3" max="3" width="14.85546875" style="3" customWidth="1"/>
    <col min="4" max="4" width="15" style="3" customWidth="1"/>
    <col min="5" max="6" width="14.7109375" style="3" customWidth="1"/>
    <col min="7" max="7" width="15.28515625" style="3" customWidth="1"/>
    <col min="8" max="8" width="14.85546875" style="3" customWidth="1"/>
    <col min="9" max="16384" width="9.140625" style="3"/>
  </cols>
  <sheetData>
    <row r="2" spans="1:13" x14ac:dyDescent="0.2">
      <c r="A2" s="139" t="s">
        <v>103</v>
      </c>
      <c r="B2" s="139"/>
      <c r="C2" s="139"/>
      <c r="D2" s="139"/>
      <c r="E2" s="139"/>
      <c r="F2" s="139"/>
      <c r="G2" s="147"/>
      <c r="H2" s="146"/>
      <c r="I2" s="146"/>
      <c r="J2" s="146"/>
      <c r="K2" s="146"/>
      <c r="L2" s="146"/>
      <c r="M2" s="146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8" x14ac:dyDescent="0.2">
      <c r="A17" s="4"/>
      <c r="B17" s="4"/>
      <c r="C17" s="4"/>
      <c r="D17" s="4"/>
      <c r="E17" s="4"/>
      <c r="F17" s="4"/>
      <c r="G17" s="4"/>
    </row>
    <row r="18" spans="1:8" x14ac:dyDescent="0.2">
      <c r="A18" s="4"/>
      <c r="B18" s="4"/>
      <c r="C18" s="4"/>
      <c r="D18" s="4"/>
      <c r="E18" s="4"/>
      <c r="F18" s="4"/>
      <c r="G18" s="4"/>
    </row>
    <row r="19" spans="1:8" x14ac:dyDescent="0.2">
      <c r="A19" s="4"/>
      <c r="B19" s="4"/>
      <c r="C19" s="4"/>
      <c r="D19" s="4"/>
      <c r="E19" s="4"/>
      <c r="F19" s="4"/>
      <c r="G19" s="4"/>
      <c r="H19" s="6"/>
    </row>
    <row r="20" spans="1:8" x14ac:dyDescent="0.2">
      <c r="A20" s="4"/>
      <c r="B20" s="4"/>
      <c r="C20" s="4"/>
      <c r="D20" s="4"/>
      <c r="E20" s="4"/>
      <c r="F20" s="4"/>
      <c r="G20" s="4"/>
      <c r="H20" s="6"/>
    </row>
    <row r="21" spans="1:8" x14ac:dyDescent="0.2">
      <c r="H21" s="6"/>
    </row>
    <row r="22" spans="1:8" ht="36" x14ac:dyDescent="0.2">
      <c r="A22" s="69" t="s">
        <v>28</v>
      </c>
      <c r="B22" s="42" t="s">
        <v>84</v>
      </c>
      <c r="C22" s="14" t="s">
        <v>85</v>
      </c>
      <c r="D22" s="14" t="s">
        <v>86</v>
      </c>
      <c r="E22" s="14" t="s">
        <v>87</v>
      </c>
      <c r="F22" s="14" t="s">
        <v>88</v>
      </c>
      <c r="G22" s="14" t="s">
        <v>89</v>
      </c>
      <c r="H22" s="6"/>
    </row>
    <row r="23" spans="1:8" x14ac:dyDescent="0.2">
      <c r="A23" s="53" t="s">
        <v>29</v>
      </c>
      <c r="B23" s="100">
        <v>7</v>
      </c>
      <c r="C23" s="100">
        <v>7.3</v>
      </c>
      <c r="D23" s="22">
        <v>6.6</v>
      </c>
      <c r="E23" s="100">
        <v>6.6</v>
      </c>
      <c r="F23" s="100">
        <v>7.7</v>
      </c>
      <c r="G23" s="16">
        <v>6.6</v>
      </c>
    </row>
    <row r="24" spans="1:8" x14ac:dyDescent="0.2">
      <c r="A24" s="53" t="s">
        <v>30</v>
      </c>
      <c r="B24" s="100">
        <v>3.7</v>
      </c>
      <c r="C24" s="100">
        <v>3.1</v>
      </c>
      <c r="D24" s="22">
        <v>4.5</v>
      </c>
      <c r="E24" s="100">
        <v>3.9</v>
      </c>
      <c r="F24" s="100">
        <v>2.8</v>
      </c>
      <c r="G24" s="129">
        <v>2.2000000000000002</v>
      </c>
    </row>
    <row r="25" spans="1:8" x14ac:dyDescent="0.2">
      <c r="A25" s="53" t="s">
        <v>31</v>
      </c>
      <c r="B25" s="100">
        <v>88.1</v>
      </c>
      <c r="C25" s="100">
        <v>88.4</v>
      </c>
      <c r="D25" s="22">
        <v>87.2</v>
      </c>
      <c r="E25" s="100">
        <v>87.5</v>
      </c>
      <c r="F25" s="100">
        <v>86.6</v>
      </c>
      <c r="G25" s="129">
        <v>89.5</v>
      </c>
    </row>
    <row r="26" spans="1:8" x14ac:dyDescent="0.2">
      <c r="A26" s="53" t="s">
        <v>32</v>
      </c>
      <c r="B26" s="100">
        <v>1.2</v>
      </c>
      <c r="C26" s="100">
        <v>1.1000000000000001</v>
      </c>
      <c r="D26" s="22">
        <v>1.6</v>
      </c>
      <c r="E26" s="100">
        <v>1.9</v>
      </c>
      <c r="F26" s="100">
        <v>2.8</v>
      </c>
      <c r="G26" s="129">
        <v>1.5</v>
      </c>
    </row>
    <row r="27" spans="1:8" x14ac:dyDescent="0.2">
      <c r="A27" s="54" t="s">
        <v>59</v>
      </c>
      <c r="B27" s="88">
        <v>0</v>
      </c>
      <c r="C27" s="88">
        <v>0.1</v>
      </c>
      <c r="D27" s="15">
        <v>0.1</v>
      </c>
      <c r="E27" s="88">
        <v>0.1</v>
      </c>
      <c r="F27" s="88">
        <v>0.1</v>
      </c>
      <c r="G27" s="17">
        <v>0.2</v>
      </c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23"/>
  <sheetViews>
    <sheetView workbookViewId="0">
      <selection activeCell="A2" sqref="A2:E2"/>
    </sheetView>
  </sheetViews>
  <sheetFormatPr defaultRowHeight="12" x14ac:dyDescent="0.2"/>
  <cols>
    <col min="1" max="1" width="26.140625" style="3" customWidth="1"/>
    <col min="2" max="2" width="15.5703125" style="3" customWidth="1"/>
    <col min="3" max="3" width="16" style="3" customWidth="1"/>
    <col min="4" max="4" width="15.7109375" style="3" customWidth="1"/>
    <col min="5" max="5" width="15.28515625" style="3" customWidth="1"/>
    <col min="6" max="6" width="15.140625" style="3" customWidth="1"/>
    <col min="7" max="7" width="15" style="3" customWidth="1"/>
    <col min="8" max="16384" width="9.140625" style="3"/>
  </cols>
  <sheetData>
    <row r="2" spans="1:13" x14ac:dyDescent="0.2">
      <c r="A2" s="140" t="s">
        <v>104</v>
      </c>
      <c r="B2" s="140"/>
      <c r="C2" s="140"/>
      <c r="D2" s="140"/>
      <c r="E2" s="140"/>
      <c r="F2" s="81"/>
      <c r="G2" s="81"/>
      <c r="H2" s="78"/>
      <c r="I2" s="78"/>
      <c r="J2" s="78"/>
      <c r="K2" s="78"/>
      <c r="L2" s="78"/>
      <c r="M2" s="78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8" x14ac:dyDescent="0.2">
      <c r="A17" s="4"/>
      <c r="B17" s="4"/>
      <c r="C17" s="4"/>
      <c r="D17" s="4"/>
      <c r="E17" s="4"/>
      <c r="F17" s="4"/>
      <c r="G17" s="4"/>
    </row>
    <row r="18" spans="1:8" x14ac:dyDescent="0.2">
      <c r="A18" s="5"/>
    </row>
    <row r="19" spans="1:8" x14ac:dyDescent="0.2">
      <c r="A19" s="5"/>
    </row>
    <row r="20" spans="1:8" ht="24" x14ac:dyDescent="0.2">
      <c r="A20" s="33"/>
      <c r="B20" s="13" t="s">
        <v>89</v>
      </c>
      <c r="C20" s="13" t="s">
        <v>88</v>
      </c>
      <c r="D20" s="13" t="s">
        <v>87</v>
      </c>
      <c r="E20" s="14" t="s">
        <v>86</v>
      </c>
      <c r="F20" s="14" t="s">
        <v>85</v>
      </c>
      <c r="G20" s="14" t="s">
        <v>84</v>
      </c>
      <c r="H20" s="6"/>
    </row>
    <row r="21" spans="1:8" ht="15" customHeight="1" x14ac:dyDescent="0.2">
      <c r="A21" s="24" t="s">
        <v>33</v>
      </c>
      <c r="B21" s="93">
        <v>57.6</v>
      </c>
      <c r="C21" s="94">
        <v>58.8</v>
      </c>
      <c r="D21" s="94">
        <v>66.400000000000006</v>
      </c>
      <c r="E21" s="94">
        <v>63.6</v>
      </c>
      <c r="F21" s="94">
        <v>65.7</v>
      </c>
      <c r="G21" s="102">
        <v>61.3</v>
      </c>
      <c r="H21" s="8"/>
    </row>
    <row r="22" spans="1:8" ht="14.25" customHeight="1" x14ac:dyDescent="0.2">
      <c r="A22" s="25" t="s">
        <v>34</v>
      </c>
      <c r="B22" s="95">
        <v>21</v>
      </c>
      <c r="C22" s="87">
        <v>20.399999999999999</v>
      </c>
      <c r="D22" s="87">
        <v>15.6</v>
      </c>
      <c r="E22" s="87">
        <v>14.9</v>
      </c>
      <c r="F22" s="87">
        <v>15.8</v>
      </c>
      <c r="G22" s="103">
        <v>15.3</v>
      </c>
      <c r="H22" s="8"/>
    </row>
    <row r="23" spans="1:8" ht="15" customHeight="1" x14ac:dyDescent="0.2">
      <c r="A23" s="26" t="s">
        <v>35</v>
      </c>
      <c r="B23" s="96">
        <v>21.4</v>
      </c>
      <c r="C23" s="88">
        <v>20.8</v>
      </c>
      <c r="D23" s="88">
        <v>18</v>
      </c>
      <c r="E23" s="88">
        <v>21.5</v>
      </c>
      <c r="F23" s="88">
        <v>18.5</v>
      </c>
      <c r="G23" s="104">
        <v>23.4</v>
      </c>
      <c r="H23" s="8"/>
    </row>
  </sheetData>
  <mergeCells count="1">
    <mergeCell ref="A2:E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45"/>
  <sheetViews>
    <sheetView workbookViewId="0">
      <selection activeCell="A2" sqref="A2:F2"/>
    </sheetView>
  </sheetViews>
  <sheetFormatPr defaultRowHeight="12" x14ac:dyDescent="0.2"/>
  <cols>
    <col min="1" max="1" width="19.7109375" style="3" customWidth="1"/>
    <col min="2" max="2" width="15.28515625" style="3" customWidth="1"/>
    <col min="3" max="3" width="15.5703125" style="3" customWidth="1"/>
    <col min="4" max="4" width="15.42578125" style="3" customWidth="1"/>
    <col min="5" max="5" width="15.7109375" style="3" customWidth="1"/>
    <col min="6" max="7" width="15.5703125" style="3" customWidth="1"/>
    <col min="8" max="16384" width="9.140625" style="3"/>
  </cols>
  <sheetData>
    <row r="2" spans="1:13" x14ac:dyDescent="0.2">
      <c r="A2" s="139" t="s">
        <v>102</v>
      </c>
      <c r="B2" s="139"/>
      <c r="C2" s="139"/>
      <c r="D2" s="139"/>
      <c r="E2" s="139"/>
      <c r="F2" s="139"/>
      <c r="G2" s="80"/>
      <c r="H2" s="80"/>
      <c r="I2" s="80"/>
      <c r="J2" s="78"/>
      <c r="K2" s="78"/>
      <c r="L2" s="78"/>
      <c r="M2" s="78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</row>
    <row r="17" spans="1:10" x14ac:dyDescent="0.2">
      <c r="A17" s="4"/>
      <c r="B17" s="4"/>
      <c r="C17" s="4"/>
      <c r="D17" s="4"/>
      <c r="E17" s="4"/>
      <c r="F17" s="4"/>
      <c r="G17" s="4"/>
      <c r="H17" s="4"/>
      <c r="I17" s="4"/>
    </row>
    <row r="18" spans="1:10" x14ac:dyDescent="0.2">
      <c r="A18" s="4"/>
      <c r="B18" s="4"/>
      <c r="C18" s="4"/>
      <c r="D18" s="4"/>
      <c r="E18" s="4"/>
      <c r="F18" s="4"/>
      <c r="G18" s="4"/>
      <c r="H18" s="4"/>
      <c r="I18" s="4"/>
    </row>
    <row r="19" spans="1:10" x14ac:dyDescent="0.2">
      <c r="A19" s="4"/>
      <c r="B19" s="4"/>
      <c r="C19" s="4"/>
      <c r="D19" s="4"/>
      <c r="E19" s="4"/>
      <c r="F19" s="4"/>
      <c r="G19" s="4"/>
      <c r="H19" s="4"/>
      <c r="I19" s="4"/>
    </row>
    <row r="20" spans="1:10" x14ac:dyDescent="0.2">
      <c r="A20" s="4"/>
      <c r="B20" s="4"/>
      <c r="C20" s="4"/>
      <c r="D20" s="4"/>
      <c r="E20" s="4"/>
      <c r="F20" s="4"/>
      <c r="G20" s="4"/>
      <c r="H20" s="4"/>
      <c r="I20" s="4"/>
    </row>
    <row r="21" spans="1:10" x14ac:dyDescent="0.2">
      <c r="A21" s="5"/>
    </row>
    <row r="22" spans="1:10" ht="14.25" customHeight="1" x14ac:dyDescent="0.2">
      <c r="A22" s="5"/>
    </row>
    <row r="23" spans="1:10" ht="48.75" customHeight="1" x14ac:dyDescent="0.2">
      <c r="A23" s="31"/>
      <c r="B23" s="14" t="s">
        <v>90</v>
      </c>
      <c r="C23" s="14" t="s">
        <v>88</v>
      </c>
      <c r="D23" s="14" t="s">
        <v>87</v>
      </c>
      <c r="E23" s="14" t="s">
        <v>91</v>
      </c>
      <c r="F23" s="14" t="s">
        <v>85</v>
      </c>
      <c r="G23" s="14" t="s">
        <v>84</v>
      </c>
      <c r="I23" s="6"/>
      <c r="J23" s="6"/>
    </row>
    <row r="24" spans="1:10" ht="13.5" customHeight="1" x14ac:dyDescent="0.2">
      <c r="A24" s="84" t="s">
        <v>36</v>
      </c>
      <c r="B24" s="101">
        <v>24.826963172111753</v>
      </c>
      <c r="C24" s="100">
        <v>24.882217285196102</v>
      </c>
      <c r="D24" s="100">
        <v>28.673214276324938</v>
      </c>
      <c r="E24" s="100">
        <v>28.232947866457824</v>
      </c>
      <c r="F24" s="100">
        <v>27.951234636485811</v>
      </c>
      <c r="G24" s="102">
        <v>26.859417171796316</v>
      </c>
      <c r="I24" s="75"/>
      <c r="J24" s="6"/>
    </row>
    <row r="25" spans="1:10" ht="14.25" customHeight="1" x14ac:dyDescent="0.2">
      <c r="A25" s="85" t="s">
        <v>38</v>
      </c>
      <c r="B25" s="101">
        <v>3.1141822936987373</v>
      </c>
      <c r="C25" s="100">
        <v>3.9395097332860951</v>
      </c>
      <c r="D25" s="100">
        <v>3.0883532183431166</v>
      </c>
      <c r="E25" s="100">
        <v>7.3960538163391449</v>
      </c>
      <c r="F25" s="100">
        <v>6.6541017759603154</v>
      </c>
      <c r="G25" s="103">
        <v>9.7263985648028637</v>
      </c>
      <c r="I25" s="75"/>
      <c r="J25" s="6"/>
    </row>
    <row r="26" spans="1:10" ht="12.75" customHeight="1" x14ac:dyDescent="0.2">
      <c r="A26" s="85" t="s">
        <v>92</v>
      </c>
      <c r="B26" s="101">
        <v>11.74226980071203</v>
      </c>
      <c r="C26" s="100">
        <v>11.08216572316644</v>
      </c>
      <c r="D26" s="100">
        <v>8.1400639498893845</v>
      </c>
      <c r="E26" s="100">
        <v>8.4757902274192123</v>
      </c>
      <c r="F26" s="100">
        <v>9.3897262239558845</v>
      </c>
      <c r="G26" s="103">
        <v>9.231802985590841</v>
      </c>
      <c r="I26" s="75"/>
      <c r="J26" s="6"/>
    </row>
    <row r="27" spans="1:10" ht="14.25" customHeight="1" x14ac:dyDescent="0.2">
      <c r="A27" s="84" t="s">
        <v>37</v>
      </c>
      <c r="B27" s="101">
        <v>6.3527878584777024</v>
      </c>
      <c r="C27" s="100">
        <v>6.6445671718870765</v>
      </c>
      <c r="D27" s="100">
        <v>8.3607176765475746</v>
      </c>
      <c r="E27" s="100">
        <v>8.9788486629316555</v>
      </c>
      <c r="F27" s="100">
        <v>9.3363230396767776</v>
      </c>
      <c r="G27" s="103">
        <v>8.9332756768955477</v>
      </c>
      <c r="I27" s="75"/>
      <c r="J27" s="6"/>
    </row>
    <row r="28" spans="1:10" ht="12.75" customHeight="1" x14ac:dyDescent="0.2">
      <c r="A28" s="84" t="s">
        <v>39</v>
      </c>
      <c r="B28" s="101">
        <v>9.9337461012113391</v>
      </c>
      <c r="C28" s="100">
        <v>9.6394912545102915</v>
      </c>
      <c r="D28" s="100">
        <v>11.722679594022678</v>
      </c>
      <c r="E28" s="100">
        <v>10.205860053828975</v>
      </c>
      <c r="F28" s="100">
        <v>8.793585906229854</v>
      </c>
      <c r="G28" s="103">
        <v>7.4662795306653278</v>
      </c>
      <c r="I28" s="75"/>
      <c r="J28" s="6"/>
    </row>
    <row r="29" spans="1:10" ht="13.5" customHeight="1" x14ac:dyDescent="0.2">
      <c r="A29" s="84" t="s">
        <v>40</v>
      </c>
      <c r="B29" s="101">
        <f>IF(OR(49188.43102="",49188.43102="***"),"-",49188.43102/1432586.60902*100)</f>
        <v>3.4335397741605789</v>
      </c>
      <c r="C29" s="100">
        <f>IF(OR(58848.94627="",58848.94627="***"),"-",58848.94627/1651540.84429*100)</f>
        <v>3.5632752573733204</v>
      </c>
      <c r="D29" s="100">
        <f>IF(OR(69463.99575="",69463.99575="***"),"-",69463.99575/1959536.20883*100)</f>
        <v>3.5449202437282632</v>
      </c>
      <c r="E29" s="100">
        <f>IF(OR(80428.17802="",80428.17802="***"),"-",80428.17802/2025977.54466*100)</f>
        <v>3.9698454818509594</v>
      </c>
      <c r="F29" s="100">
        <v>4.2066250018039364</v>
      </c>
      <c r="G29" s="103">
        <v>3.6486133959482832</v>
      </c>
      <c r="I29" s="75"/>
      <c r="J29" s="6"/>
    </row>
    <row r="30" spans="1:10" ht="13.5" customHeight="1" x14ac:dyDescent="0.2">
      <c r="A30" s="85" t="s">
        <v>41</v>
      </c>
      <c r="B30" s="101">
        <f>IF(OR(36193.18054="",36193.18054="***"),"-",36193.18054/1432586.60902*100)</f>
        <v>2.5264218101800444</v>
      </c>
      <c r="C30" s="100">
        <v>2.9563487072576811</v>
      </c>
      <c r="D30" s="100">
        <f>IF(OR(58527.38177="",58527.38177="***"),"-",58527.38177/1959536.20883*100)</f>
        <v>2.9867976670329321</v>
      </c>
      <c r="E30" s="100">
        <v>2.6550254933367037</v>
      </c>
      <c r="F30" s="100">
        <v>2.6492092303963379</v>
      </c>
      <c r="G30" s="103">
        <v>3.0208251317207067</v>
      </c>
      <c r="I30" s="75"/>
      <c r="J30" s="6"/>
    </row>
    <row r="31" spans="1:10" ht="13.5" customHeight="1" x14ac:dyDescent="0.2">
      <c r="A31" s="85" t="s">
        <v>93</v>
      </c>
      <c r="B31" s="101">
        <f>IF(OR(25521.68995="",25521.68995="***"),"-",25521.68995/1432586.60902*100)</f>
        <v>1.7815111344268955</v>
      </c>
      <c r="C31" s="100">
        <v>1.4146556363275447</v>
      </c>
      <c r="D31" s="100">
        <f>IF(OR(38920.40556="",38920.40556="***"),"-",38920.40556/1959536.20883*100)</f>
        <v>1.9862049695544333</v>
      </c>
      <c r="E31" s="100">
        <v>2.9628534357755534</v>
      </c>
      <c r="F31" s="100">
        <v>2.5550125095090555</v>
      </c>
      <c r="G31" s="103">
        <v>2.9425125403580199</v>
      </c>
      <c r="I31" s="75"/>
      <c r="J31" s="6"/>
    </row>
    <row r="32" spans="1:10" ht="13.5" customHeight="1" x14ac:dyDescent="0.2">
      <c r="A32" s="84" t="s">
        <v>42</v>
      </c>
      <c r="B32" s="101">
        <f>IF(OR(21662.37368="",21662.37368="***"),"-",21662.37368/1432586.60902*100)</f>
        <v>1.5121161641193015</v>
      </c>
      <c r="C32" s="100">
        <f>IF(OR(21629.9586="",21629.9586="***"),"-",21629.9586/1651540.84429*100)</f>
        <v>1.3096835403606839</v>
      </c>
      <c r="D32" s="100">
        <f>IF(OR(30441.1731="",30441.1731="***"),"-",30441.1731/1959536.20883*100)</f>
        <v>1.5534886756788138</v>
      </c>
      <c r="E32" s="100">
        <f>IF(OR(41936.67614="",41936.67614="***"),"-",41936.67614/2025977.54466*100)</f>
        <v>2.0699477272359315</v>
      </c>
      <c r="F32" s="100">
        <v>3.3034103402875603</v>
      </c>
      <c r="G32" s="103">
        <v>2.8610887632433317</v>
      </c>
      <c r="I32" s="75"/>
      <c r="J32" s="6"/>
    </row>
    <row r="33" spans="1:10" ht="14.25" customHeight="1" x14ac:dyDescent="0.2">
      <c r="A33" s="85" t="s">
        <v>43</v>
      </c>
      <c r="B33" s="101">
        <v>5.4363158687680251</v>
      </c>
      <c r="C33" s="100">
        <f>IF(OR(82247.33197="",82247.33197="***"),"-",82247.33197/1651540.84429*100)</f>
        <v>4.9800362040309247</v>
      </c>
      <c r="D33" s="100">
        <v>3.478194014628333</v>
      </c>
      <c r="E33" s="100">
        <v>2.9567656155859816</v>
      </c>
      <c r="F33" s="100">
        <v>2.7921368615712927</v>
      </c>
      <c r="G33" s="103">
        <v>2.1753351923658357</v>
      </c>
      <c r="I33" s="75"/>
      <c r="J33" s="6"/>
    </row>
    <row r="34" spans="1:10" x14ac:dyDescent="0.2">
      <c r="A34" s="85" t="s">
        <v>48</v>
      </c>
      <c r="B34" s="101">
        <v>6.2264829901641709</v>
      </c>
      <c r="C34" s="100">
        <f>IF(OR(95335.69919="",95335.69919="***"),"-",95335.69919/1651540.84429*100)</f>
        <v>5.7725305141323933</v>
      </c>
      <c r="D34" s="100">
        <v>3.2171872913561059</v>
      </c>
      <c r="E34" s="100">
        <v>1.9230742558175022</v>
      </c>
      <c r="F34" s="100">
        <v>1.7445948628829606</v>
      </c>
      <c r="G34" s="103">
        <v>2.1502362075630175</v>
      </c>
      <c r="I34" s="75"/>
      <c r="J34" s="6"/>
    </row>
    <row r="35" spans="1:10" ht="15" customHeight="1" x14ac:dyDescent="0.2">
      <c r="A35" s="84" t="s">
        <v>46</v>
      </c>
      <c r="B35" s="101">
        <v>3.1259106505702938</v>
      </c>
      <c r="C35" s="100">
        <v>3.5322477086589381</v>
      </c>
      <c r="D35" s="100">
        <v>1.92422620669579</v>
      </c>
      <c r="E35" s="100">
        <v>1.7531661149759075</v>
      </c>
      <c r="F35" s="100">
        <v>1.6604442981096166</v>
      </c>
      <c r="G35" s="103">
        <v>1.8846387308540336</v>
      </c>
      <c r="I35" s="75"/>
      <c r="J35" s="6"/>
    </row>
    <row r="36" spans="1:10" ht="14.25" customHeight="1" x14ac:dyDescent="0.2">
      <c r="A36" s="84" t="s">
        <v>44</v>
      </c>
      <c r="B36" s="101">
        <v>0.34014969631284403</v>
      </c>
      <c r="C36" s="100">
        <v>0.4640227044033271</v>
      </c>
      <c r="D36" s="100">
        <v>0.30168639565633398</v>
      </c>
      <c r="E36" s="100">
        <v>0.33587870003475229</v>
      </c>
      <c r="F36" s="100">
        <v>0.9762431661383143</v>
      </c>
      <c r="G36" s="103">
        <v>1.3962078364454271</v>
      </c>
      <c r="I36" s="75"/>
      <c r="J36" s="6"/>
    </row>
    <row r="37" spans="1:10" ht="14.25" customHeight="1" x14ac:dyDescent="0.2">
      <c r="A37" s="84" t="s">
        <v>47</v>
      </c>
      <c r="B37" s="101">
        <f>IF(OR(18886.02446="",18886.02446="***"),"-",18886.02446/1432586.60902*100)</f>
        <v>1.3183164173871136</v>
      </c>
      <c r="C37" s="100">
        <f>IF(OR(16257.96244="",16257.96244="***"),"-",16257.96244/1651540.84429*100)</f>
        <v>0.98441176893746907</v>
      </c>
      <c r="D37" s="100">
        <f>IF(OR(26982.89999="",26982.89999="***"),"-",26982.89999/1959536.20883*100)</f>
        <v>1.3770044089213822</v>
      </c>
      <c r="E37" s="100">
        <f>IF(OR(25412.43392="",25412.43392="***"),"-",25412.43392/2025977.54466*100)</f>
        <v>1.2543294957528623</v>
      </c>
      <c r="F37" s="100">
        <v>1.4892054064236466</v>
      </c>
      <c r="G37" s="103">
        <v>1.2485540909355453</v>
      </c>
      <c r="I37" s="75"/>
      <c r="J37" s="6"/>
    </row>
    <row r="38" spans="1:10" ht="15" customHeight="1" x14ac:dyDescent="0.2">
      <c r="A38" s="84" t="s">
        <v>94</v>
      </c>
      <c r="B38" s="101">
        <v>2.0503949342437222</v>
      </c>
      <c r="C38" s="100">
        <v>1.716970426619421</v>
      </c>
      <c r="D38" s="100">
        <v>1.9520749730284022</v>
      </c>
      <c r="E38" s="100">
        <v>1.2291279217598157</v>
      </c>
      <c r="F38" s="100">
        <v>1.3300140520648291</v>
      </c>
      <c r="G38" s="103">
        <v>1.1186409945442042</v>
      </c>
      <c r="I38" s="75"/>
      <c r="J38" s="6"/>
    </row>
    <row r="39" spans="1:10" ht="13.5" customHeight="1" x14ac:dyDescent="0.2">
      <c r="A39" s="84" t="s">
        <v>45</v>
      </c>
      <c r="B39" s="101">
        <v>0.29181641749812259</v>
      </c>
      <c r="C39" s="100">
        <v>0.96546221337049554</v>
      </c>
      <c r="D39" s="100">
        <v>1.0150733561527991</v>
      </c>
      <c r="E39" s="100">
        <v>1.1632498115350558</v>
      </c>
      <c r="F39" s="100">
        <v>1.3547498597503</v>
      </c>
      <c r="G39" s="103">
        <v>0.99409944050477539</v>
      </c>
      <c r="I39" s="75"/>
      <c r="J39" s="6"/>
    </row>
    <row r="40" spans="1:10" ht="15.75" customHeight="1" x14ac:dyDescent="0.2">
      <c r="A40" s="84" t="s">
        <v>76</v>
      </c>
      <c r="B40" s="22">
        <v>1.1703689001720889</v>
      </c>
      <c r="C40" s="87">
        <v>1.3011048279122546</v>
      </c>
      <c r="D40" s="87">
        <v>1.3557782229429998</v>
      </c>
      <c r="E40" s="87">
        <v>1.1283568803738353</v>
      </c>
      <c r="F40" s="100">
        <v>1.3610598097009505</v>
      </c>
      <c r="G40" s="103">
        <v>0.97472557001483195</v>
      </c>
      <c r="I40" s="75"/>
      <c r="J40" s="6"/>
    </row>
    <row r="41" spans="1:10" ht="13.5" customHeight="1" x14ac:dyDescent="0.2">
      <c r="A41" s="105" t="s">
        <v>95</v>
      </c>
      <c r="B41" s="22">
        <v>0.60824364370966633</v>
      </c>
      <c r="C41" s="87">
        <v>0.39940160140791131</v>
      </c>
      <c r="D41" s="87">
        <v>0.59410859659240856</v>
      </c>
      <c r="E41" s="87">
        <v>0.47074515140297535</v>
      </c>
      <c r="F41" s="87">
        <v>0.57246603747315261</v>
      </c>
      <c r="G41" s="103">
        <v>0.97412220396236493</v>
      </c>
      <c r="I41" s="75"/>
      <c r="J41" s="6"/>
    </row>
    <row r="42" spans="1:10" x14ac:dyDescent="0.2">
      <c r="A42" s="92" t="s">
        <v>96</v>
      </c>
      <c r="B42" s="15">
        <v>0.86432918973537143</v>
      </c>
      <c r="C42" s="88">
        <v>0.81141682485976063</v>
      </c>
      <c r="D42" s="88">
        <v>0.82863570251120988</v>
      </c>
      <c r="E42" s="88">
        <v>0.80589873135736345</v>
      </c>
      <c r="F42" s="88">
        <v>1.129474516758239</v>
      </c>
      <c r="G42" s="104">
        <v>0.88384298440932829</v>
      </c>
      <c r="I42" s="75"/>
      <c r="J42" s="6"/>
    </row>
    <row r="43" spans="1:10" x14ac:dyDescent="0.2">
      <c r="I43" s="6"/>
      <c r="J43" s="6"/>
    </row>
    <row r="44" spans="1:10" x14ac:dyDescent="0.2">
      <c r="I44" s="6"/>
      <c r="J44" s="6"/>
    </row>
    <row r="45" spans="1:10" x14ac:dyDescent="0.2">
      <c r="I45" s="6"/>
      <c r="J45" s="6"/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45"/>
  <sheetViews>
    <sheetView workbookViewId="0">
      <selection activeCell="A2" sqref="A2:M2"/>
    </sheetView>
  </sheetViews>
  <sheetFormatPr defaultRowHeight="12" x14ac:dyDescent="0.2"/>
  <cols>
    <col min="1" max="1" width="47.140625" style="3" customWidth="1"/>
    <col min="2" max="2" width="13.5703125" style="3" customWidth="1"/>
    <col min="3" max="3" width="10.7109375" style="3" customWidth="1"/>
    <col min="4" max="4" width="13.28515625" style="3" customWidth="1"/>
    <col min="5" max="5" width="11.85546875" style="3" customWidth="1"/>
    <col min="6" max="6" width="8.28515625" style="3" customWidth="1"/>
    <col min="7" max="7" width="8" style="3" customWidth="1"/>
    <col min="8" max="8" width="6" style="3" customWidth="1"/>
    <col min="9" max="16384" width="9.140625" style="3"/>
  </cols>
  <sheetData>
    <row r="2" spans="1:13" x14ac:dyDescent="0.2">
      <c r="A2" s="142" t="s">
        <v>81</v>
      </c>
      <c r="B2" s="142"/>
      <c r="C2" s="142"/>
      <c r="D2" s="142"/>
      <c r="E2" s="142"/>
      <c r="F2" s="142"/>
      <c r="G2" s="5"/>
      <c r="H2" s="5"/>
      <c r="I2" s="5"/>
      <c r="J2" s="5"/>
      <c r="K2" s="5"/>
      <c r="L2" s="5"/>
      <c r="M2" s="5"/>
    </row>
    <row r="3" spans="1:13" x14ac:dyDescent="0.2">
      <c r="A3" s="141"/>
      <c r="B3" s="141"/>
      <c r="C3" s="141"/>
      <c r="D3" s="141"/>
      <c r="E3" s="141"/>
      <c r="F3" s="141"/>
      <c r="G3" s="141"/>
      <c r="H3" s="141"/>
      <c r="I3" s="78"/>
      <c r="J3" s="78"/>
      <c r="K3" s="78"/>
      <c r="L3" s="78"/>
      <c r="M3" s="78"/>
    </row>
    <row r="25" spans="1:2" ht="16.5" customHeight="1" x14ac:dyDescent="0.2">
      <c r="A25" s="69" t="s">
        <v>85</v>
      </c>
      <c r="B25" s="48" t="s">
        <v>49</v>
      </c>
    </row>
    <row r="26" spans="1:2" x14ac:dyDescent="0.2">
      <c r="A26" s="59" t="s">
        <v>50</v>
      </c>
      <c r="B26" s="106">
        <v>23.4</v>
      </c>
    </row>
    <row r="27" spans="1:2" x14ac:dyDescent="0.2">
      <c r="A27" s="60" t="s">
        <v>51</v>
      </c>
      <c r="B27" s="107">
        <v>7.6</v>
      </c>
    </row>
    <row r="28" spans="1:2" x14ac:dyDescent="0.2">
      <c r="A28" s="60" t="s">
        <v>52</v>
      </c>
      <c r="B28" s="107">
        <v>8.8000000000000007</v>
      </c>
    </row>
    <row r="29" spans="1:2" x14ac:dyDescent="0.2">
      <c r="A29" s="60" t="s">
        <v>53</v>
      </c>
      <c r="B29" s="107">
        <v>0.5</v>
      </c>
    </row>
    <row r="30" spans="1:2" x14ac:dyDescent="0.2">
      <c r="A30" s="60" t="s">
        <v>54</v>
      </c>
      <c r="B30" s="107">
        <v>4</v>
      </c>
    </row>
    <row r="31" spans="1:2" x14ac:dyDescent="0.2">
      <c r="A31" s="60" t="s">
        <v>55</v>
      </c>
      <c r="B31" s="107">
        <v>5.3</v>
      </c>
    </row>
    <row r="32" spans="1:2" x14ac:dyDescent="0.2">
      <c r="A32" s="60" t="s">
        <v>56</v>
      </c>
      <c r="B32" s="107">
        <v>7.1</v>
      </c>
    </row>
    <row r="33" spans="1:2" x14ac:dyDescent="0.2">
      <c r="A33" s="60" t="s">
        <v>57</v>
      </c>
      <c r="B33" s="107">
        <v>22.1</v>
      </c>
    </row>
    <row r="34" spans="1:2" x14ac:dyDescent="0.2">
      <c r="A34" s="61" t="s">
        <v>58</v>
      </c>
      <c r="B34" s="108">
        <v>21.2</v>
      </c>
    </row>
    <row r="35" spans="1:2" ht="15" x14ac:dyDescent="0.2">
      <c r="B35" s="74"/>
    </row>
    <row r="36" spans="1:2" x14ac:dyDescent="0.2">
      <c r="A36" s="69" t="s">
        <v>84</v>
      </c>
      <c r="B36" s="46" t="s">
        <v>49</v>
      </c>
    </row>
    <row r="37" spans="1:2" x14ac:dyDescent="0.2">
      <c r="A37" s="59" t="s">
        <v>50</v>
      </c>
      <c r="B37" s="106">
        <v>23.1</v>
      </c>
    </row>
    <row r="38" spans="1:2" x14ac:dyDescent="0.2">
      <c r="A38" s="60" t="s">
        <v>51</v>
      </c>
      <c r="B38" s="107">
        <v>7.1</v>
      </c>
    </row>
    <row r="39" spans="1:2" x14ac:dyDescent="0.2">
      <c r="A39" s="60" t="s">
        <v>52</v>
      </c>
      <c r="B39" s="107">
        <v>10.3</v>
      </c>
    </row>
    <row r="40" spans="1:2" x14ac:dyDescent="0.2">
      <c r="A40" s="60" t="s">
        <v>53</v>
      </c>
      <c r="B40" s="107">
        <v>0.7</v>
      </c>
    </row>
    <row r="41" spans="1:2" x14ac:dyDescent="0.2">
      <c r="A41" s="60" t="s">
        <v>54</v>
      </c>
      <c r="B41" s="107">
        <v>2.2000000000000002</v>
      </c>
    </row>
    <row r="42" spans="1:2" x14ac:dyDescent="0.2">
      <c r="A42" s="60" t="s">
        <v>55</v>
      </c>
      <c r="B42" s="107">
        <v>5.0999999999999996</v>
      </c>
    </row>
    <row r="43" spans="1:2" x14ac:dyDescent="0.2">
      <c r="A43" s="60" t="s">
        <v>56</v>
      </c>
      <c r="B43" s="107">
        <v>8.5</v>
      </c>
    </row>
    <row r="44" spans="1:2" x14ac:dyDescent="0.2">
      <c r="A44" s="60" t="s">
        <v>57</v>
      </c>
      <c r="B44" s="107">
        <v>22.5</v>
      </c>
    </row>
    <row r="45" spans="1:2" x14ac:dyDescent="0.2">
      <c r="A45" s="61" t="s">
        <v>58</v>
      </c>
      <c r="B45" s="108">
        <v>20.5</v>
      </c>
    </row>
  </sheetData>
  <mergeCells count="2">
    <mergeCell ref="A3:H3"/>
    <mergeCell ref="A2:F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27"/>
  <sheetViews>
    <sheetView workbookViewId="0">
      <selection activeCell="A2" sqref="A2:M2"/>
    </sheetView>
  </sheetViews>
  <sheetFormatPr defaultRowHeight="12" x14ac:dyDescent="0.2"/>
  <cols>
    <col min="1" max="1" width="9.85546875" style="3" customWidth="1"/>
    <col min="2" max="2" width="9.140625" style="3"/>
    <col min="3" max="3" width="10" style="3" customWidth="1"/>
    <col min="4" max="9" width="9.140625" style="3"/>
    <col min="10" max="10" width="11.7109375" style="3" bestFit="1" customWidth="1"/>
    <col min="11" max="11" width="11" style="3" bestFit="1" customWidth="1"/>
    <col min="12" max="12" width="10.85546875" style="3" bestFit="1" customWidth="1"/>
    <col min="13" max="13" width="11.28515625" style="3" bestFit="1" customWidth="1"/>
    <col min="14" max="16384" width="9.140625" style="3"/>
  </cols>
  <sheetData>
    <row r="2" spans="1:13" x14ac:dyDescent="0.2">
      <c r="A2" s="139" t="s">
        <v>80</v>
      </c>
      <c r="B2" s="139"/>
      <c r="C2" s="139"/>
      <c r="D2" s="139"/>
      <c r="E2" s="139"/>
      <c r="F2" s="139"/>
      <c r="G2" s="139"/>
      <c r="H2" s="139"/>
      <c r="I2" s="139"/>
      <c r="J2" s="139"/>
      <c r="K2" s="146"/>
      <c r="L2" s="146"/>
      <c r="M2" s="146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1" spans="1:13" x14ac:dyDescent="0.2">
      <c r="A21" s="43" t="s">
        <v>0</v>
      </c>
      <c r="B21" s="43" t="s">
        <v>1</v>
      </c>
      <c r="C21" s="67" t="s">
        <v>2</v>
      </c>
      <c r="D21" s="67" t="s">
        <v>3</v>
      </c>
      <c r="E21" s="67" t="s">
        <v>4</v>
      </c>
      <c r="F21" s="67" t="s">
        <v>5</v>
      </c>
      <c r="G21" s="67" t="s">
        <v>6</v>
      </c>
      <c r="H21" s="67" t="s">
        <v>7</v>
      </c>
      <c r="I21" s="67" t="s">
        <v>8</v>
      </c>
      <c r="J21" s="67" t="s">
        <v>9</v>
      </c>
      <c r="K21" s="67" t="s">
        <v>10</v>
      </c>
      <c r="L21" s="67" t="s">
        <v>11</v>
      </c>
      <c r="M21" s="67" t="s">
        <v>12</v>
      </c>
    </row>
    <row r="22" spans="1:13" x14ac:dyDescent="0.2">
      <c r="A22" s="44">
        <v>2016</v>
      </c>
      <c r="B22" s="66">
        <v>207.3</v>
      </c>
      <c r="C22" s="66">
        <v>287</v>
      </c>
      <c r="D22" s="66">
        <v>366.8</v>
      </c>
      <c r="E22" s="66">
        <v>354.9</v>
      </c>
      <c r="F22" s="66">
        <v>327.7</v>
      </c>
      <c r="G22" s="66">
        <v>324.60000000000002</v>
      </c>
      <c r="H22" s="66">
        <v>314.10000000000002</v>
      </c>
      <c r="I22" s="66">
        <v>351.1</v>
      </c>
      <c r="J22" s="66">
        <v>361.6</v>
      </c>
      <c r="K22" s="66">
        <v>380.2</v>
      </c>
      <c r="L22" s="66">
        <v>353.5</v>
      </c>
      <c r="M22" s="63">
        <v>391.4</v>
      </c>
    </row>
    <row r="23" spans="1:13" x14ac:dyDescent="0.2">
      <c r="A23" s="44">
        <v>2017</v>
      </c>
      <c r="B23" s="66">
        <v>266.8</v>
      </c>
      <c r="C23" s="66">
        <v>332.7</v>
      </c>
      <c r="D23" s="66">
        <v>431.2</v>
      </c>
      <c r="E23" s="66">
        <v>361.5</v>
      </c>
      <c r="F23" s="66">
        <v>400.4</v>
      </c>
      <c r="G23" s="66">
        <v>388.8</v>
      </c>
      <c r="H23" s="66">
        <v>396.9</v>
      </c>
      <c r="I23" s="66">
        <v>429.7</v>
      </c>
      <c r="J23" s="66">
        <v>430.8</v>
      </c>
      <c r="K23" s="66">
        <v>465.9</v>
      </c>
      <c r="L23" s="66">
        <v>455.3</v>
      </c>
      <c r="M23" s="63">
        <v>471.4</v>
      </c>
    </row>
    <row r="24" spans="1:13" x14ac:dyDescent="0.2">
      <c r="A24" s="44">
        <v>2018</v>
      </c>
      <c r="B24" s="66">
        <v>374.3</v>
      </c>
      <c r="C24" s="66">
        <v>427.6</v>
      </c>
      <c r="D24" s="66">
        <v>524.1</v>
      </c>
      <c r="E24" s="66">
        <v>444.6</v>
      </c>
      <c r="F24" s="66">
        <v>505.6</v>
      </c>
      <c r="G24" s="66">
        <v>458.7</v>
      </c>
      <c r="H24" s="66">
        <v>488</v>
      </c>
      <c r="I24" s="66">
        <v>480.7</v>
      </c>
      <c r="J24" s="66">
        <v>474</v>
      </c>
      <c r="K24" s="66">
        <v>540.6</v>
      </c>
      <c r="L24" s="66">
        <v>522.6</v>
      </c>
      <c r="M24" s="63">
        <v>519.29999999999995</v>
      </c>
    </row>
    <row r="25" spans="1:13" x14ac:dyDescent="0.2">
      <c r="A25" s="44">
        <v>2019</v>
      </c>
      <c r="B25" s="66">
        <v>372.6</v>
      </c>
      <c r="C25" s="66">
        <v>459.3</v>
      </c>
      <c r="D25" s="66">
        <v>533.79999999999995</v>
      </c>
      <c r="E25" s="66">
        <v>515.6</v>
      </c>
      <c r="F25" s="66">
        <v>481.6</v>
      </c>
      <c r="G25" s="66">
        <v>445.4</v>
      </c>
      <c r="H25" s="66">
        <v>499.1</v>
      </c>
      <c r="I25" s="66">
        <v>464.3</v>
      </c>
      <c r="J25" s="66">
        <v>501.7</v>
      </c>
      <c r="K25" s="66">
        <v>525.29999999999995</v>
      </c>
      <c r="L25" s="66">
        <v>504.1</v>
      </c>
      <c r="M25" s="63">
        <v>539.70000000000005</v>
      </c>
    </row>
    <row r="26" spans="1:13" x14ac:dyDescent="0.2">
      <c r="A26" s="44">
        <v>2020</v>
      </c>
      <c r="B26" s="66">
        <v>379.8</v>
      </c>
      <c r="C26" s="66">
        <v>484.8</v>
      </c>
      <c r="D26" s="66">
        <v>500.5</v>
      </c>
      <c r="E26" s="66">
        <v>285.60000000000002</v>
      </c>
      <c r="F26" s="66">
        <v>329.4</v>
      </c>
      <c r="G26" s="66">
        <v>413.5</v>
      </c>
      <c r="H26" s="66">
        <v>496.6</v>
      </c>
      <c r="I26" s="66">
        <v>433.6</v>
      </c>
      <c r="J26" s="66">
        <v>508.3</v>
      </c>
      <c r="K26" s="66">
        <v>493.6</v>
      </c>
      <c r="L26" s="66">
        <v>522.9</v>
      </c>
      <c r="M26" s="63">
        <v>567.29999999999995</v>
      </c>
    </row>
    <row r="27" spans="1:13" x14ac:dyDescent="0.2">
      <c r="A27" s="40">
        <v>2021</v>
      </c>
      <c r="B27" s="64">
        <v>399.4</v>
      </c>
      <c r="C27" s="64">
        <v>521.4</v>
      </c>
      <c r="D27" s="64">
        <v>630.1</v>
      </c>
      <c r="E27" s="64">
        <v>562.20000000000005</v>
      </c>
      <c r="F27" s="64">
        <v>563.4</v>
      </c>
      <c r="G27" s="64">
        <v>589.6</v>
      </c>
      <c r="H27" s="64">
        <v>562</v>
      </c>
      <c r="I27" s="64">
        <v>574.9</v>
      </c>
      <c r="J27" s="64">
        <v>669.7</v>
      </c>
      <c r="K27" s="64"/>
      <c r="L27" s="64"/>
      <c r="M27" s="65"/>
    </row>
  </sheetData>
  <mergeCells count="1">
    <mergeCell ref="A2:J2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H28"/>
  <sheetViews>
    <sheetView workbookViewId="0">
      <selection activeCell="A2" sqref="A2:M2"/>
    </sheetView>
  </sheetViews>
  <sheetFormatPr defaultRowHeight="12" x14ac:dyDescent="0.2"/>
  <cols>
    <col min="1" max="1" width="19.140625" style="3" customWidth="1"/>
    <col min="2" max="2" width="9.140625" style="3" customWidth="1"/>
    <col min="3" max="3" width="8" style="3" customWidth="1"/>
    <col min="4" max="5" width="8.85546875" style="3" customWidth="1"/>
    <col min="6" max="6" width="7.42578125" style="3" customWidth="1"/>
    <col min="7" max="7" width="9" style="3" customWidth="1"/>
    <col min="8" max="8" width="8.28515625" style="3" customWidth="1"/>
    <col min="9" max="9" width="9.28515625" style="3" bestFit="1" customWidth="1"/>
    <col min="10" max="10" width="7.5703125" style="3" bestFit="1" customWidth="1"/>
    <col min="11" max="11" width="8" style="3" customWidth="1"/>
    <col min="12" max="12" width="8.85546875" style="3" customWidth="1"/>
    <col min="13" max="13" width="8.42578125" style="3" bestFit="1" customWidth="1"/>
    <col min="14" max="16" width="5.42578125" style="3" bestFit="1" customWidth="1"/>
    <col min="17" max="17" width="4.42578125" style="3" bestFit="1" customWidth="1"/>
    <col min="18" max="20" width="5.42578125" style="3" bestFit="1" customWidth="1"/>
    <col min="21" max="21" width="4.42578125" style="3" bestFit="1" customWidth="1"/>
    <col min="22" max="22" width="5.42578125" style="3" bestFit="1" customWidth="1"/>
    <col min="23" max="23" width="4.42578125" style="3" bestFit="1" customWidth="1"/>
    <col min="24" max="29" width="5.42578125" style="3" bestFit="1" customWidth="1"/>
    <col min="30" max="30" width="5.42578125" style="3" customWidth="1"/>
    <col min="31" max="31" width="6.7109375" style="3" customWidth="1"/>
    <col min="32" max="32" width="6.28515625" style="3" customWidth="1"/>
    <col min="33" max="33" width="6.140625" style="3" customWidth="1"/>
    <col min="34" max="34" width="6" style="3" customWidth="1"/>
    <col min="35" max="16384" width="9.140625" style="3"/>
  </cols>
  <sheetData>
    <row r="2" spans="1:13" x14ac:dyDescent="0.2">
      <c r="A2" s="135" t="s">
        <v>79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46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34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34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34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34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34" ht="1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34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34" x14ac:dyDescent="0.2">
      <c r="A23" s="143"/>
      <c r="B23" s="134">
        <v>2019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>
        <v>2020</v>
      </c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6">
        <v>2021</v>
      </c>
      <c r="AA23" s="137"/>
      <c r="AB23" s="137"/>
      <c r="AC23" s="137"/>
      <c r="AD23" s="137"/>
      <c r="AE23" s="137"/>
      <c r="AF23" s="137"/>
      <c r="AG23" s="137"/>
      <c r="AH23" s="138"/>
    </row>
    <row r="24" spans="1:34" x14ac:dyDescent="0.2">
      <c r="A24" s="144"/>
      <c r="B24" s="32" t="s">
        <v>13</v>
      </c>
      <c r="C24" s="32" t="s">
        <v>14</v>
      </c>
      <c r="D24" s="32" t="s">
        <v>15</v>
      </c>
      <c r="E24" s="32" t="s">
        <v>16</v>
      </c>
      <c r="F24" s="32" t="s">
        <v>17</v>
      </c>
      <c r="G24" s="32" t="s">
        <v>18</v>
      </c>
      <c r="H24" s="32" t="s">
        <v>19</v>
      </c>
      <c r="I24" s="32" t="s">
        <v>20</v>
      </c>
      <c r="J24" s="32" t="s">
        <v>21</v>
      </c>
      <c r="K24" s="32" t="s">
        <v>22</v>
      </c>
      <c r="L24" s="32" t="s">
        <v>23</v>
      </c>
      <c r="M24" s="32" t="s">
        <v>24</v>
      </c>
      <c r="N24" s="32" t="s">
        <v>13</v>
      </c>
      <c r="O24" s="32" t="s">
        <v>14</v>
      </c>
      <c r="P24" s="32" t="s">
        <v>15</v>
      </c>
      <c r="Q24" s="32" t="s">
        <v>16</v>
      </c>
      <c r="R24" s="32" t="s">
        <v>17</v>
      </c>
      <c r="S24" s="32" t="s">
        <v>25</v>
      </c>
      <c r="T24" s="32" t="s">
        <v>19</v>
      </c>
      <c r="U24" s="32" t="s">
        <v>26</v>
      </c>
      <c r="V24" s="32" t="s">
        <v>21</v>
      </c>
      <c r="W24" s="32" t="s">
        <v>27</v>
      </c>
      <c r="X24" s="32" t="s">
        <v>23</v>
      </c>
      <c r="Y24" s="32" t="s">
        <v>24</v>
      </c>
      <c r="Z24" s="89" t="s">
        <v>13</v>
      </c>
      <c r="AA24" s="89" t="s">
        <v>14</v>
      </c>
      <c r="AB24" s="90" t="s">
        <v>15</v>
      </c>
      <c r="AC24" s="89" t="s">
        <v>16</v>
      </c>
      <c r="AD24" s="89" t="s">
        <v>17</v>
      </c>
      <c r="AE24" s="89" t="s">
        <v>25</v>
      </c>
      <c r="AF24" s="89" t="s">
        <v>19</v>
      </c>
      <c r="AG24" s="32" t="s">
        <v>26</v>
      </c>
      <c r="AH24" s="45" t="s">
        <v>21</v>
      </c>
    </row>
    <row r="25" spans="1:34" ht="27.75" customHeight="1" x14ac:dyDescent="0.2">
      <c r="A25" s="28" t="s">
        <v>73</v>
      </c>
      <c r="B25" s="55">
        <v>71.738158213015794</v>
      </c>
      <c r="C25" s="20">
        <v>123.27227087030982</v>
      </c>
      <c r="D25" s="20">
        <v>116.24365644398502</v>
      </c>
      <c r="E25" s="20">
        <v>96.580225893758936</v>
      </c>
      <c r="F25" s="20">
        <v>93.408604141465986</v>
      </c>
      <c r="G25" s="20">
        <v>92.490171422142794</v>
      </c>
      <c r="H25" s="20">
        <v>112.04816621722891</v>
      </c>
      <c r="I25" s="20">
        <v>93.020207912369386</v>
      </c>
      <c r="J25" s="20">
        <v>108.06099409813686</v>
      </c>
      <c r="K25" s="20">
        <v>104.71321760096355</v>
      </c>
      <c r="L25" s="20">
        <v>95.961007942682357</v>
      </c>
      <c r="M25" s="16">
        <v>107.05149255623367</v>
      </c>
      <c r="N25" s="20">
        <v>70.382208343865415</v>
      </c>
      <c r="O25" s="20">
        <v>127.63158194440297</v>
      </c>
      <c r="P25" s="20">
        <v>103.24095247310265</v>
      </c>
      <c r="Q25" s="20">
        <v>57.064146061655876</v>
      </c>
      <c r="R25" s="20">
        <v>115.32045479750228</v>
      </c>
      <c r="S25" s="20">
        <v>125.55839051166471</v>
      </c>
      <c r="T25" s="20">
        <v>120.09478099934977</v>
      </c>
      <c r="U25" s="20">
        <v>87.312042792465732</v>
      </c>
      <c r="V25" s="20">
        <v>117.22959939467061</v>
      </c>
      <c r="W25" s="20">
        <v>97.096953437578748</v>
      </c>
      <c r="X25" s="20">
        <v>105.93754706899317</v>
      </c>
      <c r="Y25" s="16">
        <v>108.49423751970338</v>
      </c>
      <c r="Z25" s="113">
        <v>70.407885353173725</v>
      </c>
      <c r="AA25" s="23">
        <v>130.56565598353049</v>
      </c>
      <c r="AB25" s="23">
        <v>120.83026196604835</v>
      </c>
      <c r="AC25" s="72">
        <v>89.231037795592442</v>
      </c>
      <c r="AD25" s="23">
        <v>100.2114807539604</v>
      </c>
      <c r="AE25" s="83">
        <v>104.66057637383682</v>
      </c>
      <c r="AF25" s="83">
        <v>95.30942428771003</v>
      </c>
      <c r="AG25" s="83">
        <v>102.30249040432689</v>
      </c>
      <c r="AH25" s="114">
        <v>116.47910704981066</v>
      </c>
    </row>
    <row r="26" spans="1:34" ht="42" customHeight="1" x14ac:dyDescent="0.2">
      <c r="A26" s="29" t="s">
        <v>74</v>
      </c>
      <c r="B26" s="27">
        <f>IF(374257.25828="","-",372548.49281/374257.25828*100)</f>
        <v>99.543424894989869</v>
      </c>
      <c r="C26" s="15">
        <f>IF(427600.8878="","-",459248.98718/427600.8878*100)</f>
        <v>107.40131750961253</v>
      </c>
      <c r="D26" s="15">
        <f>IF(524151.65323="","-",533847.81488/524151.65323*100)</f>
        <v>101.84987714724333</v>
      </c>
      <c r="E26" s="15">
        <f>IF(444601.83252="","-",515591.42554/444601.83252*100)</f>
        <v>115.96700414337735</v>
      </c>
      <c r="F26" s="15">
        <f>IF(505594.98812="","-",481606.75367/505594.98812*100)</f>
        <v>95.255444572503052</v>
      </c>
      <c r="G26" s="15">
        <f>IF(458682.35918="","-",445438.91205/458682.35918*100)</f>
        <v>97.112719321999705</v>
      </c>
      <c r="H26" s="15">
        <f>IF(488041.26888="","-",499106.13257/488041.26888*100)</f>
        <v>102.26719836939048</v>
      </c>
      <c r="I26" s="15">
        <f>IF(480650.77296="","-",464269.56222/480650.77296*100)</f>
        <v>96.591868428897087</v>
      </c>
      <c r="J26" s="15">
        <f>IF(473973.76404="","-",501694.30423/473973.76404*100)</f>
        <v>105.84853894732886</v>
      </c>
      <c r="K26" s="15">
        <f>IF(540614.13985="","-",525340.24848/540614.13985*100)</f>
        <v>97.174714783775727</v>
      </c>
      <c r="L26" s="15">
        <f>IF(522571.0681="","-",504121.79757/522571.0681*100)</f>
        <v>96.469519333115954</v>
      </c>
      <c r="M26" s="17">
        <f>IF(519317.05816="","-",539669.9086/519317.05816*100)</f>
        <v>103.91915692353963</v>
      </c>
      <c r="N26" s="15">
        <f>IF(372548.49281="","-",379831.59944/372548.49281*100)</f>
        <v>101.95494191241148</v>
      </c>
      <c r="O26" s="15">
        <f>IF(459248.98718="","-",484785.07909/459248.98718*100)</f>
        <v>105.56040244460927</v>
      </c>
      <c r="P26" s="15">
        <f>IF(533847.81488="","-",500496.7331/533847.81488*100)</f>
        <v>93.752698643620619</v>
      </c>
      <c r="Q26" s="15">
        <f>IF(515591.42554="","-",285604.18681/515591.42554*100)</f>
        <v>55.393509795256001</v>
      </c>
      <c r="R26" s="15">
        <f>IF(481606.75367="","-",329360.04715/481606.75367*100)</f>
        <v>68.38775508029515</v>
      </c>
      <c r="S26" s="15">
        <f>IF(445438.91205="","-",413539.17419/445438.91205*100)</f>
        <v>92.838583025180498</v>
      </c>
      <c r="T26" s="15">
        <f>IF(499106.13257="","-",496638.96559/499106.13257*100)</f>
        <v>99.505682896081424</v>
      </c>
      <c r="U26" s="15">
        <f>IF(464269.56222="","-",433625.62616/464269.56222*100)</f>
        <v>93.399537993946922</v>
      </c>
      <c r="V26" s="15">
        <f>IF(501694.30423="","-",508337.58442/501694.30423*100)</f>
        <v>101.32416894790069</v>
      </c>
      <c r="W26" s="15">
        <f>IF(525340.24848="","-",493580.30765/525340.24848*100)</f>
        <v>93.954405564414117</v>
      </c>
      <c r="X26" s="15">
        <f>IF(504121.79757="","-",522886.87074/504121.79757*100)</f>
        <v>103.7223292586142</v>
      </c>
      <c r="Y26" s="17">
        <f>IF(539669.9086="","-",567302.1235/539669.9086*100)</f>
        <v>105.12020671519058</v>
      </c>
      <c r="Z26" s="109">
        <f>IF(379831.59944="","-",399368.86107/379831.59944*100)</f>
        <v>105.14366410240868</v>
      </c>
      <c r="AA26" s="73">
        <f>IF(484785.07909="","-",521438.57325/484785.07909*100)</f>
        <v>107.56077192573727</v>
      </c>
      <c r="AB26" s="73">
        <f>IF(500496.7331="","-",630055.59405/500496.7331*100)</f>
        <v>125.88605526903886</v>
      </c>
      <c r="AC26" s="73">
        <f>IF(285604.18681="","-",562205.14526/285604.18681*100)</f>
        <v>196.84765533007069</v>
      </c>
      <c r="AD26" s="73">
        <f>IF(329360.04715="","-",563394.10094/329360.04715*100)</f>
        <v>171.05720800538208</v>
      </c>
      <c r="AE26" s="73">
        <f>IF(413539.17419="","-",589651.5133/413539.17419*100)</f>
        <v>142.58661575531545</v>
      </c>
      <c r="AF26" s="73">
        <f>IF(496638.96559="","-",561993.46263/496638.96559*100)</f>
        <v>113.15935751484174</v>
      </c>
      <c r="AG26" s="73">
        <f>IF(433625.62616="","-",574933.30818/433625.62616*100)</f>
        <v>132.58748410958998</v>
      </c>
      <c r="AH26" s="115">
        <f>IF(508337.58442="","-",669677.1835/508337.58442*100)</f>
        <v>131.73867209997553</v>
      </c>
    </row>
    <row r="27" spans="1:34" x14ac:dyDescent="0.2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2"/>
      <c r="P27" s="12"/>
      <c r="Q27" s="12"/>
      <c r="R27" s="12"/>
      <c r="S27" s="12"/>
      <c r="T27" s="12"/>
    </row>
    <row r="28" spans="1:34" x14ac:dyDescent="0.2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2"/>
      <c r="P28" s="12"/>
      <c r="Q28" s="12"/>
      <c r="R28" s="12"/>
      <c r="S28" s="12"/>
      <c r="T28" s="12"/>
      <c r="Z28" s="110"/>
      <c r="AA28" s="110"/>
      <c r="AB28" s="111"/>
      <c r="AC28" s="112"/>
      <c r="AD28" s="110"/>
      <c r="AE28" s="86"/>
      <c r="AF28" s="86"/>
      <c r="AG28" s="86"/>
      <c r="AH28" s="86"/>
    </row>
  </sheetData>
  <mergeCells count="5">
    <mergeCell ref="A2:L2"/>
    <mergeCell ref="A23:A24"/>
    <mergeCell ref="B23:M23"/>
    <mergeCell ref="N23:Y23"/>
    <mergeCell ref="Z23:AH2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31"/>
  <sheetViews>
    <sheetView workbookViewId="0">
      <selection activeCell="A2" sqref="A2:M2"/>
    </sheetView>
  </sheetViews>
  <sheetFormatPr defaultRowHeight="12" x14ac:dyDescent="0.2"/>
  <cols>
    <col min="1" max="1" width="24" style="3" customWidth="1"/>
    <col min="2" max="7" width="14.85546875" style="3" bestFit="1" customWidth="1"/>
    <col min="8" max="16384" width="9.140625" style="3"/>
  </cols>
  <sheetData>
    <row r="2" spans="1:13" x14ac:dyDescent="0.2">
      <c r="A2" s="135" t="s">
        <v>101</v>
      </c>
      <c r="B2" s="135"/>
      <c r="C2" s="135"/>
      <c r="D2" s="135"/>
      <c r="E2" s="135"/>
      <c r="F2" s="135"/>
      <c r="G2" s="147"/>
      <c r="H2" s="146"/>
      <c r="I2" s="146"/>
      <c r="J2" s="146"/>
      <c r="K2" s="146"/>
      <c r="L2" s="146"/>
      <c r="M2" s="146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x14ac:dyDescent="0.2">
      <c r="A18" s="4"/>
      <c r="B18" s="4"/>
      <c r="C18" s="4"/>
      <c r="D18" s="4"/>
      <c r="E18" s="4"/>
      <c r="F18" s="4"/>
      <c r="G18" s="4"/>
    </row>
    <row r="19" spans="1:7" x14ac:dyDescent="0.2">
      <c r="A19" s="4"/>
      <c r="B19" s="4"/>
      <c r="C19" s="4"/>
      <c r="D19" s="4"/>
      <c r="E19" s="4"/>
      <c r="F19" s="4"/>
      <c r="G19" s="4"/>
    </row>
    <row r="20" spans="1:7" ht="13.5" customHeight="1" x14ac:dyDescent="0.2">
      <c r="A20" s="4"/>
      <c r="B20" s="4"/>
      <c r="C20" s="4"/>
      <c r="D20" s="4"/>
      <c r="E20" s="4"/>
      <c r="F20" s="4"/>
      <c r="G20" s="4"/>
    </row>
    <row r="21" spans="1:7" x14ac:dyDescent="0.2">
      <c r="A21" s="2"/>
      <c r="B21" s="2"/>
      <c r="C21" s="2"/>
      <c r="D21" s="2"/>
      <c r="E21" s="2"/>
      <c r="F21" s="2"/>
      <c r="G21" s="2"/>
    </row>
    <row r="22" spans="1:7" ht="4.5" customHeight="1" x14ac:dyDescent="0.2">
      <c r="A22" s="49"/>
      <c r="B22" s="49"/>
      <c r="C22" s="49"/>
      <c r="D22" s="49"/>
      <c r="E22" s="49"/>
      <c r="F22" s="49"/>
      <c r="G22" s="49"/>
    </row>
    <row r="23" spans="1:7" x14ac:dyDescent="0.2">
      <c r="A23" s="49"/>
      <c r="B23" s="49"/>
      <c r="C23" s="49"/>
      <c r="D23" s="49"/>
      <c r="E23" s="49"/>
      <c r="F23" s="49"/>
      <c r="G23" s="49"/>
    </row>
    <row r="24" spans="1:7" ht="24" x14ac:dyDescent="0.2">
      <c r="A24" s="69" t="s">
        <v>28</v>
      </c>
      <c r="B24" s="14" t="s">
        <v>84</v>
      </c>
      <c r="C24" s="14" t="s">
        <v>85</v>
      </c>
      <c r="D24" s="14" t="s">
        <v>86</v>
      </c>
      <c r="E24" s="14" t="s">
        <v>87</v>
      </c>
      <c r="F24" s="14" t="s">
        <v>88</v>
      </c>
      <c r="G24" s="14" t="s">
        <v>89</v>
      </c>
    </row>
    <row r="25" spans="1:7" x14ac:dyDescent="0.2">
      <c r="A25" s="56" t="s">
        <v>29</v>
      </c>
      <c r="B25" s="93">
        <v>3.1</v>
      </c>
      <c r="C25" s="20">
        <v>1.6</v>
      </c>
      <c r="D25" s="94">
        <v>2.2000000000000002</v>
      </c>
      <c r="E25" s="94">
        <v>3</v>
      </c>
      <c r="F25" s="94">
        <v>2.6</v>
      </c>
      <c r="G25" s="102">
        <v>2.6</v>
      </c>
    </row>
    <row r="26" spans="1:7" x14ac:dyDescent="0.2">
      <c r="A26" s="57" t="s">
        <v>30</v>
      </c>
      <c r="B26" s="95">
        <v>4.9000000000000004</v>
      </c>
      <c r="C26" s="22">
        <v>5.0999999999999996</v>
      </c>
      <c r="D26" s="87">
        <v>4.9000000000000004</v>
      </c>
      <c r="E26" s="87">
        <v>5.8</v>
      </c>
      <c r="F26" s="87">
        <v>5.7</v>
      </c>
      <c r="G26" s="103">
        <v>5.8</v>
      </c>
    </row>
    <row r="27" spans="1:7" x14ac:dyDescent="0.2">
      <c r="A27" s="57" t="s">
        <v>31</v>
      </c>
      <c r="B27" s="95">
        <v>85.5</v>
      </c>
      <c r="C27" s="22">
        <v>87</v>
      </c>
      <c r="D27" s="87">
        <v>84.8</v>
      </c>
      <c r="E27" s="87">
        <v>83.3</v>
      </c>
      <c r="F27" s="87">
        <v>83.7</v>
      </c>
      <c r="G27" s="103">
        <v>83.4</v>
      </c>
    </row>
    <row r="28" spans="1:7" x14ac:dyDescent="0.2">
      <c r="A28" s="57" t="s">
        <v>32</v>
      </c>
      <c r="B28" s="95">
        <v>2.4</v>
      </c>
      <c r="C28" s="22">
        <v>2.2999999999999998</v>
      </c>
      <c r="D28" s="87">
        <v>2.6</v>
      </c>
      <c r="E28" s="87">
        <v>2.6</v>
      </c>
      <c r="F28" s="87">
        <v>2.6</v>
      </c>
      <c r="G28" s="103">
        <v>1.9</v>
      </c>
    </row>
    <row r="29" spans="1:7" x14ac:dyDescent="0.2">
      <c r="A29" s="57" t="s">
        <v>59</v>
      </c>
      <c r="B29" s="95">
        <v>0.2</v>
      </c>
      <c r="C29" s="22">
        <v>0.3</v>
      </c>
      <c r="D29" s="87">
        <v>0.2</v>
      </c>
      <c r="E29" s="87">
        <v>0.3</v>
      </c>
      <c r="F29" s="87">
        <v>0.3</v>
      </c>
      <c r="G29" s="103">
        <v>1</v>
      </c>
    </row>
    <row r="30" spans="1:7" x14ac:dyDescent="0.2">
      <c r="A30" s="57" t="s">
        <v>60</v>
      </c>
      <c r="B30" s="95">
        <v>3.3</v>
      </c>
      <c r="C30" s="22">
        <v>3.2</v>
      </c>
      <c r="D30" s="87">
        <v>4.7</v>
      </c>
      <c r="E30" s="87">
        <v>4.4000000000000004</v>
      </c>
      <c r="F30" s="87">
        <v>4.5</v>
      </c>
      <c r="G30" s="103">
        <v>4.5999999999999996</v>
      </c>
    </row>
    <row r="31" spans="1:7" x14ac:dyDescent="0.2">
      <c r="A31" s="58" t="s">
        <v>61</v>
      </c>
      <c r="B31" s="96">
        <v>0.6</v>
      </c>
      <c r="C31" s="15">
        <v>0.5</v>
      </c>
      <c r="D31" s="88">
        <v>0.6</v>
      </c>
      <c r="E31" s="88">
        <v>0.6</v>
      </c>
      <c r="F31" s="88">
        <v>0.6</v>
      </c>
      <c r="G31" s="104">
        <v>0.7</v>
      </c>
    </row>
  </sheetData>
  <mergeCells count="1">
    <mergeCell ref="A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Figura 9</vt:lpstr>
      <vt:lpstr>Figura 10</vt:lpstr>
      <vt:lpstr>Figura 11</vt:lpstr>
      <vt:lpstr>Figura 12</vt:lpstr>
      <vt:lpstr>Figura 13</vt:lpstr>
      <vt:lpstr>Figura 14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Petrusca</dc:creator>
  <cp:lastModifiedBy>Doina Vudvud</cp:lastModifiedBy>
  <dcterms:created xsi:type="dcterms:W3CDTF">2017-02-13T11:50:10Z</dcterms:created>
  <dcterms:modified xsi:type="dcterms:W3CDTF">2021-11-17T07:35:18Z</dcterms:modified>
</cp:coreProperties>
</file>