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tables/table4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tables/table5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+xml"/>
  <Override PartName="/xl/tables/table6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tables/table7.xml" ContentType="application/vnd.openxmlformats-officedocument.spreadsheetml.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inaVudvud\Desktop\"/>
    </mc:Choice>
  </mc:AlternateContent>
  <bookViews>
    <workbookView xWindow="0" yWindow="0" windowWidth="16830" windowHeight="10245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6" r:id="rId6"/>
    <sheet name="Figura 7" sheetId="7" r:id="rId7"/>
    <sheet name="Figura 8" sheetId="8" r:id="rId8"/>
    <sheet name="Figura 9" sheetId="9" r:id="rId9"/>
    <sheet name="Figura 10" sheetId="10" r:id="rId10"/>
    <sheet name="Figura 11" sheetId="11" r:id="rId11"/>
    <sheet name="Figura 12" sheetId="12" r:id="rId12"/>
    <sheet name="Figura 13" sheetId="13" r:id="rId13"/>
    <sheet name="Figura 14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1" l="1"/>
  <c r="F39" i="11"/>
  <c r="E39" i="11"/>
  <c r="D39" i="11"/>
  <c r="C39" i="11"/>
  <c r="B39" i="11"/>
  <c r="G38" i="11"/>
  <c r="F38" i="11"/>
  <c r="E38" i="11"/>
  <c r="D38" i="11"/>
  <c r="C38" i="11"/>
  <c r="B38" i="11"/>
  <c r="G37" i="11"/>
  <c r="F37" i="11"/>
  <c r="E37" i="11"/>
  <c r="D37" i="11"/>
  <c r="C37" i="11"/>
  <c r="B37" i="11"/>
  <c r="G36" i="11"/>
  <c r="F36" i="11"/>
  <c r="E36" i="11"/>
  <c r="D36" i="11"/>
  <c r="C36" i="11"/>
  <c r="B36" i="11"/>
  <c r="G35" i="11"/>
  <c r="F35" i="11"/>
  <c r="E35" i="11"/>
  <c r="D35" i="11"/>
  <c r="C35" i="11"/>
  <c r="B35" i="11"/>
  <c r="G34" i="11"/>
  <c r="F34" i="11"/>
  <c r="E34" i="11"/>
  <c r="D34" i="11"/>
  <c r="C34" i="11"/>
  <c r="B34" i="11"/>
  <c r="G33" i="11"/>
  <c r="F33" i="11"/>
  <c r="E33" i="11"/>
  <c r="D33" i="11"/>
  <c r="C33" i="11"/>
  <c r="B33" i="11"/>
  <c r="G32" i="11"/>
  <c r="F32" i="11"/>
  <c r="E32" i="11"/>
  <c r="D32" i="11"/>
  <c r="C32" i="11"/>
  <c r="B32" i="11"/>
  <c r="G31" i="11"/>
  <c r="F31" i="11"/>
  <c r="E31" i="11"/>
  <c r="D31" i="11"/>
  <c r="C31" i="11"/>
  <c r="B31" i="11"/>
  <c r="G30" i="11"/>
  <c r="F30" i="11"/>
  <c r="E30" i="11"/>
  <c r="D30" i="11"/>
  <c r="C30" i="11"/>
  <c r="B30" i="11"/>
  <c r="G29" i="11"/>
  <c r="F29" i="11"/>
  <c r="E29" i="11"/>
  <c r="D29" i="11"/>
  <c r="C29" i="11"/>
  <c r="B29" i="11"/>
  <c r="G28" i="11"/>
  <c r="F28" i="11"/>
  <c r="E28" i="11"/>
  <c r="D28" i="11"/>
  <c r="C28" i="11"/>
  <c r="B28" i="11"/>
  <c r="G27" i="11"/>
  <c r="F27" i="11"/>
  <c r="E27" i="11"/>
  <c r="D27" i="11"/>
  <c r="C27" i="11"/>
  <c r="B27" i="11"/>
  <c r="G26" i="11"/>
  <c r="F26" i="11"/>
  <c r="E26" i="11"/>
  <c r="D26" i="11"/>
  <c r="C26" i="11"/>
  <c r="B26" i="11"/>
  <c r="G25" i="11"/>
  <c r="F25" i="11"/>
  <c r="E25" i="11"/>
  <c r="D25" i="11"/>
  <c r="C25" i="11"/>
  <c r="B25" i="11"/>
  <c r="G24" i="11"/>
  <c r="F24" i="11"/>
  <c r="E24" i="11"/>
  <c r="D24" i="11"/>
  <c r="C24" i="11"/>
  <c r="B24" i="11"/>
  <c r="G29" i="9" l="1"/>
  <c r="F29" i="9"/>
  <c r="E29" i="9"/>
  <c r="D29" i="9"/>
  <c r="C29" i="9"/>
  <c r="B29" i="9"/>
  <c r="G28" i="9"/>
  <c r="F28" i="9"/>
  <c r="E28" i="9"/>
  <c r="D28" i="9"/>
  <c r="C28" i="9"/>
  <c r="B28" i="9"/>
  <c r="G27" i="9"/>
  <c r="F27" i="9"/>
  <c r="E27" i="9"/>
  <c r="D27" i="9"/>
  <c r="C27" i="9"/>
  <c r="B27" i="9"/>
  <c r="G26" i="9"/>
  <c r="F26" i="9"/>
  <c r="E26" i="9"/>
  <c r="D26" i="9"/>
  <c r="C26" i="9"/>
  <c r="B26" i="9"/>
  <c r="G25" i="9"/>
  <c r="F25" i="9"/>
  <c r="E25" i="9"/>
  <c r="D25" i="9"/>
  <c r="C25" i="9"/>
  <c r="B25" i="9"/>
  <c r="G24" i="9"/>
  <c r="F24" i="9"/>
  <c r="E24" i="9"/>
  <c r="D24" i="9"/>
  <c r="C24" i="9"/>
  <c r="B24" i="9"/>
  <c r="G23" i="9"/>
  <c r="F23" i="9"/>
  <c r="E23" i="9"/>
  <c r="D23" i="9"/>
  <c r="C23" i="9"/>
  <c r="B23" i="9"/>
  <c r="AA27" i="8" l="1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G39" i="5" l="1"/>
  <c r="F39" i="5"/>
  <c r="E39" i="5"/>
  <c r="D39" i="5"/>
  <c r="C39" i="5"/>
  <c r="B39" i="5"/>
  <c r="G38" i="5"/>
  <c r="F38" i="5"/>
  <c r="E38" i="5"/>
  <c r="D38" i="5"/>
  <c r="C38" i="5"/>
  <c r="B38" i="5"/>
  <c r="G37" i="5"/>
  <c r="F37" i="5"/>
  <c r="E37" i="5"/>
  <c r="D37" i="5"/>
  <c r="C37" i="5"/>
  <c r="B37" i="5"/>
  <c r="G36" i="5"/>
  <c r="F36" i="5"/>
  <c r="E36" i="5"/>
  <c r="D36" i="5"/>
  <c r="C36" i="5"/>
  <c r="B36" i="5"/>
  <c r="G35" i="5"/>
  <c r="F35" i="5"/>
  <c r="E35" i="5"/>
  <c r="D35" i="5"/>
  <c r="C35" i="5"/>
  <c r="B35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C27" i="5"/>
  <c r="B27" i="5"/>
  <c r="G26" i="5"/>
  <c r="F26" i="5"/>
  <c r="E26" i="5"/>
  <c r="D26" i="5"/>
  <c r="C26" i="5"/>
  <c r="B26" i="5"/>
  <c r="G25" i="5"/>
  <c r="F25" i="5"/>
  <c r="E25" i="5"/>
  <c r="D25" i="5"/>
  <c r="C25" i="5"/>
  <c r="B25" i="5"/>
  <c r="G24" i="5"/>
  <c r="F24" i="5"/>
  <c r="E24" i="5"/>
  <c r="D24" i="5"/>
  <c r="C24" i="5"/>
  <c r="B24" i="5"/>
  <c r="G23" i="5"/>
  <c r="F23" i="5"/>
  <c r="E23" i="5"/>
  <c r="D23" i="5"/>
  <c r="C23" i="5"/>
  <c r="B23" i="5"/>
  <c r="G25" i="3" l="1"/>
  <c r="F25" i="3"/>
  <c r="E25" i="3"/>
  <c r="D25" i="3"/>
  <c r="C25" i="3"/>
  <c r="B25" i="3"/>
  <c r="G24" i="3"/>
  <c r="F24" i="3"/>
  <c r="E24" i="3"/>
  <c r="D24" i="3"/>
  <c r="C24" i="3"/>
  <c r="B24" i="3"/>
  <c r="G23" i="3"/>
  <c r="F23" i="3"/>
  <c r="E23" i="3"/>
  <c r="D23" i="3"/>
  <c r="C23" i="3"/>
  <c r="B23" i="3"/>
  <c r="G22" i="3"/>
  <c r="F22" i="3"/>
  <c r="E22" i="3"/>
  <c r="D22" i="3"/>
  <c r="C22" i="3"/>
  <c r="B22" i="3"/>
  <c r="AA24" i="2" l="1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</calcChain>
</file>

<file path=xl/sharedStrings.xml><?xml version="1.0" encoding="utf-8"?>
<sst xmlns="http://schemas.openxmlformats.org/spreadsheetml/2006/main" count="251" uniqueCount="120">
  <si>
    <t xml:space="preserve">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</si>
  <si>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</si>
  <si>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</si>
  <si>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</si>
  <si>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</si>
  <si>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</si>
  <si>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</si>
  <si>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</si>
  <si>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</si>
  <si>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</si>
  <si>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</si>
  <si>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</si>
  <si>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</si>
  <si>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r>
      <t xml:space="preserve">Figura 1. </t>
    </r>
    <r>
      <rPr>
        <i/>
        <sz val="9"/>
        <color theme="1"/>
        <rFont val="Arial"/>
        <family val="2"/>
        <charset val="204"/>
      </rPr>
      <t>Evoluţia lunară a exporturilor de mărfuri, în anii 2016-2021, milioane dolari SUA</t>
    </r>
  </si>
  <si>
    <r>
      <t xml:space="preserve">Figura 2. </t>
    </r>
    <r>
      <rPr>
        <i/>
        <sz val="9"/>
        <color theme="1"/>
        <rFont val="Arial"/>
        <family val="2"/>
        <charset val="204"/>
      </rPr>
      <t>Evoluţia lunară a indicilor valorici ai exporturilor de mărfuri, în anii 2019-2021, %</t>
    </r>
  </si>
  <si>
    <t>I</t>
  </si>
  <si>
    <t>II</t>
  </si>
  <si>
    <t>III</t>
  </si>
  <si>
    <t>IV</t>
  </si>
  <si>
    <t>V</t>
  </si>
  <si>
    <t xml:space="preserve">VI </t>
  </si>
  <si>
    <t>VII</t>
  </si>
  <si>
    <t xml:space="preserve">VIII </t>
  </si>
  <si>
    <t>IX</t>
  </si>
  <si>
    <t xml:space="preserve">X </t>
  </si>
  <si>
    <t>XI</t>
  </si>
  <si>
    <t>XII</t>
  </si>
  <si>
    <t>VI</t>
  </si>
  <si>
    <t>VIII</t>
  </si>
  <si>
    <t>X</t>
  </si>
  <si>
    <t>în % faţă de luna precedentă</t>
  </si>
  <si>
    <t>în % faţă de luna corespunzătoare din anul precedent</t>
  </si>
  <si>
    <r>
      <t xml:space="preserve">Figura 3. </t>
    </r>
    <r>
      <rPr>
        <i/>
        <sz val="9"/>
        <color theme="1"/>
        <rFont val="Arial"/>
        <family val="2"/>
        <charset val="204"/>
      </rPr>
      <t>Structura exporturilor de mărfuri, în ianuarie-februarie 2016-2021, pe moduri de transport, în % faţă de total</t>
    </r>
  </si>
  <si>
    <t>Moduri de transport</t>
  </si>
  <si>
    <t>Ianuarie - februarie 2021</t>
  </si>
  <si>
    <t>Ianuarie - februarie 2020</t>
  </si>
  <si>
    <t>Ianuarie - februarie 2019</t>
  </si>
  <si>
    <t>Ianuarie - februarie 2018</t>
  </si>
  <si>
    <t>Ianuarie - februarie 2017</t>
  </si>
  <si>
    <t>Ianuarie - februarie 2016</t>
  </si>
  <si>
    <t>Transport maritim</t>
  </si>
  <si>
    <t>Transport feroviar</t>
  </si>
  <si>
    <t>Transport rutier</t>
  </si>
  <si>
    <t>Transport aerian</t>
  </si>
  <si>
    <r>
      <rPr>
        <sz val="9"/>
        <color theme="1"/>
        <rFont val="Arial"/>
        <family val="2"/>
        <charset val="204"/>
      </rPr>
      <t xml:space="preserve">Figura 4. </t>
    </r>
    <r>
      <rPr>
        <i/>
        <sz val="9"/>
        <color theme="1"/>
        <rFont val="Arial"/>
        <family val="2"/>
        <charset val="204"/>
      </rPr>
      <t>Structura exporturilor de mărfuri, în ianuarie-februarie 2016-2021, pe grupe de ţări,  în % faţă de total</t>
    </r>
  </si>
  <si>
    <t>Ianuarie -            februarie 2016</t>
  </si>
  <si>
    <t>Ianuarie -     februarie 2017</t>
  </si>
  <si>
    <t>Ianuarie -     februarie 2018</t>
  </si>
  <si>
    <t>Ianuarie -     februarie 2019</t>
  </si>
  <si>
    <t>Ianuarie -     februarie 2020</t>
  </si>
  <si>
    <t>Ianuarie -     februarie 2021</t>
  </si>
  <si>
    <t xml:space="preserve">Ţările Uniunii Europene </t>
  </si>
  <si>
    <t xml:space="preserve">Ţările CSI </t>
  </si>
  <si>
    <t xml:space="preserve">Celelalte ţări ale lumii </t>
  </si>
  <si>
    <r>
      <rPr>
        <sz val="9"/>
        <color theme="1"/>
        <rFont val="Arial"/>
        <family val="2"/>
        <charset val="204"/>
      </rPr>
      <t xml:space="preserve">Figura 5. </t>
    </r>
    <r>
      <rPr>
        <i/>
        <sz val="9"/>
        <color theme="1"/>
        <rFont val="Arial"/>
        <family val="2"/>
        <charset val="204"/>
      </rPr>
      <t>Structura exporturilor de mărfuri, în ianuarie-februarie 2016-2021, pe ţări, în % faţă de total</t>
    </r>
  </si>
  <si>
    <t xml:space="preserve"> Ianuarie - februarie 2016</t>
  </si>
  <si>
    <t xml:space="preserve"> Ianuarie - februarie 2019</t>
  </si>
  <si>
    <t>România</t>
  </si>
  <si>
    <t>Germania</t>
  </si>
  <si>
    <t>Turcia</t>
  </si>
  <si>
    <t>Federaţia Rusă</t>
  </si>
  <si>
    <t>Italia</t>
  </si>
  <si>
    <t>Polonia</t>
  </si>
  <si>
    <t>Ucraina</t>
  </si>
  <si>
    <t>Republica Cehă</t>
  </si>
  <si>
    <t>Belarus</t>
  </si>
  <si>
    <t>Ungaria</t>
  </si>
  <si>
    <t>Elveţia</t>
  </si>
  <si>
    <t>Spania</t>
  </si>
  <si>
    <t>Bulgaria</t>
  </si>
  <si>
    <t>Grecia</t>
  </si>
  <si>
    <t>Olanda</t>
  </si>
  <si>
    <t>Franţa</t>
  </si>
  <si>
    <t xml:space="preserve">Regatul Unit </t>
  </si>
  <si>
    <r>
      <t>Figura 6.</t>
    </r>
    <r>
      <rPr>
        <i/>
        <sz val="9"/>
        <color theme="1"/>
        <rFont val="Arial"/>
        <family val="2"/>
        <charset val="204"/>
      </rPr>
      <t xml:space="preserve"> Structura exporturilor, pe secțiuni de mărfuri (%)</t>
    </r>
  </si>
  <si>
    <t>Ianuarie-februarie 2020</t>
  </si>
  <si>
    <t>%</t>
  </si>
  <si>
    <t>Produse alimentare și animale vii</t>
  </si>
  <si>
    <t>Băuturi și tutun</t>
  </si>
  <si>
    <t>Materiale brute necomestibile</t>
  </si>
  <si>
    <t>Combustibili minerali</t>
  </si>
  <si>
    <t xml:space="preserve">Uleiuri și grăsimi </t>
  </si>
  <si>
    <t>Produse chimice</t>
  </si>
  <si>
    <t xml:space="preserve">Mărfuri manufacturate </t>
  </si>
  <si>
    <t>Mașini și echipamente pentru transport</t>
  </si>
  <si>
    <t>Articole manufacturate diverse</t>
  </si>
  <si>
    <t>Ianuarie-februarie 2021</t>
  </si>
  <si>
    <r>
      <rPr>
        <sz val="9"/>
        <color theme="1"/>
        <rFont val="Arial"/>
        <family val="2"/>
        <charset val="204"/>
      </rPr>
      <t>Figura 7.</t>
    </r>
    <r>
      <rPr>
        <i/>
        <sz val="9"/>
        <color theme="1"/>
        <rFont val="Arial"/>
        <family val="2"/>
        <charset val="204"/>
      </rPr>
      <t xml:space="preserve"> Evoluţia lunară a importurilor de mărfuri, în anii 2016-2021, milioane dolari SUA</t>
    </r>
  </si>
  <si>
    <r>
      <t xml:space="preserve">Figura 8. </t>
    </r>
    <r>
      <rPr>
        <i/>
        <sz val="9"/>
        <color theme="1"/>
        <rFont val="Arial"/>
        <family val="2"/>
        <charset val="204"/>
      </rPr>
      <t>Evoluţia lunară a indicilor valorici ai importurilor de mărfuri, în anii 2019-2021, %</t>
    </r>
  </si>
  <si>
    <r>
      <t>Figura 9.</t>
    </r>
    <r>
      <rPr>
        <i/>
        <sz val="9"/>
        <color theme="1"/>
        <rFont val="Arial"/>
        <family val="2"/>
        <charset val="204"/>
      </rPr>
      <t xml:space="preserve"> Structura importurilor de mărfuri, în ianuarie-februarie 2016-2021, pe moduri de transport, în % faţă de total</t>
    </r>
  </si>
  <si>
    <t>Maritim</t>
  </si>
  <si>
    <t>Feroviar</t>
  </si>
  <si>
    <t>Rutier</t>
  </si>
  <si>
    <t>Aerian</t>
  </si>
  <si>
    <t>Expedieri poştale</t>
  </si>
  <si>
    <t>Instalaţii fixe de transport</t>
  </si>
  <si>
    <t>Autopropulsie</t>
  </si>
  <si>
    <r>
      <t xml:space="preserve">Figura 10. </t>
    </r>
    <r>
      <rPr>
        <i/>
        <sz val="9"/>
        <color theme="1"/>
        <rFont val="Arial"/>
        <family val="2"/>
        <charset val="204"/>
      </rPr>
      <t>Structura importurilor de mărfuri, în ianuarie-februarie 2016-2021, pe grupe de ţări,  în % faţă de total</t>
    </r>
  </si>
  <si>
    <t>Ţările Uniunii Europene - total</t>
  </si>
  <si>
    <t>Ţările CSI - total</t>
  </si>
  <si>
    <t>Celelalte ţări ale lumii - total</t>
  </si>
  <si>
    <r>
      <t xml:space="preserve">Figura 12. </t>
    </r>
    <r>
      <rPr>
        <i/>
        <sz val="9"/>
        <color theme="1"/>
        <rFont val="Arial"/>
        <family val="2"/>
        <charset val="204"/>
      </rPr>
      <t>Structura importurilor, pe secțiuni de mărfuri (%)</t>
    </r>
  </si>
  <si>
    <t>Uleiuri și grăsimi</t>
  </si>
  <si>
    <t xml:space="preserve">Produse chimice </t>
  </si>
  <si>
    <r>
      <t xml:space="preserve">Figura 11. </t>
    </r>
    <r>
      <rPr>
        <i/>
        <sz val="9"/>
        <color theme="1"/>
        <rFont val="Arial"/>
        <family val="2"/>
        <charset val="204"/>
      </rPr>
      <t>Structura importurilor de mărfuri, în ianuarie-februarie 2016-2021, pe ţări, în % faţă de total</t>
    </r>
  </si>
  <si>
    <t>China</t>
  </si>
  <si>
    <t>Austria</t>
  </si>
  <si>
    <t>S.U.A.</t>
  </si>
  <si>
    <r>
      <t xml:space="preserve">Figura 13. </t>
    </r>
    <r>
      <rPr>
        <i/>
        <sz val="9"/>
        <color theme="1"/>
        <rFont val="Arial"/>
        <family val="2"/>
        <charset val="204"/>
      </rPr>
      <t>Evoluţia lunară a balanţei comerciale, în anii 2016-2021, milioane dolari SUA</t>
    </r>
  </si>
  <si>
    <r>
      <rPr>
        <sz val="9"/>
        <color theme="1"/>
        <rFont val="Arial"/>
        <family val="2"/>
        <charset val="204"/>
      </rPr>
      <t>Figura 14.</t>
    </r>
    <r>
      <rPr>
        <i/>
        <sz val="9"/>
        <color theme="1"/>
        <rFont val="Arial"/>
        <family val="2"/>
        <charset val="204"/>
      </rPr>
      <t xml:space="preserve"> Tendinţele comerţului exterior de mărfuri, în ianuarie-februarie 2016-2021, milioane dolari SUA</t>
    </r>
  </si>
  <si>
    <t>Perioada</t>
  </si>
  <si>
    <t>Export</t>
  </si>
  <si>
    <t>Import</t>
  </si>
  <si>
    <t>Balanţa Comercială</t>
  </si>
  <si>
    <t>Ianuarie -    februarie 2016</t>
  </si>
  <si>
    <t>Ianuarie -    februarie 2017</t>
  </si>
  <si>
    <t>Ianuarie -    februarie 2018</t>
  </si>
  <si>
    <t>Ianuarie -    februarie 2019</t>
  </si>
  <si>
    <t>Ianuarie -    februarie 2020</t>
  </si>
  <si>
    <t>Ianuarie -    februarie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</si>
</sst>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38"/>
    </font>
    <font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3" fillId="0" borderId="1" xfId="0" applyFont="1" applyBorder="1"/>
    <xf numFmtId="0" fontId="5" fillId="0" borderId="1" xfId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64" fontId="3" fillId="0" borderId="2" xfId="1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6" fillId="0" borderId="0" xfId="1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 applyProtection="1">
      <alignment horizontal="center" vertical="top" wrapText="1"/>
    </xf>
    <xf numFmtId="165" fontId="6" fillId="0" borderId="0" xfId="0" applyNumberFormat="1" applyFont="1" applyFill="1" applyBorder="1" applyAlignment="1" applyProtection="1">
      <alignment horizontal="center" vertical="top"/>
    </xf>
    <xf numFmtId="0" fontId="6" fillId="0" borderId="0" xfId="0" applyFont="1" applyBorder="1" applyAlignment="1">
      <alignment horizontal="center" vertical="top"/>
    </xf>
    <xf numFmtId="164" fontId="6" fillId="0" borderId="0" xfId="1" applyNumberFormat="1" applyFont="1" applyFill="1" applyBorder="1" applyAlignment="1">
      <alignment horizontal="center" vertical="top"/>
    </xf>
    <xf numFmtId="164" fontId="6" fillId="0" borderId="3" xfId="1" applyNumberFormat="1" applyFont="1" applyFill="1" applyBorder="1" applyAlignment="1">
      <alignment horizontal="center" vertical="top"/>
    </xf>
    <xf numFmtId="164" fontId="7" fillId="0" borderId="3" xfId="1" applyNumberFormat="1" applyFont="1" applyFill="1" applyBorder="1" applyAlignment="1">
      <alignment horizontal="center" vertical="top"/>
    </xf>
    <xf numFmtId="164" fontId="7" fillId="0" borderId="3" xfId="0" applyNumberFormat="1" applyFont="1" applyBorder="1" applyAlignment="1">
      <alignment horizontal="center" vertical="top"/>
    </xf>
    <xf numFmtId="0" fontId="5" fillId="0" borderId="4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1" applyFont="1" applyBorder="1" applyAlignment="1">
      <alignment horizontal="center" vertical="top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Border="1"/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164" fontId="6" fillId="0" borderId="2" xfId="0" applyNumberFormat="1" applyFont="1" applyFill="1" applyBorder="1" applyAlignment="1" applyProtection="1">
      <alignment horizontal="center" vertical="justify"/>
    </xf>
    <xf numFmtId="165" fontId="6" fillId="0" borderId="2" xfId="0" applyNumberFormat="1" applyFont="1" applyFill="1" applyBorder="1" applyAlignment="1" applyProtection="1">
      <alignment horizontal="center" vertical="top"/>
    </xf>
    <xf numFmtId="164" fontId="6" fillId="0" borderId="2" xfId="0" applyNumberFormat="1" applyFont="1" applyFill="1" applyBorder="1" applyAlignment="1" applyProtection="1">
      <alignment horizontal="center" vertical="top"/>
    </xf>
    <xf numFmtId="165" fontId="3" fillId="0" borderId="2" xfId="0" applyNumberFormat="1" applyFont="1" applyBorder="1" applyAlignment="1">
      <alignment horizontal="center" vertical="top"/>
    </xf>
    <xf numFmtId="165" fontId="6" fillId="0" borderId="2" xfId="0" applyNumberFormat="1" applyFont="1" applyFill="1" applyBorder="1" applyAlignment="1" applyProtection="1">
      <alignment horizontal="right" vertical="top" wrapText="1" indent="1"/>
    </xf>
    <xf numFmtId="165" fontId="6" fillId="0" borderId="2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left" vertical="top" wrapText="1"/>
    </xf>
    <xf numFmtId="164" fontId="6" fillId="0" borderId="9" xfId="0" applyNumberFormat="1" applyFont="1" applyFill="1" applyBorder="1" applyAlignment="1" applyProtection="1">
      <alignment horizontal="center" vertical="justify"/>
    </xf>
    <xf numFmtId="164" fontId="6" fillId="0" borderId="3" xfId="0" applyNumberFormat="1" applyFont="1" applyFill="1" applyBorder="1" applyAlignment="1" applyProtection="1">
      <alignment horizontal="center" vertical="justify"/>
    </xf>
    <xf numFmtId="164" fontId="6" fillId="0" borderId="3" xfId="0" applyNumberFormat="1" applyFont="1" applyFill="1" applyBorder="1" applyAlignment="1" applyProtection="1">
      <alignment horizontal="center" vertical="top"/>
    </xf>
    <xf numFmtId="165" fontId="6" fillId="0" borderId="3" xfId="0" applyNumberFormat="1" applyFont="1" applyFill="1" applyBorder="1" applyAlignment="1" applyProtection="1">
      <alignment horizontal="center" vertical="top"/>
    </xf>
    <xf numFmtId="165" fontId="3" fillId="0" borderId="3" xfId="0" applyNumberFormat="1" applyFont="1" applyBorder="1" applyAlignment="1">
      <alignment horizontal="center" vertical="top"/>
    </xf>
    <xf numFmtId="165" fontId="6" fillId="0" borderId="3" xfId="0" applyNumberFormat="1" applyFont="1" applyFill="1" applyBorder="1" applyAlignment="1" applyProtection="1">
      <alignment horizontal="right" vertical="top" indent="1"/>
    </xf>
    <xf numFmtId="164" fontId="6" fillId="0" borderId="3" xfId="0" applyNumberFormat="1" applyFont="1" applyFill="1" applyBorder="1" applyAlignment="1" applyProtection="1">
      <alignment horizontal="right" vertical="top" indent="1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165" fontId="6" fillId="0" borderId="10" xfId="0" applyNumberFormat="1" applyFont="1" applyFill="1" applyBorder="1" applyAlignment="1" applyProtection="1">
      <alignment horizontal="center" vertical="top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165" fontId="6" fillId="0" borderId="11" xfId="0" applyNumberFormat="1" applyFont="1" applyFill="1" applyBorder="1" applyAlignment="1" applyProtection="1">
      <alignment horizontal="center" vertical="top"/>
    </xf>
    <xf numFmtId="0" fontId="4" fillId="0" borderId="0" xfId="0" applyFont="1" applyAlignment="1"/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wrapText="1"/>
    </xf>
    <xf numFmtId="165" fontId="6" fillId="0" borderId="10" xfId="0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left" wrapText="1"/>
    </xf>
    <xf numFmtId="165" fontId="6" fillId="0" borderId="11" xfId="0" applyNumberFormat="1" applyFont="1" applyFill="1" applyBorder="1" applyAlignment="1" applyProtection="1">
      <alignment horizontal="center"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left" wrapText="1"/>
    </xf>
    <xf numFmtId="165" fontId="6" fillId="0" borderId="9" xfId="0" applyNumberFormat="1" applyFont="1" applyFill="1" applyBorder="1" applyAlignment="1" applyProtection="1">
      <alignment horizontal="center" vertical="center"/>
    </xf>
    <xf numFmtId="165" fontId="6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38" fontId="6" fillId="0" borderId="12" xfId="0" applyNumberFormat="1" applyFont="1" applyFill="1" applyBorder="1" applyAlignment="1" applyProtection="1">
      <alignment horizontal="left" vertical="top" wrapText="1"/>
    </xf>
    <xf numFmtId="38" fontId="6" fillId="0" borderId="13" xfId="0" applyNumberFormat="1" applyFont="1" applyFill="1" applyBorder="1" applyAlignment="1" applyProtection="1">
      <alignment horizontal="left" vertical="top" wrapText="1"/>
    </xf>
    <xf numFmtId="38" fontId="6" fillId="0" borderId="13" xfId="0" applyNumberFormat="1" applyFont="1" applyFill="1" applyBorder="1" applyAlignment="1" applyProtection="1">
      <alignment horizontal="left" wrapText="1"/>
    </xf>
    <xf numFmtId="0" fontId="6" fillId="0" borderId="13" xfId="0" applyNumberFormat="1" applyFont="1" applyFill="1" applyBorder="1" applyAlignment="1" applyProtection="1">
      <alignment horizontal="left" vertical="center"/>
    </xf>
    <xf numFmtId="38" fontId="6" fillId="0" borderId="8" xfId="0" applyNumberFormat="1" applyFont="1" applyFill="1" applyBorder="1" applyAlignment="1" applyProtection="1">
      <alignment horizontal="left" vertical="top" wrapText="1"/>
    </xf>
    <xf numFmtId="165" fontId="6" fillId="0" borderId="9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Alignment="1" applyProtection="1"/>
    <xf numFmtId="4" fontId="6" fillId="0" borderId="0" xfId="0" applyNumberFormat="1" applyFont="1" applyFill="1" applyAlignment="1" applyProtection="1">
      <alignment horizontal="right"/>
    </xf>
    <xf numFmtId="0" fontId="5" fillId="0" borderId="0" xfId="0" applyFont="1" applyAlignment="1"/>
    <xf numFmtId="0" fontId="3" fillId="0" borderId="0" xfId="0" applyFont="1" applyAlignment="1">
      <alignment horizontal="left"/>
    </xf>
    <xf numFmtId="0" fontId="8" fillId="0" borderId="1" xfId="0" applyFont="1" applyBorder="1" applyAlignment="1"/>
    <xf numFmtId="0" fontId="5" fillId="0" borderId="7" xfId="0" applyFont="1" applyBorder="1" applyAlignment="1">
      <alignment horizontal="center"/>
    </xf>
    <xf numFmtId="0" fontId="5" fillId="0" borderId="0" xfId="0" applyFont="1" applyBorder="1" applyAlignment="1"/>
    <xf numFmtId="38" fontId="6" fillId="0" borderId="12" xfId="0" applyNumberFormat="1" applyFont="1" applyFill="1" applyBorder="1" applyAlignment="1" applyProtection="1">
      <alignment horizontal="left" wrapText="1"/>
    </xf>
    <xf numFmtId="38" fontId="6" fillId="0" borderId="8" xfId="0" applyNumberFormat="1" applyFont="1" applyFill="1" applyBorder="1" applyAlignment="1" applyProtection="1">
      <alignment horizontal="left" wrapText="1"/>
    </xf>
    <xf numFmtId="164" fontId="6" fillId="0" borderId="0" xfId="0" applyNumberFormat="1" applyFont="1" applyFill="1" applyAlignment="1" applyProtection="1">
      <alignment horizontal="right"/>
    </xf>
    <xf numFmtId="0" fontId="8" fillId="0" borderId="6" xfId="0" applyFont="1" applyBorder="1"/>
    <xf numFmtId="0" fontId="5" fillId="0" borderId="9" xfId="0" applyFont="1" applyBorder="1" applyAlignment="1">
      <alignment horizontal="center"/>
    </xf>
    <xf numFmtId="38" fontId="6" fillId="0" borderId="4" xfId="0" applyNumberFormat="1" applyFont="1" applyFill="1" applyBorder="1" applyAlignment="1" applyProtection="1">
      <alignment horizontal="left" wrapText="1"/>
    </xf>
    <xf numFmtId="38" fontId="6" fillId="0" borderId="5" xfId="0" applyNumberFormat="1" applyFont="1" applyFill="1" applyBorder="1" applyAlignment="1" applyProtection="1">
      <alignment horizontal="left" wrapText="1"/>
    </xf>
    <xf numFmtId="0" fontId="3" fillId="0" borderId="6" xfId="0" applyFont="1" applyBorder="1"/>
    <xf numFmtId="0" fontId="5" fillId="0" borderId="8" xfId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1" applyFont="1" applyBorder="1" applyAlignment="1">
      <alignment horizontal="center" vertical="top"/>
    </xf>
    <xf numFmtId="164" fontId="6" fillId="0" borderId="10" xfId="1" applyNumberFormat="1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11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164" fontId="6" fillId="0" borderId="10" xfId="0" applyNumberFormat="1" applyFont="1" applyFill="1" applyBorder="1" applyAlignment="1" applyProtection="1">
      <alignment horizontal="center" vertical="justify"/>
    </xf>
    <xf numFmtId="165" fontId="6" fillId="0" borderId="4" xfId="0" applyNumberFormat="1" applyFont="1" applyBorder="1" applyAlignment="1">
      <alignment horizontal="center" vertical="top"/>
    </xf>
    <xf numFmtId="165" fontId="6" fillId="0" borderId="6" xfId="0" applyNumberFormat="1" applyFont="1" applyFill="1" applyBorder="1" applyAlignment="1" applyProtection="1">
      <alignment horizontal="center" vertical="top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Fill="1" applyBorder="1" applyAlignment="1" applyProtection="1">
      <alignment horizontal="center" vertical="justify"/>
    </xf>
    <xf numFmtId="164" fontId="6" fillId="0" borderId="0" xfId="0" applyNumberFormat="1" applyFont="1" applyFill="1" applyAlignment="1" applyProtection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65" fontId="6" fillId="0" borderId="4" xfId="0" applyNumberFormat="1" applyFont="1" applyFill="1" applyBorder="1" applyAlignment="1" applyProtection="1">
      <alignment horizontal="center" vertical="top"/>
    </xf>
    <xf numFmtId="165" fontId="6" fillId="0" borderId="5" xfId="0" applyNumberFormat="1" applyFont="1" applyFill="1" applyBorder="1" applyAlignment="1" applyProtection="1">
      <alignment horizontal="center" vertical="top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left"/>
    </xf>
    <xf numFmtId="164" fontId="6" fillId="0" borderId="2" xfId="1" applyNumberFormat="1" applyFont="1" applyBorder="1"/>
    <xf numFmtId="0" fontId="6" fillId="0" borderId="2" xfId="0" applyFont="1" applyBorder="1"/>
    <xf numFmtId="0" fontId="3" fillId="0" borderId="5" xfId="1" applyFont="1" applyBorder="1" applyAlignment="1">
      <alignment horizontal="left"/>
    </xf>
    <xf numFmtId="164" fontId="6" fillId="0" borderId="0" xfId="1" applyNumberFormat="1" applyFont="1" applyBorder="1"/>
    <xf numFmtId="0" fontId="6" fillId="0" borderId="0" xfId="0" applyFont="1" applyBorder="1"/>
    <xf numFmtId="0" fontId="3" fillId="0" borderId="5" xfId="0" applyFont="1" applyBorder="1" applyAlignment="1">
      <alignment horizontal="left"/>
    </xf>
    <xf numFmtId="164" fontId="6" fillId="0" borderId="0" xfId="1" applyNumberFormat="1" applyFont="1" applyFill="1" applyBorder="1"/>
    <xf numFmtId="164" fontId="6" fillId="0" borderId="0" xfId="0" applyNumberFormat="1" applyFont="1" applyBorder="1"/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left" vertical="top" wrapText="1" indent="1"/>
    </xf>
    <xf numFmtId="0" fontId="6" fillId="0" borderId="5" xfId="0" applyNumberFormat="1" applyFont="1" applyFill="1" applyBorder="1" applyAlignment="1" applyProtection="1">
      <alignment horizontal="left" vertical="top" wrapText="1" indent="1"/>
    </xf>
    <xf numFmtId="165" fontId="3" fillId="0" borderId="0" xfId="0" applyNumberFormat="1" applyFont="1" applyFill="1" applyBorder="1" applyAlignment="1" applyProtection="1">
      <alignment horizontal="center" vertical="top"/>
    </xf>
    <xf numFmtId="165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/>
    <xf numFmtId="0" fontId="3" fillId="0" borderId="6" xfId="0" applyFont="1" applyBorder="1" applyAlignment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1" justifyLastLine="0" shrinkToFit="0" readingOrder="0"/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</dxf>
    <dxf>
      <font>
        <b val="0"/>
        <strike val="0"/>
        <outline val="0"/>
        <shadow val="0"/>
        <u val="none"/>
        <vertAlign val="baseline"/>
        <sz val="9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Arial"/>
        <scheme val="none"/>
      </font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9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\ _l_e_i;[Red]\-#,##0\ _l_e_i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0"/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64" formatCode="0.0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64" formatCode="0.0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64" formatCode="0.0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64" formatCode="0.0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64" formatCode="0.0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64" formatCode="0.0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64" formatCode="0.0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64" formatCode="0.0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64" formatCode="0.0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64" formatCode="0.0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64" formatCode="0.0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164" formatCode="0.0"/>
      <alignment horizontal="center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1834308329E-2"/>
          <c:y val="7.0749054673250586E-2"/>
          <c:w val="0.93883343365230676"/>
          <c:h val="0.72129044886338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1'!$B$18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41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1'!$B$19:$B$24</c:f>
              <c:numCache>
                <c:formatCode>0.0</c:formatCode>
                <c:ptCount val="6"/>
                <c:pt idx="0">
                  <c:v>116.8</c:v>
                </c:pt>
                <c:pt idx="1">
                  <c:v>139.5</c:v>
                </c:pt>
                <c:pt idx="2">
                  <c:v>220.3</c:v>
                </c:pt>
                <c:pt idx="3" formatCode="General">
                  <c:v>234.3</c:v>
                </c:pt>
                <c:pt idx="4">
                  <c:v>219.5</c:v>
                </c:pt>
                <c:pt idx="5">
                  <c:v>198.6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0-4AA7-9226-374D1498C729}"/>
            </c:ext>
          </c:extLst>
        </c:ser>
        <c:ser>
          <c:idx val="1"/>
          <c:order val="1"/>
          <c:tx>
            <c:strRef>
              <c:f>'Figura 1'!$C$18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52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1'!$C$19:$C$24</c:f>
              <c:numCache>
                <c:formatCode>0.0</c:formatCode>
                <c:ptCount val="6"/>
                <c:pt idx="0">
                  <c:v>138.5</c:v>
                </c:pt>
                <c:pt idx="1">
                  <c:v>176.6</c:v>
                </c:pt>
                <c:pt idx="2">
                  <c:v>215.5</c:v>
                </c:pt>
                <c:pt idx="3" formatCode="General">
                  <c:v>241.4</c:v>
                </c:pt>
                <c:pt idx="4">
                  <c:v>245.3</c:v>
                </c:pt>
                <c:pt idx="5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20-4AA7-9226-374D1498C729}"/>
            </c:ext>
          </c:extLst>
        </c:ser>
        <c:ser>
          <c:idx val="2"/>
          <c:order val="2"/>
          <c:tx>
            <c:strRef>
              <c:f>'Figura 1'!$D$18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63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1'!$D$19:$D$24</c:f>
              <c:numCache>
                <c:formatCode>0.0</c:formatCode>
                <c:ptCount val="6"/>
                <c:pt idx="0">
                  <c:v>161.30000000000001</c:v>
                </c:pt>
                <c:pt idx="1">
                  <c:v>212.1</c:v>
                </c:pt>
                <c:pt idx="2">
                  <c:v>242.1</c:v>
                </c:pt>
                <c:pt idx="3" formatCode="General">
                  <c:v>257.2</c:v>
                </c:pt>
                <c:pt idx="4">
                  <c:v>210.2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0-4AA7-9226-374D1498C729}"/>
            </c:ext>
          </c:extLst>
        </c:ser>
        <c:ser>
          <c:idx val="3"/>
          <c:order val="3"/>
          <c:tx>
            <c:strRef>
              <c:f>'Figura 1'!$E$18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74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1'!$E$19:$E$24</c:f>
              <c:numCache>
                <c:formatCode>0.0</c:formatCode>
                <c:ptCount val="6"/>
                <c:pt idx="0">
                  <c:v>178.5</c:v>
                </c:pt>
                <c:pt idx="1">
                  <c:v>154.19999999999999</c:v>
                </c:pt>
                <c:pt idx="2">
                  <c:v>199.7</c:v>
                </c:pt>
                <c:pt idx="3" formatCode="General">
                  <c:v>215.6</c:v>
                </c:pt>
                <c:pt idx="4">
                  <c:v>149.9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0-4AA7-9226-374D1498C729}"/>
            </c:ext>
          </c:extLst>
        </c:ser>
        <c:ser>
          <c:idx val="4"/>
          <c:order val="4"/>
          <c:tx>
            <c:strRef>
              <c:f>'Figura 1'!$F$18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84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1'!$F$19:$F$24</c:f>
              <c:numCache>
                <c:formatCode>0.0</c:formatCode>
                <c:ptCount val="6"/>
                <c:pt idx="0">
                  <c:v>153</c:v>
                </c:pt>
                <c:pt idx="1">
                  <c:v>174.7</c:v>
                </c:pt>
                <c:pt idx="2" formatCode="#\ ##0.0">
                  <c:v>223</c:v>
                </c:pt>
                <c:pt idx="3">
                  <c:v>210.5</c:v>
                </c:pt>
                <c:pt idx="4">
                  <c:v>155.69999999999999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0-4AA7-9226-374D1498C729}"/>
            </c:ext>
          </c:extLst>
        </c:ser>
        <c:ser>
          <c:idx val="5"/>
          <c:order val="5"/>
          <c:tx>
            <c:strRef>
              <c:f>'Figura 1'!$G$18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tint val="9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1'!$G$19:$G$24</c:f>
              <c:numCache>
                <c:formatCode>0.0</c:formatCode>
                <c:ptCount val="6"/>
                <c:pt idx="0">
                  <c:v>157.4</c:v>
                </c:pt>
                <c:pt idx="1">
                  <c:v>171.1</c:v>
                </c:pt>
                <c:pt idx="2" formatCode="#\ ##0.0">
                  <c:v>214.1</c:v>
                </c:pt>
                <c:pt idx="3">
                  <c:v>202.2</c:v>
                </c:pt>
                <c:pt idx="4">
                  <c:v>189.6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20-4AA7-9226-374D1498C729}"/>
            </c:ext>
          </c:extLst>
        </c:ser>
        <c:ser>
          <c:idx val="6"/>
          <c:order val="6"/>
          <c:tx>
            <c:strRef>
              <c:f>'Figura 1'!$H$18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4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1'!$H$19:$H$24</c:f>
              <c:numCache>
                <c:formatCode>0.0</c:formatCode>
                <c:ptCount val="6"/>
                <c:pt idx="0">
                  <c:v>165.6</c:v>
                </c:pt>
                <c:pt idx="1">
                  <c:v>191.6</c:v>
                </c:pt>
                <c:pt idx="2" formatCode="#\ ##0.0">
                  <c:v>218.8</c:v>
                </c:pt>
                <c:pt idx="3">
                  <c:v>220.2</c:v>
                </c:pt>
                <c:pt idx="4">
                  <c:v>209.1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20-4AA7-9226-374D1498C729}"/>
            </c:ext>
          </c:extLst>
        </c:ser>
        <c:ser>
          <c:idx val="7"/>
          <c:order val="7"/>
          <c:tx>
            <c:strRef>
              <c:f>'Figura 1'!$I$18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1'!$I$19:$I$24</c:f>
              <c:numCache>
                <c:formatCode>0.0</c:formatCode>
                <c:ptCount val="6"/>
                <c:pt idx="0">
                  <c:v>168</c:v>
                </c:pt>
                <c:pt idx="1">
                  <c:v>207.9</c:v>
                </c:pt>
                <c:pt idx="2" formatCode="#\ ##0.0">
                  <c:v>218.6</c:v>
                </c:pt>
                <c:pt idx="3">
                  <c:v>205.8</c:v>
                </c:pt>
                <c:pt idx="4">
                  <c:v>163.9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20-4AA7-9226-374D1498C729}"/>
            </c:ext>
          </c:extLst>
        </c:ser>
        <c:ser>
          <c:idx val="8"/>
          <c:order val="8"/>
          <c:tx>
            <c:strRef>
              <c:f>'Figura 1'!$J$18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3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1'!$J$19:$J$24</c:f>
              <c:numCache>
                <c:formatCode>0.0</c:formatCode>
                <c:ptCount val="6"/>
                <c:pt idx="0">
                  <c:v>193.6</c:v>
                </c:pt>
                <c:pt idx="1">
                  <c:v>223.9</c:v>
                </c:pt>
                <c:pt idx="2" formatCode="#\ ##0.0">
                  <c:v>207.3</c:v>
                </c:pt>
                <c:pt idx="3">
                  <c:v>238.8</c:v>
                </c:pt>
                <c:pt idx="4">
                  <c:v>212.3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20-4AA7-9226-374D1498C729}"/>
            </c:ext>
          </c:extLst>
        </c:ser>
        <c:ser>
          <c:idx val="9"/>
          <c:order val="9"/>
          <c:tx>
            <c:strRef>
              <c:f>'Figura 1'!$K$18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2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1'!$K$19:$K$24</c:f>
              <c:numCache>
                <c:formatCode>0.0</c:formatCode>
                <c:ptCount val="6"/>
                <c:pt idx="0">
                  <c:v>200.8</c:v>
                </c:pt>
                <c:pt idx="1">
                  <c:v>268.2</c:v>
                </c:pt>
                <c:pt idx="2" formatCode="#\ ##0.0">
                  <c:v>259</c:v>
                </c:pt>
                <c:pt idx="3">
                  <c:v>268.3</c:v>
                </c:pt>
                <c:pt idx="4">
                  <c:v>249.4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20-4AA7-9226-374D1498C729}"/>
            </c:ext>
          </c:extLst>
        </c:ser>
        <c:ser>
          <c:idx val="10"/>
          <c:order val="10"/>
          <c:tx>
            <c:strRef>
              <c:f>'Figura 1'!$L$18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1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1'!$L$19:$L$24</c:f>
              <c:numCache>
                <c:formatCode>0.0</c:formatCode>
                <c:ptCount val="6"/>
                <c:pt idx="0">
                  <c:v>217.6</c:v>
                </c:pt>
                <c:pt idx="1">
                  <c:v>272.10000000000002</c:v>
                </c:pt>
                <c:pt idx="2" formatCode="#\ ##0.0">
                  <c:v>268.89999999999998</c:v>
                </c:pt>
                <c:pt idx="3">
                  <c:v>266.60000000000002</c:v>
                </c:pt>
                <c:pt idx="4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20-4AA7-9226-374D1498C729}"/>
            </c:ext>
          </c:extLst>
        </c:ser>
        <c:ser>
          <c:idx val="11"/>
          <c:order val="11"/>
          <c:tx>
            <c:strRef>
              <c:f>'Figura 1'!$M$18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1'!$M$19:$M$24</c:f>
              <c:numCache>
                <c:formatCode>0.0</c:formatCode>
                <c:ptCount val="6"/>
                <c:pt idx="0">
                  <c:v>193.5</c:v>
                </c:pt>
                <c:pt idx="1">
                  <c:v>233.1</c:v>
                </c:pt>
                <c:pt idx="2" formatCode="#\ ##0.0">
                  <c:v>218.8</c:v>
                </c:pt>
                <c:pt idx="3">
                  <c:v>218.3</c:v>
                </c:pt>
                <c:pt idx="4">
                  <c:v>218.3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20-4AA7-9226-374D1498C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51122992"/>
        <c:axId val="351129152"/>
      </c:barChart>
      <c:catAx>
        <c:axId val="35112299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1129152"/>
        <c:crosses val="autoZero"/>
        <c:auto val="0"/>
        <c:lblAlgn val="ctr"/>
        <c:lblOffset val="100"/>
        <c:tickLblSkip val="1"/>
        <c:noMultiLvlLbl val="0"/>
      </c:catAx>
      <c:valAx>
        <c:axId val="351129152"/>
        <c:scaling>
          <c:orientation val="minMax"/>
          <c:max val="280"/>
          <c:min val="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1122992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legendEntry>
        <c:idx val="6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87529457341817518"/>
          <c:w val="0.99923547174158089"/>
          <c:h val="0.124705426581824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600" b="1" i="0" baseline="0"/>
              <a:t>Structura importurilor de mărfuri, după modul de transport, %</a:t>
            </a:r>
            <a:endParaRPr lang="ru-RU" sz="1600" b="1" i="0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[9]STRUCTURA_IMP_Moduri_transport!$B$22</c:f>
              <c:strCache>
                <c:ptCount val="1"/>
                <c:pt idx="0">
                  <c:v>Ianuarie - februarie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[9]STRUCTURA_IMP_Moduri_transport!$A$23:$A$29</c:f>
              <c:strCache>
                <c:ptCount val="7"/>
                <c:pt idx="0">
                  <c:v>Maritim</c:v>
                </c:pt>
                <c:pt idx="1">
                  <c:v>Feroviar</c:v>
                </c:pt>
                <c:pt idx="2">
                  <c:v>Rutier</c:v>
                </c:pt>
                <c:pt idx="3">
                  <c:v>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[9]STRUCTURA_IMP_Moduri_transport!$B$23:$B$29</c:f>
              <c:numCache>
                <c:formatCode>General</c:formatCode>
                <c:ptCount val="7"/>
                <c:pt idx="0">
                  <c:v>2.0344492510369956</c:v>
                </c:pt>
                <c:pt idx="1">
                  <c:v>5.0796143683719226</c:v>
                </c:pt>
                <c:pt idx="2">
                  <c:v>84.645141099869321</c:v>
                </c:pt>
                <c:pt idx="3">
                  <c:v>2.2727035690407944</c:v>
                </c:pt>
                <c:pt idx="4">
                  <c:v>0.15738445346413371</c:v>
                </c:pt>
                <c:pt idx="5">
                  <c:v>5.327923577099777</c:v>
                </c:pt>
                <c:pt idx="6">
                  <c:v>0.48278368111706438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F-46FF-8141-1A4338FECF48}"/>
            </c:ext>
          </c:extLst>
        </c:ser>
        <c:ser>
          <c:idx val="1"/>
          <c:order val="1"/>
          <c:tx>
            <c:strRef>
              <c:f>[9]STRUCTURA_IMP_Moduri_transport!$C$22</c:f>
              <c:strCache>
                <c:ptCount val="1"/>
                <c:pt idx="0">
                  <c:v>Ianuarie - februarie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[9]STRUCTURA_IMP_Moduri_transport!$A$23:$A$29</c:f>
              <c:strCache>
                <c:ptCount val="7"/>
                <c:pt idx="0">
                  <c:v>Maritim</c:v>
                </c:pt>
                <c:pt idx="1">
                  <c:v>Feroviar</c:v>
                </c:pt>
                <c:pt idx="2">
                  <c:v>Rutier</c:v>
                </c:pt>
                <c:pt idx="3">
                  <c:v>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[9]STRUCTURA_IMP_Moduri_transport!$C$23:$C$29</c:f>
              <c:numCache>
                <c:formatCode>General</c:formatCode>
                <c:ptCount val="7"/>
                <c:pt idx="0">
                  <c:v>1.626226881898565</c:v>
                </c:pt>
                <c:pt idx="1">
                  <c:v>5.0417795820412321</c:v>
                </c:pt>
                <c:pt idx="2">
                  <c:v>82.843654070295983</c:v>
                </c:pt>
                <c:pt idx="3">
                  <c:v>2.3787747025080885</c:v>
                </c:pt>
                <c:pt idx="4">
                  <c:v>0.16213311100700134</c:v>
                </c:pt>
                <c:pt idx="5">
                  <c:v>7.4212926654203786</c:v>
                </c:pt>
                <c:pt idx="6">
                  <c:v>0.52613898682875226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F-46FF-8141-1A4338FECF48}"/>
            </c:ext>
          </c:extLst>
        </c:ser>
        <c:ser>
          <c:idx val="2"/>
          <c:order val="2"/>
          <c:tx>
            <c:strRef>
              <c:f>[9]STRUCTURA_IMP_Moduri_transport!$D$22</c:f>
              <c:strCache>
                <c:ptCount val="1"/>
                <c:pt idx="0">
                  <c:v>Ianuarie - februarie 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[9]STRUCTURA_IMP_Moduri_transport!$A$23:$A$29</c:f>
              <c:strCache>
                <c:ptCount val="7"/>
                <c:pt idx="0">
                  <c:v>Maritim</c:v>
                </c:pt>
                <c:pt idx="1">
                  <c:v>Feroviar</c:v>
                </c:pt>
                <c:pt idx="2">
                  <c:v>Rutier</c:v>
                </c:pt>
                <c:pt idx="3">
                  <c:v>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[9]STRUCTURA_IMP_Moduri_transport!$D$23:$D$29</c:f>
              <c:numCache>
                <c:formatCode>General</c:formatCode>
                <c:ptCount val="7"/>
                <c:pt idx="0">
                  <c:v>1.2845905532352007</c:v>
                </c:pt>
                <c:pt idx="1">
                  <c:v>3.3243814408204795</c:v>
                </c:pt>
                <c:pt idx="2">
                  <c:v>80.439636203038745</c:v>
                </c:pt>
                <c:pt idx="3">
                  <c:v>2.8074499504712067</c:v>
                </c:pt>
                <c:pt idx="4">
                  <c:v>0.17364475906050647</c:v>
                </c:pt>
                <c:pt idx="5">
                  <c:v>11.195296596849454</c:v>
                </c:pt>
                <c:pt idx="6">
                  <c:v>0.77500049652440628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3F-46FF-8141-1A4338FECF48}"/>
            </c:ext>
          </c:extLst>
        </c:ser>
        <c:ser>
          <c:idx val="3"/>
          <c:order val="3"/>
          <c:tx>
            <c:strRef>
              <c:f>[9]STRUCTURA_IMP_Moduri_transport!$E$22</c:f>
              <c:strCache>
                <c:ptCount val="1"/>
                <c:pt idx="0">
                  <c:v>Ianuarie - februarie 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[9]STRUCTURA_IMP_Moduri_transport!$A$23:$A$29</c:f>
              <c:strCache>
                <c:ptCount val="7"/>
                <c:pt idx="0">
                  <c:v>Maritim</c:v>
                </c:pt>
                <c:pt idx="1">
                  <c:v>Feroviar</c:v>
                </c:pt>
                <c:pt idx="2">
                  <c:v>Rutier</c:v>
                </c:pt>
                <c:pt idx="3">
                  <c:v>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[9]STRUCTURA_IMP_Moduri_transport!$E$23:$E$29</c:f>
              <c:numCache>
                <c:formatCode>General</c:formatCode>
                <c:ptCount val="7"/>
                <c:pt idx="0">
                  <c:v>2.7467435552874715</c:v>
                </c:pt>
                <c:pt idx="1">
                  <c:v>5.8723707404104992</c:v>
                </c:pt>
                <c:pt idx="2">
                  <c:v>79.052219171040036</c:v>
                </c:pt>
                <c:pt idx="3">
                  <c:v>2.7603742891690599</c:v>
                </c:pt>
                <c:pt idx="4">
                  <c:v>0.28960627654062826</c:v>
                </c:pt>
                <c:pt idx="5">
                  <c:v>8.6654886689980213</c:v>
                </c:pt>
                <c:pt idx="6">
                  <c:v>0.61319729855428096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3F-46FF-8141-1A4338FECF48}"/>
            </c:ext>
          </c:extLst>
        </c:ser>
        <c:ser>
          <c:idx val="4"/>
          <c:order val="4"/>
          <c:tx>
            <c:strRef>
              <c:f>[9]STRUCTURA_IMP_Moduri_transport!$F$22</c:f>
              <c:strCache>
                <c:ptCount val="1"/>
                <c:pt idx="0">
                  <c:v>Ianuarie - februarie 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[9]STRUCTURA_IMP_Moduri_transport!$A$23:$A$29</c:f>
              <c:strCache>
                <c:ptCount val="7"/>
                <c:pt idx="0">
                  <c:v>Maritim</c:v>
                </c:pt>
                <c:pt idx="1">
                  <c:v>Feroviar</c:v>
                </c:pt>
                <c:pt idx="2">
                  <c:v>Rutier</c:v>
                </c:pt>
                <c:pt idx="3">
                  <c:v>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[9]STRUCTURA_IMP_Moduri_transport!$F$23:$F$29</c:f>
              <c:numCache>
                <c:formatCode>General</c:formatCode>
                <c:ptCount val="7"/>
                <c:pt idx="0">
                  <c:v>1.9117153695043354</c:v>
                </c:pt>
                <c:pt idx="1">
                  <c:v>7.0469841894312077</c:v>
                </c:pt>
                <c:pt idx="2">
                  <c:v>78.331701978990267</c:v>
                </c:pt>
                <c:pt idx="3">
                  <c:v>2.8685210593995292</c:v>
                </c:pt>
                <c:pt idx="4">
                  <c:v>0.23813377501017285</c:v>
                </c:pt>
                <c:pt idx="5">
                  <c:v>9.0210341525025868</c:v>
                </c:pt>
                <c:pt idx="6">
                  <c:v>0.58190947516191116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3F-46FF-8141-1A4338FECF48}"/>
            </c:ext>
          </c:extLst>
        </c:ser>
        <c:ser>
          <c:idx val="5"/>
          <c:order val="5"/>
          <c:tx>
            <c:strRef>
              <c:f>[9]STRUCTURA_IMP_Moduri_transport!$G$22</c:f>
              <c:strCache>
                <c:ptCount val="1"/>
                <c:pt idx="0">
                  <c:v>Ianuarie - februarie 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[9]STRUCTURA_IMP_Moduri_transport!$A$23:$A$29</c:f>
              <c:strCache>
                <c:ptCount val="7"/>
                <c:pt idx="0">
                  <c:v>Maritim</c:v>
                </c:pt>
                <c:pt idx="1">
                  <c:v>Feroviar</c:v>
                </c:pt>
                <c:pt idx="2">
                  <c:v>Rutier</c:v>
                </c:pt>
                <c:pt idx="3">
                  <c:v>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[9]STRUCTURA_IMP_Moduri_transport!$G$23:$G$29</c:f>
              <c:numCache>
                <c:formatCode>General</c:formatCode>
                <c:ptCount val="7"/>
                <c:pt idx="0">
                  <c:v>0.79175433660026229</c:v>
                </c:pt>
                <c:pt idx="1">
                  <c:v>6.035639873973099</c:v>
                </c:pt>
                <c:pt idx="2">
                  <c:v>75.649219535369255</c:v>
                </c:pt>
                <c:pt idx="3">
                  <c:v>1.7726750421070814</c:v>
                </c:pt>
                <c:pt idx="4">
                  <c:v>0.90328905169652118</c:v>
                </c:pt>
                <c:pt idx="5">
                  <c:v>14.408243046357569</c:v>
                </c:pt>
                <c:pt idx="6">
                  <c:v>0.43917911389621189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3F-46FF-8141-1A4338FEC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812864"/>
        <c:axId val="99813424"/>
      </c:barChart>
      <c:catAx>
        <c:axId val="99812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13424"/>
        <c:crosses val="autoZero"/>
        <c:auto val="1"/>
        <c:lblAlgn val="ctr"/>
        <c:lblOffset val="100"/>
        <c:noMultiLvlLbl val="0"/>
      </c:catAx>
      <c:valAx>
        <c:axId val="99813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1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69299292133938"/>
          <c:y val="0.91036617056032609"/>
          <c:w val="0.80876216230546938"/>
          <c:h val="8.0994522543375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59464441944757"/>
          <c:y val="0"/>
          <c:w val="0.79711239634868647"/>
          <c:h val="0.779986804928072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[9]STRUCTURA_IMP_Moduri_transport!$B$22</c:f>
              <c:strCache>
                <c:ptCount val="1"/>
                <c:pt idx="0">
                  <c:v>Ianuarie - februarie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[9]STRUCTURA_IMP_Moduri_transport!$A$23:$A$29</c:f>
              <c:strCache>
                <c:ptCount val="7"/>
                <c:pt idx="0">
                  <c:v>Maritim</c:v>
                </c:pt>
                <c:pt idx="1">
                  <c:v>Feroviar</c:v>
                </c:pt>
                <c:pt idx="2">
                  <c:v>Rutier</c:v>
                </c:pt>
                <c:pt idx="3">
                  <c:v>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[9]STRUCTURA_IMP_Moduri_transport!$B$23:$B$29</c:f>
              <c:numCache>
                <c:formatCode>General</c:formatCode>
                <c:ptCount val="7"/>
                <c:pt idx="0">
                  <c:v>2.0344492510369956</c:v>
                </c:pt>
                <c:pt idx="1">
                  <c:v>5.0796143683719226</c:v>
                </c:pt>
                <c:pt idx="2">
                  <c:v>84.645141099869321</c:v>
                </c:pt>
                <c:pt idx="3">
                  <c:v>2.2727035690407944</c:v>
                </c:pt>
                <c:pt idx="4">
                  <c:v>0.15738445346413371</c:v>
                </c:pt>
                <c:pt idx="5">
                  <c:v>5.327923577099777</c:v>
                </c:pt>
                <c:pt idx="6">
                  <c:v>0.48278368111706438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4-4901-8F26-F774DF753091}"/>
            </c:ext>
          </c:extLst>
        </c:ser>
        <c:ser>
          <c:idx val="1"/>
          <c:order val="1"/>
          <c:tx>
            <c:strRef>
              <c:f>[9]STRUCTURA_IMP_Moduri_transport!$C$22</c:f>
              <c:strCache>
                <c:ptCount val="1"/>
                <c:pt idx="0">
                  <c:v>Ianuarie - februarie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[9]STRUCTURA_IMP_Moduri_transport!$A$23:$A$29</c:f>
              <c:strCache>
                <c:ptCount val="7"/>
                <c:pt idx="0">
                  <c:v>Maritim</c:v>
                </c:pt>
                <c:pt idx="1">
                  <c:v>Feroviar</c:v>
                </c:pt>
                <c:pt idx="2">
                  <c:v>Rutier</c:v>
                </c:pt>
                <c:pt idx="3">
                  <c:v>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[9]STRUCTURA_IMP_Moduri_transport!$C$23:$C$29</c:f>
              <c:numCache>
                <c:formatCode>General</c:formatCode>
                <c:ptCount val="7"/>
                <c:pt idx="0">
                  <c:v>1.626226881898565</c:v>
                </c:pt>
                <c:pt idx="1">
                  <c:v>5.0417795820412321</c:v>
                </c:pt>
                <c:pt idx="2">
                  <c:v>82.843654070295983</c:v>
                </c:pt>
                <c:pt idx="3">
                  <c:v>2.3787747025080885</c:v>
                </c:pt>
                <c:pt idx="4">
                  <c:v>0.16213311100700134</c:v>
                </c:pt>
                <c:pt idx="5">
                  <c:v>7.4212926654203786</c:v>
                </c:pt>
                <c:pt idx="6">
                  <c:v>0.52613898682875226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4-4901-8F26-F774DF753091}"/>
            </c:ext>
          </c:extLst>
        </c:ser>
        <c:ser>
          <c:idx val="2"/>
          <c:order val="2"/>
          <c:tx>
            <c:strRef>
              <c:f>[9]STRUCTURA_IMP_Moduri_transport!$D$22</c:f>
              <c:strCache>
                <c:ptCount val="1"/>
                <c:pt idx="0">
                  <c:v>Ianuarie - februarie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[9]STRUCTURA_IMP_Moduri_transport!$A$23:$A$29</c:f>
              <c:strCache>
                <c:ptCount val="7"/>
                <c:pt idx="0">
                  <c:v>Maritim</c:v>
                </c:pt>
                <c:pt idx="1">
                  <c:v>Feroviar</c:v>
                </c:pt>
                <c:pt idx="2">
                  <c:v>Rutier</c:v>
                </c:pt>
                <c:pt idx="3">
                  <c:v>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[9]STRUCTURA_IMP_Moduri_transport!$D$23:$D$29</c:f>
              <c:numCache>
                <c:formatCode>General</c:formatCode>
                <c:ptCount val="7"/>
                <c:pt idx="0">
                  <c:v>1.2845905532352007</c:v>
                </c:pt>
                <c:pt idx="1">
                  <c:v>3.3243814408204795</c:v>
                </c:pt>
                <c:pt idx="2">
                  <c:v>80.439636203038745</c:v>
                </c:pt>
                <c:pt idx="3">
                  <c:v>2.8074499504712067</c:v>
                </c:pt>
                <c:pt idx="4">
                  <c:v>0.17364475906050647</c:v>
                </c:pt>
                <c:pt idx="5">
                  <c:v>11.195296596849454</c:v>
                </c:pt>
                <c:pt idx="6">
                  <c:v>0.77500049652440628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4-4901-8F26-F774DF753091}"/>
            </c:ext>
          </c:extLst>
        </c:ser>
        <c:ser>
          <c:idx val="3"/>
          <c:order val="3"/>
          <c:tx>
            <c:strRef>
              <c:f>[9]STRUCTURA_IMP_Moduri_transport!$E$22</c:f>
              <c:strCache>
                <c:ptCount val="1"/>
                <c:pt idx="0">
                  <c:v>Ianuarie - februarie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[9]STRUCTURA_IMP_Moduri_transport!$A$23:$A$29</c:f>
              <c:strCache>
                <c:ptCount val="7"/>
                <c:pt idx="0">
                  <c:v>Maritim</c:v>
                </c:pt>
                <c:pt idx="1">
                  <c:v>Feroviar</c:v>
                </c:pt>
                <c:pt idx="2">
                  <c:v>Rutier</c:v>
                </c:pt>
                <c:pt idx="3">
                  <c:v>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[9]STRUCTURA_IMP_Moduri_transport!$E$23:$E$29</c:f>
              <c:numCache>
                <c:formatCode>General</c:formatCode>
                <c:ptCount val="7"/>
                <c:pt idx="0">
                  <c:v>2.7467435552874715</c:v>
                </c:pt>
                <c:pt idx="1">
                  <c:v>5.8723707404104992</c:v>
                </c:pt>
                <c:pt idx="2">
                  <c:v>79.052219171040036</c:v>
                </c:pt>
                <c:pt idx="3">
                  <c:v>2.7603742891690599</c:v>
                </c:pt>
                <c:pt idx="4">
                  <c:v>0.28960627654062826</c:v>
                </c:pt>
                <c:pt idx="5">
                  <c:v>8.6654886689980213</c:v>
                </c:pt>
                <c:pt idx="6">
                  <c:v>0.61319729855428096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54-4901-8F26-F774DF753091}"/>
            </c:ext>
          </c:extLst>
        </c:ser>
        <c:ser>
          <c:idx val="4"/>
          <c:order val="4"/>
          <c:tx>
            <c:strRef>
              <c:f>[9]STRUCTURA_IMP_Moduri_transport!$F$22</c:f>
              <c:strCache>
                <c:ptCount val="1"/>
                <c:pt idx="0">
                  <c:v>Ianuarie - februarie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[9]STRUCTURA_IMP_Moduri_transport!$A$23:$A$29</c:f>
              <c:strCache>
                <c:ptCount val="7"/>
                <c:pt idx="0">
                  <c:v>Maritim</c:v>
                </c:pt>
                <c:pt idx="1">
                  <c:v>Feroviar</c:v>
                </c:pt>
                <c:pt idx="2">
                  <c:v>Rutier</c:v>
                </c:pt>
                <c:pt idx="3">
                  <c:v>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[9]STRUCTURA_IMP_Moduri_transport!$F$23:$F$29</c:f>
              <c:numCache>
                <c:formatCode>General</c:formatCode>
                <c:ptCount val="7"/>
                <c:pt idx="0">
                  <c:v>1.9117153695043354</c:v>
                </c:pt>
                <c:pt idx="1">
                  <c:v>7.0469841894312077</c:v>
                </c:pt>
                <c:pt idx="2">
                  <c:v>78.331701978990267</c:v>
                </c:pt>
                <c:pt idx="3">
                  <c:v>2.8685210593995292</c:v>
                </c:pt>
                <c:pt idx="4">
                  <c:v>0.23813377501017285</c:v>
                </c:pt>
                <c:pt idx="5">
                  <c:v>9.0210341525025868</c:v>
                </c:pt>
                <c:pt idx="6">
                  <c:v>0.58190947516191116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4-4901-8F26-F774DF753091}"/>
            </c:ext>
          </c:extLst>
        </c:ser>
        <c:ser>
          <c:idx val="5"/>
          <c:order val="5"/>
          <c:tx>
            <c:strRef>
              <c:f>[9]STRUCTURA_IMP_Moduri_transport!$G$22</c:f>
              <c:strCache>
                <c:ptCount val="1"/>
                <c:pt idx="0">
                  <c:v>Ianuarie - februarie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[9]STRUCTURA_IMP_Moduri_transport!$A$23:$A$29</c:f>
              <c:strCache>
                <c:ptCount val="7"/>
                <c:pt idx="0">
                  <c:v>Maritim</c:v>
                </c:pt>
                <c:pt idx="1">
                  <c:v>Feroviar</c:v>
                </c:pt>
                <c:pt idx="2">
                  <c:v>Rutier</c:v>
                </c:pt>
                <c:pt idx="3">
                  <c:v>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[9]STRUCTURA_IMP_Moduri_transport!$G$23:$G$29</c:f>
              <c:numCache>
                <c:formatCode>General</c:formatCode>
                <c:ptCount val="7"/>
                <c:pt idx="0">
                  <c:v>0.79175433660026229</c:v>
                </c:pt>
                <c:pt idx="1">
                  <c:v>6.035639873973099</c:v>
                </c:pt>
                <c:pt idx="2">
                  <c:v>75.649219535369255</c:v>
                </c:pt>
                <c:pt idx="3">
                  <c:v>1.7726750421070814</c:v>
                </c:pt>
                <c:pt idx="4">
                  <c:v>0.90328905169652118</c:v>
                </c:pt>
                <c:pt idx="5">
                  <c:v>14.408243046357569</c:v>
                </c:pt>
                <c:pt idx="6">
                  <c:v>0.43917911389621189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54-4901-8F26-F774DF75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1230656"/>
        <c:axId val="421231216"/>
      </c:barChart>
      <c:catAx>
        <c:axId val="421230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231216"/>
        <c:crossesAt val="0"/>
        <c:auto val="1"/>
        <c:lblAlgn val="ctr"/>
        <c:lblOffset val="100"/>
        <c:noMultiLvlLbl val="0"/>
      </c:catAx>
      <c:valAx>
        <c:axId val="42123121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230656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82115980522354"/>
          <c:y val="0.89395436226209424"/>
          <c:w val="0.84362058328366329"/>
          <c:h val="0.106045350888515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9977473288278E-2"/>
          <c:y val="7.2958463835143289E-2"/>
          <c:w val="0.93986930373860744"/>
          <c:h val="0.682121593536867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[10]STRUCTURA_IMP_Grupe_tari!$A$20</c:f>
              <c:strCache>
                <c:ptCount val="1"/>
                <c:pt idx="0">
                  <c:v>Ţările Uniunii Europene - total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[10]STRUCTURA_IMP_Grupe_tari!$B$19:$G$19</c:f>
              <c:strCache>
                <c:ptCount val="6"/>
                <c:pt idx="0">
                  <c:v>Ianuarie -            februarie 2016</c:v>
                </c:pt>
                <c:pt idx="1">
                  <c:v>Ianuarie -     februarie 2017</c:v>
                </c:pt>
                <c:pt idx="2">
                  <c:v>Ianuarie -     februarie 2018</c:v>
                </c:pt>
                <c:pt idx="3">
                  <c:v>Ianuarie -     februarie 2019</c:v>
                </c:pt>
                <c:pt idx="4">
                  <c:v>Ianuarie -     februarie 2020</c:v>
                </c:pt>
                <c:pt idx="5">
                  <c:v>Ianuarie -     februarie 2021</c:v>
                </c:pt>
              </c:strCache>
            </c:strRef>
          </c:cat>
          <c:val>
            <c:numRef>
              <c:f>[10]STRUCTURA_IMP_Grupe_tari!$B$20:$G$20</c:f>
              <c:numCache>
                <c:formatCode>General</c:formatCode>
                <c:ptCount val="6"/>
                <c:pt idx="0">
                  <c:v>42.3</c:v>
                </c:pt>
                <c:pt idx="1">
                  <c:v>44.3</c:v>
                </c:pt>
                <c:pt idx="2">
                  <c:v>47.5</c:v>
                </c:pt>
                <c:pt idx="3">
                  <c:v>45.5</c:v>
                </c:pt>
                <c:pt idx="4">
                  <c:v>46.3</c:v>
                </c:pt>
                <c:pt idx="5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350-AC6F-7B3B9B8C79B6}"/>
            </c:ext>
          </c:extLst>
        </c:ser>
        <c:ser>
          <c:idx val="1"/>
          <c:order val="1"/>
          <c:tx>
            <c:strRef>
              <c:f>[10]STRUCTURA_IMP_Grupe_tari!$A$21</c:f>
              <c:strCache>
                <c:ptCount val="1"/>
                <c:pt idx="0">
                  <c:v>Ţările CSI -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[10]STRUCTURA_IMP_Grupe_tari!$B$19:$G$19</c:f>
              <c:strCache>
                <c:ptCount val="6"/>
                <c:pt idx="0">
                  <c:v>Ianuarie -            februarie 2016</c:v>
                </c:pt>
                <c:pt idx="1">
                  <c:v>Ianuarie -     februarie 2017</c:v>
                </c:pt>
                <c:pt idx="2">
                  <c:v>Ianuarie -     februarie 2018</c:v>
                </c:pt>
                <c:pt idx="3">
                  <c:v>Ianuarie -     februarie 2019</c:v>
                </c:pt>
                <c:pt idx="4">
                  <c:v>Ianuarie -     februarie 2020</c:v>
                </c:pt>
                <c:pt idx="5">
                  <c:v>Ianuarie -     februarie 2021</c:v>
                </c:pt>
              </c:strCache>
            </c:strRef>
          </c:cat>
          <c:val>
            <c:numRef>
              <c:f>[10]STRUCTURA_IMP_Grupe_tari!$B$21:$G$21</c:f>
              <c:numCache>
                <c:formatCode>General</c:formatCode>
                <c:ptCount val="6"/>
                <c:pt idx="0">
                  <c:v>31.2</c:v>
                </c:pt>
                <c:pt idx="1">
                  <c:v>27.9</c:v>
                </c:pt>
                <c:pt idx="2">
                  <c:v>24.7</c:v>
                </c:pt>
                <c:pt idx="3">
                  <c:v>27.2</c:v>
                </c:pt>
                <c:pt idx="4">
                  <c:v>25.6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350-AC6F-7B3B9B8C79B6}"/>
            </c:ext>
          </c:extLst>
        </c:ser>
        <c:ser>
          <c:idx val="2"/>
          <c:order val="2"/>
          <c:tx>
            <c:strRef>
              <c:f>[10]STRUCTURA_IMP_Grupe_tari!$A$22</c:f>
              <c:strCache>
                <c:ptCount val="1"/>
                <c:pt idx="0">
                  <c:v>Celelalte ţări ale lumii - 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[10]STRUCTURA_IMP_Grupe_tari!$B$19:$G$19</c:f>
              <c:strCache>
                <c:ptCount val="6"/>
                <c:pt idx="0">
                  <c:v>Ianuarie -            februarie 2016</c:v>
                </c:pt>
                <c:pt idx="1">
                  <c:v>Ianuarie -     februarie 2017</c:v>
                </c:pt>
                <c:pt idx="2">
                  <c:v>Ianuarie -     februarie 2018</c:v>
                </c:pt>
                <c:pt idx="3">
                  <c:v>Ianuarie -     februarie 2019</c:v>
                </c:pt>
                <c:pt idx="4">
                  <c:v>Ianuarie -     februarie 2020</c:v>
                </c:pt>
                <c:pt idx="5">
                  <c:v>Ianuarie -     februarie 2021</c:v>
                </c:pt>
              </c:strCache>
            </c:strRef>
          </c:cat>
          <c:val>
            <c:numRef>
              <c:f>[10]STRUCTURA_IMP_Grupe_tari!$B$22:$G$22</c:f>
              <c:numCache>
                <c:formatCode>General</c:formatCode>
                <c:ptCount val="6"/>
                <c:pt idx="0">
                  <c:v>26.5</c:v>
                </c:pt>
                <c:pt idx="1">
                  <c:v>27.8</c:v>
                </c:pt>
                <c:pt idx="2">
                  <c:v>27.8</c:v>
                </c:pt>
                <c:pt idx="3">
                  <c:v>27.3</c:v>
                </c:pt>
                <c:pt idx="4">
                  <c:v>28.1</c:v>
                </c:pt>
                <c:pt idx="5">
                  <c:v>29.8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350-AC6F-7B3B9B8C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1234576"/>
        <c:axId val="421235136"/>
      </c:barChart>
      <c:catAx>
        <c:axId val="42123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235136"/>
        <c:crosses val="autoZero"/>
        <c:auto val="0"/>
        <c:lblAlgn val="ctr"/>
        <c:lblOffset val="100"/>
        <c:noMultiLvlLbl val="0"/>
      </c:catAx>
      <c:valAx>
        <c:axId val="421235136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234576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5.6060363346600452E-2"/>
          <c:y val="0.91112652585093534"/>
          <c:w val="0.93105796047794498"/>
          <c:h val="8.5815523059617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8505608773423E-2"/>
          <c:y val="3.3602647495150066E-2"/>
          <c:w val="0.92935151016570694"/>
          <c:h val="0.6320369804520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[11]STRUCTURA_IMPORT_Tari!$B$23</c:f>
              <c:strCache>
                <c:ptCount val="1"/>
                <c:pt idx="0">
                  <c:v> Ianuarie - februarie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[11]STRUCTURA_IMPORT_Tari!$A$24:$A$39</c:f>
              <c:strCache>
                <c:ptCount val="16"/>
                <c:pt idx="0">
                  <c:v>Federaţia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Spania</c:v>
                </c:pt>
                <c:pt idx="13">
                  <c:v>Austria</c:v>
                </c:pt>
                <c:pt idx="14">
                  <c:v>S.U.A.</c:v>
                </c:pt>
                <c:pt idx="15">
                  <c:v>Olanda</c:v>
                </c:pt>
              </c:strCache>
            </c:strRef>
          </c:cat>
          <c:val>
            <c:numRef>
              <c:f>[11]STRUCTURA_IMPORT_Tari!$B$24:$B$39</c:f>
              <c:numCache>
                <c:formatCode>General</c:formatCode>
                <c:ptCount val="16"/>
                <c:pt idx="0">
                  <c:v>21.060356668933977</c:v>
                </c:pt>
                <c:pt idx="1">
                  <c:v>10.77324271835238</c:v>
                </c:pt>
                <c:pt idx="2">
                  <c:v>9.3359594271336519</c:v>
                </c:pt>
                <c:pt idx="3">
                  <c:v>7.514458296363145</c:v>
                </c:pt>
                <c:pt idx="4">
                  <c:v>7.1467968655482483</c:v>
                </c:pt>
                <c:pt idx="5">
                  <c:v>7.2151882848944275</c:v>
                </c:pt>
                <c:pt idx="6">
                  <c:v>6.403607001604751</c:v>
                </c:pt>
                <c:pt idx="7">
                  <c:v>3.1604097749945521</c:v>
                </c:pt>
                <c:pt idx="8">
                  <c:v>1.8344994626814992</c:v>
                </c:pt>
                <c:pt idx="9">
                  <c:v>1.6776950018917214</c:v>
                </c:pt>
                <c:pt idx="10">
                  <c:v>2.3269116132757186</c:v>
                </c:pt>
                <c:pt idx="11">
                  <c:v>1.4550296633258575</c:v>
                </c:pt>
                <c:pt idx="12">
                  <c:v>1.3513296304156543</c:v>
                </c:pt>
                <c:pt idx="13">
                  <c:v>2.1530555488142267</c:v>
                </c:pt>
                <c:pt idx="14">
                  <c:v>1.2259636972594088</c:v>
                </c:pt>
                <c:pt idx="15">
                  <c:v>1.0276281597293484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027-9176-5A5FABFE2538}"/>
            </c:ext>
          </c:extLst>
        </c:ser>
        <c:ser>
          <c:idx val="1"/>
          <c:order val="1"/>
          <c:tx>
            <c:strRef>
              <c:f>[11]STRUCTURA_IMPORT_Tari!$C$23</c:f>
              <c:strCache>
                <c:ptCount val="1"/>
                <c:pt idx="0">
                  <c:v>Ianuarie - februarie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[11]STRUCTURA_IMPORT_Tari!$A$24:$A$39</c:f>
              <c:strCache>
                <c:ptCount val="16"/>
                <c:pt idx="0">
                  <c:v>Federaţia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Spania</c:v>
                </c:pt>
                <c:pt idx="13">
                  <c:v>Austria</c:v>
                </c:pt>
                <c:pt idx="14">
                  <c:v>S.U.A.</c:v>
                </c:pt>
                <c:pt idx="15">
                  <c:v>Olanda</c:v>
                </c:pt>
              </c:strCache>
            </c:strRef>
          </c:cat>
          <c:val>
            <c:numRef>
              <c:f>[11]STRUCTURA_IMPORT_Tari!$C$24:$C$39</c:f>
              <c:numCache>
                <c:formatCode>General</c:formatCode>
                <c:ptCount val="16"/>
                <c:pt idx="0">
                  <c:v>17.460379256316294</c:v>
                </c:pt>
                <c:pt idx="1">
                  <c:v>14.186255281416068</c:v>
                </c:pt>
                <c:pt idx="2">
                  <c:v>10.223513912205838</c:v>
                </c:pt>
                <c:pt idx="3">
                  <c:v>7.4711734122271611</c:v>
                </c:pt>
                <c:pt idx="4">
                  <c:v>7.1681537038882679</c:v>
                </c:pt>
                <c:pt idx="5">
                  <c:v>6.5806538873661253</c:v>
                </c:pt>
                <c:pt idx="6">
                  <c:v>6.0478928318033001</c:v>
                </c:pt>
                <c:pt idx="7">
                  <c:v>2.7459311081164244</c:v>
                </c:pt>
                <c:pt idx="8">
                  <c:v>2.2539014105663022</c:v>
                </c:pt>
                <c:pt idx="9">
                  <c:v>2.083179329060584</c:v>
                </c:pt>
                <c:pt idx="10">
                  <c:v>2.821552435867801</c:v>
                </c:pt>
                <c:pt idx="11">
                  <c:v>1.5933110006012379</c:v>
                </c:pt>
                <c:pt idx="12">
                  <c:v>1.1046767524683578</c:v>
                </c:pt>
                <c:pt idx="13">
                  <c:v>1.3418033606814839</c:v>
                </c:pt>
                <c:pt idx="14">
                  <c:v>2.565451781542837</c:v>
                </c:pt>
                <c:pt idx="15">
                  <c:v>1.0472834459996352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027-9176-5A5FABFE2538}"/>
            </c:ext>
          </c:extLst>
        </c:ser>
        <c:ser>
          <c:idx val="2"/>
          <c:order val="2"/>
          <c:tx>
            <c:strRef>
              <c:f>[11]STRUCTURA_IMPORT_Tari!$D$23</c:f>
              <c:strCache>
                <c:ptCount val="1"/>
                <c:pt idx="0">
                  <c:v>Ianuarie - februarie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[11]STRUCTURA_IMPORT_Tari!$A$24:$A$39</c:f>
              <c:strCache>
                <c:ptCount val="16"/>
                <c:pt idx="0">
                  <c:v>Federaţia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Spania</c:v>
                </c:pt>
                <c:pt idx="13">
                  <c:v>Austria</c:v>
                </c:pt>
                <c:pt idx="14">
                  <c:v>S.U.A.</c:v>
                </c:pt>
                <c:pt idx="15">
                  <c:v>Olanda</c:v>
                </c:pt>
              </c:strCache>
            </c:strRef>
          </c:cat>
          <c:val>
            <c:numRef>
              <c:f>[11]STRUCTURA_IMPORT_Tari!$D$24:$D$39</c:f>
              <c:numCache>
                <c:formatCode>General</c:formatCode>
                <c:ptCount val="16"/>
                <c:pt idx="0">
                  <c:v>15.330848564795316</c:v>
                </c:pt>
                <c:pt idx="1">
                  <c:v>13.672221208445793</c:v>
                </c:pt>
                <c:pt idx="2">
                  <c:v>12.114621987055092</c:v>
                </c:pt>
                <c:pt idx="3">
                  <c:v>7.837702780378045</c:v>
                </c:pt>
                <c:pt idx="4">
                  <c:v>8.0178851090184846</c:v>
                </c:pt>
                <c:pt idx="5">
                  <c:v>6.2498224424099256</c:v>
                </c:pt>
                <c:pt idx="6">
                  <c:v>6.5427659501217805</c:v>
                </c:pt>
                <c:pt idx="7">
                  <c:v>3.5068698993044221</c:v>
                </c:pt>
                <c:pt idx="8">
                  <c:v>2.6969441572328239</c:v>
                </c:pt>
                <c:pt idx="9">
                  <c:v>2.2324938129660161</c:v>
                </c:pt>
                <c:pt idx="10">
                  <c:v>1.4161263055706488</c:v>
                </c:pt>
                <c:pt idx="11">
                  <c:v>1.3909649686201764</c:v>
                </c:pt>
                <c:pt idx="12">
                  <c:v>1.4743451254806512</c:v>
                </c:pt>
                <c:pt idx="13">
                  <c:v>1.8319120909117099</c:v>
                </c:pt>
                <c:pt idx="14">
                  <c:v>1.3991820117869893</c:v>
                </c:pt>
                <c:pt idx="15">
                  <c:v>1.1193118239026472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D-4027-9176-5A5FABFE2538}"/>
            </c:ext>
          </c:extLst>
        </c:ser>
        <c:ser>
          <c:idx val="3"/>
          <c:order val="3"/>
          <c:tx>
            <c:strRef>
              <c:f>[11]STRUCTURA_IMPORT_Tari!$E$23</c:f>
              <c:strCache>
                <c:ptCount val="1"/>
                <c:pt idx="0">
                  <c:v> Ianuarie - februarie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[11]STRUCTURA_IMPORT_Tari!$A$24:$A$39</c:f>
              <c:strCache>
                <c:ptCount val="16"/>
                <c:pt idx="0">
                  <c:v>Federaţia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Spania</c:v>
                </c:pt>
                <c:pt idx="13">
                  <c:v>Austria</c:v>
                </c:pt>
                <c:pt idx="14">
                  <c:v>S.U.A.</c:v>
                </c:pt>
                <c:pt idx="15">
                  <c:v>Olanda</c:v>
                </c:pt>
              </c:strCache>
            </c:strRef>
          </c:cat>
          <c:val>
            <c:numRef>
              <c:f>[11]STRUCTURA_IMPORT_Tari!$E$24:$E$39</c:f>
              <c:numCache>
                <c:formatCode>General</c:formatCode>
                <c:ptCount val="16"/>
                <c:pt idx="0">
                  <c:v>16.066101614254301</c:v>
                </c:pt>
                <c:pt idx="1">
                  <c:v>13.070627993644205</c:v>
                </c:pt>
                <c:pt idx="2">
                  <c:v>11.392418105322854</c:v>
                </c:pt>
                <c:pt idx="3">
                  <c:v>8.6337337450052587</c:v>
                </c:pt>
                <c:pt idx="4">
                  <c:v>7.9132630494133407</c:v>
                </c:pt>
                <c:pt idx="5">
                  <c:v>6.4149364903872383</c:v>
                </c:pt>
                <c:pt idx="6">
                  <c:v>6.0656740593403295</c:v>
                </c:pt>
                <c:pt idx="7">
                  <c:v>3.2803317473777431</c:v>
                </c:pt>
                <c:pt idx="8">
                  <c:v>2.6252614771401483</c:v>
                </c:pt>
                <c:pt idx="9">
                  <c:v>2.0275950788168724</c:v>
                </c:pt>
                <c:pt idx="10">
                  <c:v>1.9332593241558422</c:v>
                </c:pt>
                <c:pt idx="11">
                  <c:v>1.986353897128738</c:v>
                </c:pt>
                <c:pt idx="12">
                  <c:v>1.3309001092589376</c:v>
                </c:pt>
                <c:pt idx="13">
                  <c:v>1.6582109710365822</c:v>
                </c:pt>
                <c:pt idx="14">
                  <c:v>1.2702161817233473</c:v>
                </c:pt>
                <c:pt idx="15">
                  <c:v>0.88060303213326163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D-4027-9176-5A5FABFE2538}"/>
            </c:ext>
          </c:extLst>
        </c:ser>
        <c:ser>
          <c:idx val="4"/>
          <c:order val="4"/>
          <c:tx>
            <c:strRef>
              <c:f>[11]STRUCTURA_IMPORT_Tari!$F$23</c:f>
              <c:strCache>
                <c:ptCount val="1"/>
                <c:pt idx="0">
                  <c:v>Ianuarie - februarie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[11]STRUCTURA_IMPORT_Tari!$A$24:$A$39</c:f>
              <c:strCache>
                <c:ptCount val="16"/>
                <c:pt idx="0">
                  <c:v>Federaţia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Spania</c:v>
                </c:pt>
                <c:pt idx="13">
                  <c:v>Austria</c:v>
                </c:pt>
                <c:pt idx="14">
                  <c:v>S.U.A.</c:v>
                </c:pt>
                <c:pt idx="15">
                  <c:v>Olanda</c:v>
                </c:pt>
              </c:strCache>
            </c:strRef>
          </c:cat>
          <c:val>
            <c:numRef>
              <c:f>[11]STRUCTURA_IMPORT_Tari!$F$24:$F$39</c:f>
              <c:numCache>
                <c:formatCode>General</c:formatCode>
                <c:ptCount val="16"/>
                <c:pt idx="0">
                  <c:v>14.562152137343789</c:v>
                </c:pt>
                <c:pt idx="1">
                  <c:v>14.238338968785325</c:v>
                </c:pt>
                <c:pt idx="2">
                  <c:v>10.724363404706832</c:v>
                </c:pt>
                <c:pt idx="3">
                  <c:v>8.6762500884234974</c:v>
                </c:pt>
                <c:pt idx="4">
                  <c:v>7.7850186184865526</c:v>
                </c:pt>
                <c:pt idx="5">
                  <c:v>7.2899124106805786</c:v>
                </c:pt>
                <c:pt idx="6">
                  <c:v>5.7679456845288986</c:v>
                </c:pt>
                <c:pt idx="7">
                  <c:v>3.8824577381784144</c:v>
                </c:pt>
                <c:pt idx="8">
                  <c:v>2.4575231967017062</c:v>
                </c:pt>
                <c:pt idx="9">
                  <c:v>2.1690133120004949</c:v>
                </c:pt>
                <c:pt idx="10">
                  <c:v>1.6951520070493176</c:v>
                </c:pt>
                <c:pt idx="11">
                  <c:v>1.7563410941791713</c:v>
                </c:pt>
                <c:pt idx="12">
                  <c:v>1.4146552044174106</c:v>
                </c:pt>
                <c:pt idx="13">
                  <c:v>1.1726650563899077</c:v>
                </c:pt>
                <c:pt idx="14">
                  <c:v>1.2176158976566704</c:v>
                </c:pt>
                <c:pt idx="15">
                  <c:v>1.0522241560592827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D-4027-9176-5A5FABFE2538}"/>
            </c:ext>
          </c:extLst>
        </c:ser>
        <c:ser>
          <c:idx val="5"/>
          <c:order val="5"/>
          <c:tx>
            <c:strRef>
              <c:f>[11]STRUCTURA_IMPORT_Tari!$G$23</c:f>
              <c:strCache>
                <c:ptCount val="1"/>
                <c:pt idx="0">
                  <c:v>Ianuarie - februarie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[11]STRUCTURA_IMPORT_Tari!$A$24:$A$39</c:f>
              <c:strCache>
                <c:ptCount val="16"/>
                <c:pt idx="0">
                  <c:v>Federaţia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Spania</c:v>
                </c:pt>
                <c:pt idx="13">
                  <c:v>Austria</c:v>
                </c:pt>
                <c:pt idx="14">
                  <c:v>S.U.A.</c:v>
                </c:pt>
                <c:pt idx="15">
                  <c:v>Olanda</c:v>
                </c:pt>
              </c:strCache>
            </c:strRef>
          </c:cat>
          <c:val>
            <c:numRef>
              <c:f>[11]STRUCTURA_IMPORT_Tari!$G$24:$G$39</c:f>
              <c:numCache>
                <c:formatCode>General</c:formatCode>
                <c:ptCount val="16"/>
                <c:pt idx="0">
                  <c:v>13.41322358358355</c:v>
                </c:pt>
                <c:pt idx="1">
                  <c:v>12.579382417490507</c:v>
                </c:pt>
                <c:pt idx="2">
                  <c:v>12.462854594547956</c:v>
                </c:pt>
                <c:pt idx="3">
                  <c:v>8.2884315018934984</c:v>
                </c:pt>
                <c:pt idx="4">
                  <c:v>7.8794071127739427</c:v>
                </c:pt>
                <c:pt idx="5">
                  <c:v>7.5279823907733467</c:v>
                </c:pt>
                <c:pt idx="6">
                  <c:v>6.2532043122410368</c:v>
                </c:pt>
                <c:pt idx="7">
                  <c:v>4.0003103767327906</c:v>
                </c:pt>
                <c:pt idx="8">
                  <c:v>3.0619371021479402</c:v>
                </c:pt>
                <c:pt idx="9">
                  <c:v>2.1821350221879179</c:v>
                </c:pt>
                <c:pt idx="10">
                  <c:v>1.9094894289731572</c:v>
                </c:pt>
                <c:pt idx="11">
                  <c:v>1.8387251963125975</c:v>
                </c:pt>
                <c:pt idx="12">
                  <c:v>1.3616766911390723</c:v>
                </c:pt>
                <c:pt idx="13">
                  <c:v>1.3152555812296365</c:v>
                </c:pt>
                <c:pt idx="14">
                  <c:v>1.1057168099925929</c:v>
                </c:pt>
                <c:pt idx="15">
                  <c:v>0.96715066477449652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5D-4027-9176-5A5FABFE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427120"/>
        <c:axId val="418427680"/>
      </c:barChart>
      <c:catAx>
        <c:axId val="41842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8427680"/>
        <c:crosses val="autoZero"/>
        <c:auto val="1"/>
        <c:lblAlgn val="ctr"/>
        <c:lblOffset val="100"/>
        <c:noMultiLvlLbl val="0"/>
      </c:catAx>
      <c:valAx>
        <c:axId val="41842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8427120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6.266882766072393E-2"/>
          <c:y val="0.90401974380068173"/>
          <c:w val="0.93446777013489202"/>
          <c:h val="9.3766443373682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Ianuarie-februarie 2020</a:t>
            </a:r>
            <a:endParaRPr lang="en-US" sz="900" b="1"/>
          </a:p>
        </c:rich>
      </c:tx>
      <c:layout>
        <c:manualLayout>
          <c:xMode val="edge"/>
          <c:yMode val="edge"/>
          <c:x val="0.27121447567398443"/>
          <c:y val="6.6842855715699899E-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34465480216228"/>
          <c:y val="0.23413635579289613"/>
          <c:w val="0.57693777798733237"/>
          <c:h val="0.61960520208285863"/>
        </c:manualLayout>
      </c:layout>
      <c:pieChart>
        <c:varyColors val="1"/>
        <c:ser>
          <c:idx val="0"/>
          <c:order val="0"/>
          <c:spPr>
            <a:effectLst/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631-4CA1-BC5D-E5ED86221948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31-4CA1-BC5D-E5ED86221948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631-4CA1-BC5D-E5ED86221948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631-4CA1-BC5D-E5ED86221948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631-4CA1-BC5D-E5ED86221948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631-4CA1-BC5D-E5ED86221948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631-4CA1-BC5D-E5ED86221948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631-4CA1-BC5D-E5ED86221948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631-4CA1-BC5D-E5ED86221948}"/>
              </c:ext>
            </c:extLst>
          </c:dPt>
          <c:dLbls>
            <c:dLbl>
              <c:idx val="0"/>
              <c:layout>
                <c:manualLayout>
                  <c:x val="-0.25957377319880237"/>
                  <c:y val="-1.6706875784315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25319739656822"/>
                      <c:h val="0.171093418599112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31-4CA1-BC5D-E5ED86221948}"/>
                </c:ext>
              </c:extLst>
            </c:dLbl>
            <c:dLbl>
              <c:idx val="1"/>
              <c:layout>
                <c:manualLayout>
                  <c:x val="-8.7721636676293277E-2"/>
                  <c:y val="-5.66990890844526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8178362500924"/>
                      <c:h val="0.105527431908381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631-4CA1-BC5D-E5ED86221948}"/>
                </c:ext>
              </c:extLst>
            </c:dLbl>
            <c:dLbl>
              <c:idx val="2"/>
              <c:layout>
                <c:manualLayout>
                  <c:x val="-1.2745974115589572E-7"/>
                  <c:y val="8.528397925035850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93846433935637"/>
                      <c:h val="0.180175165904289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631-4CA1-BC5D-E5ED86221948}"/>
                </c:ext>
              </c:extLst>
            </c:dLbl>
            <c:dLbl>
              <c:idx val="3"/>
              <c:layout>
                <c:manualLayout>
                  <c:x val="-2.0899198035675636E-3"/>
                  <c:y val="-1.50638436240633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10542685054542"/>
                      <c:h val="0.16506362318063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631-4CA1-BC5D-E5ED86221948}"/>
                </c:ext>
              </c:extLst>
            </c:dLbl>
            <c:dLbl>
              <c:idx val="4"/>
              <c:layout>
                <c:manualLayout>
                  <c:x val="3.5396061789497883E-2"/>
                  <c:y val="-2.80190201799011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97305539119744"/>
                      <c:h val="0.168373410385436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631-4CA1-BC5D-E5ED86221948}"/>
                </c:ext>
              </c:extLst>
            </c:dLbl>
            <c:dLbl>
              <c:idx val="5"/>
              <c:layout>
                <c:manualLayout>
                  <c:x val="-3.7371049621931982E-2"/>
                  <c:y val="-1.964780354012841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95562392449288"/>
                      <c:h val="0.161566054243219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631-4CA1-BC5D-E5ED86221948}"/>
                </c:ext>
              </c:extLst>
            </c:dLbl>
            <c:dLbl>
              <c:idx val="6"/>
              <c:layout>
                <c:manualLayout>
                  <c:x val="6.0251441923991456E-2"/>
                  <c:y val="-2.05158524734582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92023430845978"/>
                      <c:h val="0.186676665416822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631-4CA1-BC5D-E5ED86221948}"/>
                </c:ext>
              </c:extLst>
            </c:dLbl>
            <c:dLbl>
              <c:idx val="7"/>
              <c:layout>
                <c:manualLayout>
                  <c:x val="1.8711689252009643E-3"/>
                  <c:y val="-1.53847551063037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13790635104777"/>
                      <c:h val="0.281118164727678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631-4CA1-BC5D-E5ED86221948}"/>
                </c:ext>
              </c:extLst>
            </c:dLbl>
            <c:dLbl>
              <c:idx val="8"/>
              <c:layout>
                <c:manualLayout>
                  <c:x val="-9.0149658445012465E-3"/>
                  <c:y val="7.9058341391536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26295388573118"/>
                      <c:h val="0.21621034212828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631-4CA1-BC5D-E5ED8622194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2">
                      <a:lumMod val="7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[12]STRUCTURA_IMP_Sectiuni_marfuri!$A$22:$A$30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</c:v>
                </c:pt>
                <c:pt idx="5">
                  <c:v>Produse chimice 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[12]STRUCTURA_IMP_Sectiuni_marfuri!$B$22:$B$30</c:f>
              <c:numCache>
                <c:formatCode>General</c:formatCode>
                <c:ptCount val="9"/>
                <c:pt idx="0">
                  <c:v>12.4</c:v>
                </c:pt>
                <c:pt idx="1">
                  <c:v>1.8</c:v>
                </c:pt>
                <c:pt idx="2">
                  <c:v>3.3</c:v>
                </c:pt>
                <c:pt idx="3">
                  <c:v>17.2</c:v>
                </c:pt>
                <c:pt idx="4">
                  <c:v>0.2</c:v>
                </c:pt>
                <c:pt idx="5">
                  <c:v>14</c:v>
                </c:pt>
                <c:pt idx="6">
                  <c:v>18.399999999999999</c:v>
                </c:pt>
                <c:pt idx="7">
                  <c:v>22.2</c:v>
                </c:pt>
                <c:pt idx="8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31-4CA1-BC5D-E5ED8622194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Ianuarie-februarie 2021</a:t>
            </a:r>
            <a:endParaRPr lang="en-US" sz="900" b="1"/>
          </a:p>
        </c:rich>
      </c:tx>
      <c:layout>
        <c:manualLayout>
          <c:xMode val="edge"/>
          <c:yMode val="edge"/>
          <c:x val="0.27210471681393522"/>
          <c:y val="3.39845062619767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284328487152273"/>
          <c:y val="0.24277325195942204"/>
          <c:w val="0.66322768793685738"/>
          <c:h val="0.5855712814379214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D3-4FE3-A741-BA04960B8052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3-4FE3-A741-BA04960B8052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3-4FE3-A741-BA04960B8052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3-4FE3-A741-BA04960B8052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3-4FE3-A741-BA04960B8052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D3-4FE3-A741-BA04960B8052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D3-4FE3-A741-BA04960B8052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3D3-4FE3-A741-BA04960B8052}"/>
              </c:ext>
            </c:extLst>
          </c:dPt>
          <c:dLbls>
            <c:dLbl>
              <c:idx val="0"/>
              <c:layout>
                <c:manualLayout>
                  <c:x val="-0.23321504438692736"/>
                  <c:y val="-9.993079311634931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471379557179178"/>
                      <c:h val="0.173199139581236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3D3-4FE3-A741-BA04960B8052}"/>
                </c:ext>
              </c:extLst>
            </c:dLbl>
            <c:dLbl>
              <c:idx val="1"/>
              <c:layout>
                <c:manualLayout>
                  <c:x val="-5.1982162104345184E-2"/>
                  <c:y val="-2.78489530913898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97956806846091"/>
                      <c:h val="0.108156463141069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D3-4FE3-A741-BA04960B8052}"/>
                </c:ext>
              </c:extLst>
            </c:dLbl>
            <c:dLbl>
              <c:idx val="2"/>
              <c:layout>
                <c:manualLayout>
                  <c:x val="6.5197179506166743E-4"/>
                  <c:y val="9.07909537623586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88773151005029"/>
                      <c:h val="0.158106240180185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3D3-4FE3-A741-BA04960B8052}"/>
                </c:ext>
              </c:extLst>
            </c:dLbl>
            <c:dLbl>
              <c:idx val="3"/>
              <c:layout>
                <c:manualLayout>
                  <c:x val="-4.840873990429653E-4"/>
                  <c:y val="8.36531073754189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01769754664912"/>
                      <c:h val="0.199562978503119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3D3-4FE3-A741-BA04960B8052}"/>
                </c:ext>
              </c:extLst>
            </c:dLbl>
            <c:dLbl>
              <c:idx val="4"/>
              <c:layout>
                <c:manualLayout>
                  <c:x val="-5.5881249140840805E-2"/>
                  <c:y val="0.115874263440617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08676227383801"/>
                      <c:h val="0.170939553608430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3D3-4FE3-A741-BA04960B8052}"/>
                </c:ext>
              </c:extLst>
            </c:dLbl>
            <c:dLbl>
              <c:idx val="5"/>
              <c:layout>
                <c:manualLayout>
                  <c:x val="-0.17099425272805538"/>
                  <c:y val="6.72014095123922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820519250380328"/>
                      <c:h val="0.164282678950845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3D3-4FE3-A741-BA04960B8052}"/>
                </c:ext>
              </c:extLst>
            </c:dLbl>
            <c:dLbl>
              <c:idx val="6"/>
              <c:layout>
                <c:manualLayout>
                  <c:x val="-0.11219400629583681"/>
                  <c:y val="-8.10816554505081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55634605159883"/>
                      <c:h val="0.169703475646858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3D3-4FE3-A741-BA04960B8052}"/>
                </c:ext>
              </c:extLst>
            </c:dLbl>
            <c:dLbl>
              <c:idx val="7"/>
              <c:layout>
                <c:manualLayout>
                  <c:x val="3.3599102230251505E-7"/>
                  <c:y val="-1.97949892031116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6746640995894"/>
                      <c:h val="0.254573441477709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3D3-4FE3-A741-BA04960B8052}"/>
                </c:ext>
              </c:extLst>
            </c:dLbl>
            <c:dLbl>
              <c:idx val="8"/>
              <c:layout>
                <c:manualLayout>
                  <c:x val="-1.7875619245343529E-2"/>
                  <c:y val="7.79142486081973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37270341207349"/>
                      <c:h val="0.24474829058384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3D3-4FE3-A741-BA04960B80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bg2">
                      <a:lumMod val="7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[6]STRUCTURA_IMP_Sectiuni_marfuri!$A$5:$A$13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[6]STRUCTURA_IMP_Sectiuni_marfuri!$B$5:$B$13</c:f>
              <c:numCache>
                <c:formatCode>General</c:formatCode>
                <c:ptCount val="9"/>
                <c:pt idx="0">
                  <c:v>12.6</c:v>
                </c:pt>
                <c:pt idx="1">
                  <c:v>1.6</c:v>
                </c:pt>
                <c:pt idx="2">
                  <c:v>3.2</c:v>
                </c:pt>
                <c:pt idx="3">
                  <c:v>13.6</c:v>
                </c:pt>
                <c:pt idx="4">
                  <c:v>0.2</c:v>
                </c:pt>
                <c:pt idx="5">
                  <c:v>14.6</c:v>
                </c:pt>
                <c:pt idx="6">
                  <c:v>17.3</c:v>
                </c:pt>
                <c:pt idx="7">
                  <c:v>25.6</c:v>
                </c:pt>
                <c:pt idx="8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D3-4FE3-A741-BA04960B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9292310683395E-2"/>
          <c:y val="8.3241273945234451E-2"/>
          <c:w val="0.93642881088462071"/>
          <c:h val="0.7039726564030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[13]Bal_Com_pe_luni_Milioane_USD!$B$19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41000"/>
              </a:schemeClr>
            </a:solidFill>
            <a:ln>
              <a:noFill/>
            </a:ln>
            <a:effectLst/>
          </c:spPr>
          <c:invertIfNegative val="0"/>
          <c:cat>
            <c:numRef>
              <c:f>[13]Bal_Com_pe_luni_Milioane_USD!$A$20:$A$25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[13]Bal_Com_pe_luni_Milioane_USD!$B$20:$B$25</c:f>
              <c:numCache>
                <c:formatCode>General</c:formatCode>
                <c:ptCount val="6"/>
                <c:pt idx="0">
                  <c:v>-90.5</c:v>
                </c:pt>
                <c:pt idx="1">
                  <c:v>-127.3</c:v>
                </c:pt>
                <c:pt idx="2">
                  <c:v>-154</c:v>
                </c:pt>
                <c:pt idx="3">
                  <c:v>-138.30000000000001</c:v>
                </c:pt>
                <c:pt idx="4">
                  <c:v>-160.30000000000001</c:v>
                </c:pt>
                <c:pt idx="5">
                  <c:v>-203.1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3-4221-BB37-7103809F1204}"/>
            </c:ext>
          </c:extLst>
        </c:ser>
        <c:ser>
          <c:idx val="1"/>
          <c:order val="1"/>
          <c:tx>
            <c:strRef>
              <c:f>[13]Bal_Com_pe_luni_Milioane_USD!$C$19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52000"/>
              </a:schemeClr>
            </a:solidFill>
            <a:ln>
              <a:noFill/>
            </a:ln>
            <a:effectLst/>
          </c:spPr>
          <c:invertIfNegative val="0"/>
          <c:cat>
            <c:numRef>
              <c:f>[13]Bal_Com_pe_luni_Milioane_USD!$A$20:$A$25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[13]Bal_Com_pe_luni_Milioane_USD!$C$20:$C$25</c:f>
              <c:numCache>
                <c:formatCode>General</c:formatCode>
                <c:ptCount val="6"/>
                <c:pt idx="0">
                  <c:v>-148.5</c:v>
                </c:pt>
                <c:pt idx="1">
                  <c:v>-156.1</c:v>
                </c:pt>
                <c:pt idx="2">
                  <c:v>-212.1</c:v>
                </c:pt>
                <c:pt idx="3">
                  <c:v>-217.9</c:v>
                </c:pt>
                <c:pt idx="4">
                  <c:v>-239.5</c:v>
                </c:pt>
                <c:pt idx="5">
                  <c:v>-294.5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3-4221-BB37-7103809F1204}"/>
            </c:ext>
          </c:extLst>
        </c:ser>
        <c:ser>
          <c:idx val="2"/>
          <c:order val="2"/>
          <c:tx>
            <c:strRef>
              <c:f>[13]Bal_Com_pe_luni_Milioane_USD!$D$19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63000"/>
              </a:schemeClr>
            </a:solidFill>
            <a:ln>
              <a:noFill/>
            </a:ln>
            <a:effectLst/>
          </c:spPr>
          <c:invertIfNegative val="0"/>
          <c:cat>
            <c:numRef>
              <c:f>[13]Bal_Com_pe_luni_Milioane_USD!$A$20:$A$25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[13]Bal_Com_pe_luni_Milioane_USD!$D$20:$D$25</c:f>
              <c:numCache>
                <c:formatCode>General</c:formatCode>
                <c:ptCount val="6"/>
                <c:pt idx="0">
                  <c:v>-205.5</c:v>
                </c:pt>
                <c:pt idx="1">
                  <c:v>-219.1</c:v>
                </c:pt>
                <c:pt idx="2">
                  <c:v>-282</c:v>
                </c:pt>
                <c:pt idx="3">
                  <c:v>-276.60000000000002</c:v>
                </c:pt>
                <c:pt idx="4">
                  <c:v>-290.3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3-4221-BB37-7103809F1204}"/>
            </c:ext>
          </c:extLst>
        </c:ser>
        <c:ser>
          <c:idx val="3"/>
          <c:order val="3"/>
          <c:tx>
            <c:strRef>
              <c:f>[13]Bal_Com_pe_luni_Milioane_USD!$E$19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74000"/>
              </a:schemeClr>
            </a:solidFill>
            <a:ln>
              <a:noFill/>
            </a:ln>
            <a:effectLst/>
          </c:spPr>
          <c:invertIfNegative val="0"/>
          <c:cat>
            <c:numRef>
              <c:f>[13]Bal_Com_pe_luni_Milioane_USD!$A$20:$A$25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[13]Bal_Com_pe_luni_Milioane_USD!$E$20:$E$25</c:f>
              <c:numCache>
                <c:formatCode>General</c:formatCode>
                <c:ptCount val="6"/>
                <c:pt idx="0">
                  <c:v>-176.4</c:v>
                </c:pt>
                <c:pt idx="1">
                  <c:v>-207.3</c:v>
                </c:pt>
                <c:pt idx="2">
                  <c:v>-244.9</c:v>
                </c:pt>
                <c:pt idx="3">
                  <c:v>-300</c:v>
                </c:pt>
                <c:pt idx="4">
                  <c:v>-135.80000000000001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3-4221-BB37-7103809F1204}"/>
            </c:ext>
          </c:extLst>
        </c:ser>
        <c:ser>
          <c:idx val="4"/>
          <c:order val="4"/>
          <c:tx>
            <c:strRef>
              <c:f>[13]Bal_Com_pe_luni_Milioane_USD!$F$19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84000"/>
              </a:schemeClr>
            </a:solidFill>
            <a:ln>
              <a:noFill/>
            </a:ln>
            <a:effectLst/>
          </c:spPr>
          <c:invertIfNegative val="0"/>
          <c:cat>
            <c:numRef>
              <c:f>[13]Bal_Com_pe_luni_Milioane_USD!$A$20:$A$25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[13]Bal_Com_pe_luni_Milioane_USD!$F$20:$F$25</c:f>
              <c:numCache>
                <c:formatCode>General</c:formatCode>
                <c:ptCount val="6"/>
                <c:pt idx="0">
                  <c:v>-174.7</c:v>
                </c:pt>
                <c:pt idx="1">
                  <c:v>-225.7</c:v>
                </c:pt>
                <c:pt idx="2">
                  <c:v>-282.60000000000002</c:v>
                </c:pt>
                <c:pt idx="3">
                  <c:v>-271.10000000000002</c:v>
                </c:pt>
                <c:pt idx="4">
                  <c:v>-173.6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3-4221-BB37-7103809F1204}"/>
            </c:ext>
          </c:extLst>
        </c:ser>
        <c:ser>
          <c:idx val="5"/>
          <c:order val="5"/>
          <c:tx>
            <c:strRef>
              <c:f>[13]Bal_Com_pe_luni_Milioane_USD!$G$19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tint val="95000"/>
              </a:schemeClr>
            </a:solidFill>
            <a:ln>
              <a:noFill/>
            </a:ln>
            <a:effectLst/>
          </c:spPr>
          <c:invertIfNegative val="0"/>
          <c:cat>
            <c:numRef>
              <c:f>[13]Bal_Com_pe_luni_Milioane_USD!$A$20:$A$25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[13]Bal_Com_pe_luni_Milioane_USD!$G$20:$G$25</c:f>
              <c:numCache>
                <c:formatCode>General</c:formatCode>
                <c:ptCount val="6"/>
                <c:pt idx="0">
                  <c:v>-167.2</c:v>
                </c:pt>
                <c:pt idx="1">
                  <c:v>-217.7</c:v>
                </c:pt>
                <c:pt idx="2">
                  <c:v>-244.6</c:v>
                </c:pt>
                <c:pt idx="3">
                  <c:v>-243.2</c:v>
                </c:pt>
                <c:pt idx="4">
                  <c:v>-223.7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33-4221-BB37-7103809F1204}"/>
            </c:ext>
          </c:extLst>
        </c:ser>
        <c:ser>
          <c:idx val="6"/>
          <c:order val="6"/>
          <c:tx>
            <c:strRef>
              <c:f>[13]Bal_Com_pe_luni_Milioane_USD!$H$19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4000"/>
              </a:schemeClr>
            </a:solidFill>
            <a:ln>
              <a:noFill/>
            </a:ln>
            <a:effectLst/>
          </c:spPr>
          <c:invertIfNegative val="0"/>
          <c:cat>
            <c:numRef>
              <c:f>[13]Bal_Com_pe_luni_Milioane_USD!$A$20:$A$25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[13]Bal_Com_pe_luni_Milioane_USD!$H$20:$H$25</c:f>
              <c:numCache>
                <c:formatCode>General</c:formatCode>
                <c:ptCount val="6"/>
                <c:pt idx="0">
                  <c:v>-148.5</c:v>
                </c:pt>
                <c:pt idx="1">
                  <c:v>-205.3</c:v>
                </c:pt>
                <c:pt idx="2">
                  <c:v>-269.2</c:v>
                </c:pt>
                <c:pt idx="3">
                  <c:v>-278.89999999999998</c:v>
                </c:pt>
                <c:pt idx="4">
                  <c:v>-287.39999999999998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33-4221-BB37-7103809F1204}"/>
            </c:ext>
          </c:extLst>
        </c:ser>
        <c:ser>
          <c:idx val="7"/>
          <c:order val="7"/>
          <c:tx>
            <c:strRef>
              <c:f>[13]Bal_Com_pe_luni_Milioane_USD!$I$19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[13]Bal_Com_pe_luni_Milioane_USD!$A$20:$A$25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[13]Bal_Com_pe_luni_Milioane_USD!$I$20:$I$25</c:f>
              <c:numCache>
                <c:formatCode>General</c:formatCode>
                <c:ptCount val="6"/>
                <c:pt idx="0">
                  <c:v>-183.1</c:v>
                </c:pt>
                <c:pt idx="1">
                  <c:v>-221.8</c:v>
                </c:pt>
                <c:pt idx="2">
                  <c:v>-262.10000000000002</c:v>
                </c:pt>
                <c:pt idx="3">
                  <c:v>-258.5</c:v>
                </c:pt>
                <c:pt idx="4">
                  <c:v>-269.8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33-4221-BB37-7103809F1204}"/>
            </c:ext>
          </c:extLst>
        </c:ser>
        <c:ser>
          <c:idx val="8"/>
          <c:order val="8"/>
          <c:tx>
            <c:strRef>
              <c:f>[13]Bal_Com_pe_luni_Milioane_USD!$J$19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3000"/>
              </a:schemeClr>
            </a:solidFill>
            <a:ln>
              <a:noFill/>
            </a:ln>
            <a:effectLst/>
          </c:spPr>
          <c:invertIfNegative val="0"/>
          <c:cat>
            <c:numRef>
              <c:f>[13]Bal_Com_pe_luni_Milioane_USD!$A$20:$A$25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[13]Bal_Com_pe_luni_Milioane_USD!$J$20:$J$25</c:f>
              <c:numCache>
                <c:formatCode>General</c:formatCode>
                <c:ptCount val="6"/>
                <c:pt idx="0">
                  <c:v>-168</c:v>
                </c:pt>
                <c:pt idx="1">
                  <c:v>-206.9</c:v>
                </c:pt>
                <c:pt idx="2">
                  <c:v>-266.7</c:v>
                </c:pt>
                <c:pt idx="3">
                  <c:v>-262.89999999999998</c:v>
                </c:pt>
                <c:pt idx="4">
                  <c:v>-296.10000000000002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33-4221-BB37-7103809F1204}"/>
            </c:ext>
          </c:extLst>
        </c:ser>
        <c:ser>
          <c:idx val="9"/>
          <c:order val="9"/>
          <c:tx>
            <c:strRef>
              <c:f>[13]Bal_Com_pe_luni_Milioane_USD!$K$19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2000"/>
              </a:schemeClr>
            </a:solidFill>
            <a:ln>
              <a:noFill/>
            </a:ln>
            <a:effectLst/>
          </c:spPr>
          <c:invertIfNegative val="0"/>
          <c:cat>
            <c:numRef>
              <c:f>[13]Bal_Com_pe_luni_Milioane_USD!$A$20:$A$25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[13]Bal_Com_pe_luni_Milioane_USD!$K$20:$K$25</c:f>
              <c:numCache>
                <c:formatCode>General</c:formatCode>
                <c:ptCount val="6"/>
                <c:pt idx="0">
                  <c:v>-179.4</c:v>
                </c:pt>
                <c:pt idx="1">
                  <c:v>-197.7</c:v>
                </c:pt>
                <c:pt idx="2">
                  <c:v>-281.60000000000002</c:v>
                </c:pt>
                <c:pt idx="3">
                  <c:v>-257</c:v>
                </c:pt>
                <c:pt idx="4">
                  <c:v>-244.2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3-4221-BB37-7103809F1204}"/>
            </c:ext>
          </c:extLst>
        </c:ser>
        <c:ser>
          <c:idx val="10"/>
          <c:order val="10"/>
          <c:tx>
            <c:strRef>
              <c:f>[13]Bal_Com_pe_luni_Milioane_USD!$L$19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1000"/>
              </a:schemeClr>
            </a:solidFill>
            <a:ln>
              <a:noFill/>
            </a:ln>
            <a:effectLst/>
          </c:spPr>
          <c:invertIfNegative val="0"/>
          <c:cat>
            <c:numRef>
              <c:f>[13]Bal_Com_pe_luni_Milioane_USD!$A$20:$A$25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[13]Bal_Com_pe_luni_Milioane_USD!$L$20:$L$25</c:f>
              <c:numCache>
                <c:formatCode>General</c:formatCode>
                <c:ptCount val="6"/>
                <c:pt idx="0">
                  <c:v>-135.9</c:v>
                </c:pt>
                <c:pt idx="1">
                  <c:v>-183.2</c:v>
                </c:pt>
                <c:pt idx="2">
                  <c:v>-253.70000000000005</c:v>
                </c:pt>
                <c:pt idx="3">
                  <c:v>-237.5</c:v>
                </c:pt>
                <c:pt idx="4">
                  <c:v>-260.89999999999998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33-4221-BB37-7103809F1204}"/>
            </c:ext>
          </c:extLst>
        </c:ser>
        <c:ser>
          <c:idx val="11"/>
          <c:order val="11"/>
          <c:tx>
            <c:strRef>
              <c:f>[13]Bal_Com_pe_luni_Milioane_USD!$M$19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[13]Bal_Com_pe_luni_Milioane_USD!$A$20:$A$25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[13]Bal_Com_pe_luni_Milioane_USD!$M$20:$M$25</c:f>
              <c:numCache>
                <c:formatCode>General</c:formatCode>
                <c:ptCount val="6"/>
                <c:pt idx="0">
                  <c:v>-197.9</c:v>
                </c:pt>
                <c:pt idx="1">
                  <c:v>-238.3</c:v>
                </c:pt>
                <c:pt idx="2">
                  <c:v>-300.49999999999994</c:v>
                </c:pt>
                <c:pt idx="3">
                  <c:v>-321.39999999999998</c:v>
                </c:pt>
                <c:pt idx="4">
                  <c:v>-348.9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33-4221-BB37-7103809F1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18439440"/>
        <c:axId val="418440000"/>
      </c:barChart>
      <c:catAx>
        <c:axId val="41843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gradFill>
              <a:gsLst>
                <a:gs pos="0">
                  <a:schemeClr val="tx1">
                    <a:alpha val="9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8440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8440000"/>
        <c:scaling>
          <c:orientation val="minMax"/>
          <c:min val="-4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843944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8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95502632723057"/>
          <c:w val="1"/>
          <c:h val="9.044971852016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62778414308116E-2"/>
          <c:y val="6.8799149302478671E-2"/>
          <c:w val="0.90019805713940926"/>
          <c:h val="0.716564127233291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[14]EXP_IMP_BAL_COM_Milioane_USD!$B$22</c:f>
              <c:strCache>
                <c:ptCount val="1"/>
                <c:pt idx="0">
                  <c:v>Export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158023350529495E-2"/>
                  <c:y val="7.55423920633766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D2C-4A3E-9B06-2ADBC8010143}"/>
                </c:ext>
              </c:extLst>
            </c:dLbl>
            <c:dLbl>
              <c:idx val="1"/>
              <c:layout>
                <c:manualLayout>
                  <c:x val="-1.2511378128254027E-2"/>
                  <c:y val="-1.99372472577775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2C-4A3E-9B06-2ADBC8010143}"/>
                </c:ext>
              </c:extLst>
            </c:dLbl>
            <c:dLbl>
              <c:idx val="2"/>
              <c:layout>
                <c:manualLayout>
                  <c:x val="-1.4527656554074871E-2"/>
                  <c:y val="3.77713372147695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D2C-4A3E-9B06-2ADBC8010143}"/>
                </c:ext>
              </c:extLst>
            </c:dLbl>
            <c:dLbl>
              <c:idx val="3"/>
              <c:layout>
                <c:manualLayout>
                  <c:x val="-1.2473158537203651E-2"/>
                  <c:y val="7.55426744295399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D2C-4A3E-9B06-2ADBC8010143}"/>
                </c:ext>
              </c:extLst>
            </c:dLbl>
            <c:dLbl>
              <c:idx val="4"/>
              <c:layout>
                <c:manualLayout>
                  <c:x val="-1.2555993650868081E-2"/>
                  <c:y val="-5.65971598827019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D2C-4A3E-9B06-2ADBC8010143}"/>
                </c:ext>
              </c:extLst>
            </c:dLbl>
            <c:dLbl>
              <c:idx val="5"/>
              <c:layout>
                <c:manualLayout>
                  <c:x val="-9.9058940069341253E-3"/>
                  <c:y val="-3.98113388654696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D2C-4A3E-9B06-2ADBC80101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[14]EXP_IMP_BAL_COM_Milioane_USD!$A$23:$A$28</c:f>
              <c:strCache>
                <c:ptCount val="6"/>
                <c:pt idx="0">
                  <c:v>Ianuarie -    februarie 2016</c:v>
                </c:pt>
                <c:pt idx="1">
                  <c:v>Ianuarie -    februarie 2017</c:v>
                </c:pt>
                <c:pt idx="2">
                  <c:v>Ianuarie -    februarie 2018</c:v>
                </c:pt>
                <c:pt idx="3">
                  <c:v>Ianuarie -    februarie 2019</c:v>
                </c:pt>
                <c:pt idx="4">
                  <c:v>Ianuarie -    februarie 2020</c:v>
                </c:pt>
                <c:pt idx="5">
                  <c:v>Ianuarie -    februarie 2021</c:v>
                </c:pt>
              </c:strCache>
            </c:strRef>
          </c:cat>
          <c:val>
            <c:numRef>
              <c:f>[14]EXP_IMP_BAL_COM_Milioane_USD!$B$23:$B$28</c:f>
              <c:numCache>
                <c:formatCode>General</c:formatCode>
                <c:ptCount val="6"/>
                <c:pt idx="0">
                  <c:v>255.2</c:v>
                </c:pt>
                <c:pt idx="1">
                  <c:v>316.10000000000002</c:v>
                </c:pt>
                <c:pt idx="2">
                  <c:v>435.8</c:v>
                </c:pt>
                <c:pt idx="3">
                  <c:v>475.7</c:v>
                </c:pt>
                <c:pt idx="4">
                  <c:v>464.8</c:v>
                </c:pt>
                <c:pt idx="5">
                  <c:v>425.6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2C-4A3E-9B06-2ADBC8010143}"/>
            </c:ext>
          </c:extLst>
        </c:ser>
        <c:ser>
          <c:idx val="2"/>
          <c:order val="2"/>
          <c:tx>
            <c:strRef>
              <c:f>[14]EXP_IMP_BAL_COM_Milioane_USD!$C$22</c:f>
              <c:strCache>
                <c:ptCount val="1"/>
                <c:pt idx="0">
                  <c:v>Import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7664348325729409E-17"/>
                  <c:y val="1.1331444759206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D2C-4A3E-9B06-2ADBC8010143}"/>
                </c:ext>
              </c:extLst>
            </c:dLbl>
            <c:dLbl>
              <c:idx val="1"/>
              <c:layout>
                <c:manualLayout>
                  <c:x val="-2.0544427324088342E-3"/>
                  <c:y val="1.1331444759206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D2C-4A3E-9B06-2ADBC8010143}"/>
                </c:ext>
              </c:extLst>
            </c:dLbl>
            <c:dLbl>
              <c:idx val="2"/>
              <c:layout>
                <c:manualLayout>
                  <c:x val="-4.1088854648176684E-3"/>
                  <c:y val="3.7771482530689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D2C-4A3E-9B06-2ADBC8010143}"/>
                </c:ext>
              </c:extLst>
            </c:dLbl>
            <c:dLbl>
              <c:idx val="3"/>
              <c:layout>
                <c:manualLayout>
                  <c:x val="-4.1088854648176684E-3"/>
                  <c:y val="1.1331444759206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D2C-4A3E-9B06-2ADBC8010143}"/>
                </c:ext>
              </c:extLst>
            </c:dLbl>
            <c:dLbl>
              <c:idx val="4"/>
              <c:layout>
                <c:manualLayout>
                  <c:x val="0"/>
                  <c:y val="7.55429650613784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D2C-4A3E-9B06-2ADBC80101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[14]EXP_IMP_BAL_COM_Milioane_USD!$A$23:$A$28</c:f>
              <c:strCache>
                <c:ptCount val="6"/>
                <c:pt idx="0">
                  <c:v>Ianuarie -    februarie 2016</c:v>
                </c:pt>
                <c:pt idx="1">
                  <c:v>Ianuarie -    februarie 2017</c:v>
                </c:pt>
                <c:pt idx="2">
                  <c:v>Ianuarie -    februarie 2018</c:v>
                </c:pt>
                <c:pt idx="3">
                  <c:v>Ianuarie -    februarie 2019</c:v>
                </c:pt>
                <c:pt idx="4">
                  <c:v>Ianuarie -    februarie 2020</c:v>
                </c:pt>
                <c:pt idx="5">
                  <c:v>Ianuarie -    februarie 2021</c:v>
                </c:pt>
              </c:strCache>
            </c:strRef>
          </c:cat>
          <c:val>
            <c:numRef>
              <c:f>[14]EXP_IMP_BAL_COM_Milioane_USD!$C$23:$C$28</c:f>
              <c:numCache>
                <c:formatCode>General</c:formatCode>
                <c:ptCount val="6"/>
                <c:pt idx="0">
                  <c:v>494.3</c:v>
                </c:pt>
                <c:pt idx="1">
                  <c:v>599.5</c:v>
                </c:pt>
                <c:pt idx="2">
                  <c:v>801.9</c:v>
                </c:pt>
                <c:pt idx="3">
                  <c:v>831.8</c:v>
                </c:pt>
                <c:pt idx="4">
                  <c:v>864.6</c:v>
                </c:pt>
                <c:pt idx="5">
                  <c:v>923.2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D2C-4A3E-9B06-2ADBC80101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418443360"/>
        <c:axId val="418443920"/>
      </c:barChart>
      <c:lineChart>
        <c:grouping val="standard"/>
        <c:varyColors val="0"/>
        <c:ser>
          <c:idx val="1"/>
          <c:order val="1"/>
          <c:tx>
            <c:strRef>
              <c:f>[14]EXP_IMP_BAL_COM_Milioane_USD!$D$22</c:f>
              <c:strCache>
                <c:ptCount val="1"/>
                <c:pt idx="0">
                  <c:v>Balanţa Comercială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3243478294782265E-2"/>
                  <c:y val="-3.4637119871416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D2C-4A3E-9B06-2ADBC8010143}"/>
                </c:ext>
              </c:extLst>
            </c:dLbl>
            <c:dLbl>
              <c:idx val="1"/>
              <c:layout>
                <c:manualLayout>
                  <c:x val="-4.0116998748113399E-2"/>
                  <c:y val="-3.9066745321329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D2C-4A3E-9B06-2ADBC8010143}"/>
                </c:ext>
              </c:extLst>
            </c:dLbl>
            <c:dLbl>
              <c:idx val="2"/>
              <c:layout>
                <c:manualLayout>
                  <c:x val="-3.9400654412997782E-2"/>
                  <c:y val="3.9134456727110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D2C-4A3E-9B06-2ADBC8010143}"/>
                </c:ext>
              </c:extLst>
            </c:dLbl>
            <c:dLbl>
              <c:idx val="3"/>
              <c:layout>
                <c:manualLayout>
                  <c:x val="-4.6946028298187004E-2"/>
                  <c:y val="-4.4014544053552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D2C-4A3E-9B06-2ADBC8010143}"/>
                </c:ext>
              </c:extLst>
            </c:dLbl>
            <c:dLbl>
              <c:idx val="4"/>
              <c:layout>
                <c:manualLayout>
                  <c:x val="-3.9895169121690395E-2"/>
                  <c:y val="3.9390939324766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D2C-4A3E-9B06-2ADBC8010143}"/>
                </c:ext>
              </c:extLst>
            </c:dLbl>
            <c:dLbl>
              <c:idx val="5"/>
              <c:layout>
                <c:manualLayout>
                  <c:x val="-1.9811788013868396E-2"/>
                  <c:y val="-3.9087947882736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D2C-4A3E-9B06-2ADBC80101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[14]EXP_IMP_BAL_COM_Milioane_USD!$A$23:$A$28</c:f>
              <c:strCache>
                <c:ptCount val="6"/>
                <c:pt idx="0">
                  <c:v>Ianuarie -    februarie 2016</c:v>
                </c:pt>
                <c:pt idx="1">
                  <c:v>Ianuarie -    februarie 2017</c:v>
                </c:pt>
                <c:pt idx="2">
                  <c:v>Ianuarie -    februarie 2018</c:v>
                </c:pt>
                <c:pt idx="3">
                  <c:v>Ianuarie -    februarie 2019</c:v>
                </c:pt>
                <c:pt idx="4">
                  <c:v>Ianuarie -    februarie 2020</c:v>
                </c:pt>
                <c:pt idx="5">
                  <c:v>Ianuarie -    februarie 2021</c:v>
                </c:pt>
              </c:strCache>
            </c:strRef>
          </c:cat>
          <c:val>
            <c:numRef>
              <c:f>[14]EXP_IMP_BAL_COM_Milioane_USD!$D$23:$D$28</c:f>
              <c:numCache>
                <c:formatCode>General</c:formatCode>
                <c:ptCount val="6"/>
                <c:pt idx="0">
                  <c:v>-239.1</c:v>
                </c:pt>
                <c:pt idx="1">
                  <c:v>-283.39999999999998</c:v>
                </c:pt>
                <c:pt idx="2">
                  <c:v>-366.1</c:v>
                </c:pt>
                <c:pt idx="3">
                  <c:v>-356.1</c:v>
                </c:pt>
                <c:pt idx="4">
                  <c:v>-399.8</c:v>
                </c:pt>
                <c:pt idx="5">
                  <c:v>-497.6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D2C-4A3E-9B06-2ADBC80101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8443360"/>
        <c:axId val="418443920"/>
      </c:lineChart>
      <c:catAx>
        <c:axId val="41844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8443920"/>
        <c:crosses val="autoZero"/>
        <c:auto val="1"/>
        <c:lblAlgn val="ctr"/>
        <c:lblOffset val="100"/>
        <c:noMultiLvlLbl val="0"/>
      </c:catAx>
      <c:valAx>
        <c:axId val="418443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844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326074032733594E-2"/>
          <c:y val="0.95037841423668179"/>
          <c:w val="0.91676336297716254"/>
          <c:h val="4.89368636612731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2225680993372"/>
          <c:y val="7.7845040012200314E-2"/>
          <c:w val="0.89823830143437733"/>
          <c:h val="0.68348479375857829"/>
        </c:manualLayout>
      </c:layout>
      <c:lineChart>
        <c:grouping val="standard"/>
        <c:varyColors val="0"/>
        <c:ser>
          <c:idx val="0"/>
          <c:order val="0"/>
          <c:tx>
            <c:strRef>
              <c:f>[1]_INDICI_valorici_lunari_Export!$A$23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126439898025659E-2"/>
                  <c:y val="-3.0709464069284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8C-45EE-B332-341AC82C0A62}"/>
                </c:ext>
              </c:extLst>
            </c:dLbl>
            <c:dLbl>
              <c:idx val="1"/>
              <c:layout>
                <c:manualLayout>
                  <c:x val="-2.8916729741637389E-2"/>
                  <c:y val="3.42305376965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8C-45EE-B332-341AC82C0A62}"/>
                </c:ext>
              </c:extLst>
            </c:dLbl>
            <c:dLbl>
              <c:idx val="2"/>
              <c:layout>
                <c:manualLayout>
                  <c:x val="-3.5382312748096591E-2"/>
                  <c:y val="-3.8864501312335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8C-45EE-B332-341AC82C0A62}"/>
                </c:ext>
              </c:extLst>
            </c:dLbl>
            <c:dLbl>
              <c:idx val="3"/>
              <c:layout>
                <c:manualLayout>
                  <c:x val="-3.4865783822476737E-2"/>
                  <c:y val="4.0302165354330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8C-45EE-B332-341AC82C0A62}"/>
                </c:ext>
              </c:extLst>
            </c:dLbl>
            <c:dLbl>
              <c:idx val="4"/>
              <c:layout>
                <c:manualLayout>
                  <c:x val="-2.9126854121714018E-2"/>
                  <c:y val="-3.4697681138481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8C-45EE-B332-341AC82C0A62}"/>
                </c:ext>
              </c:extLst>
            </c:dLbl>
            <c:dLbl>
              <c:idx val="5"/>
              <c:layout>
                <c:manualLayout>
                  <c:x val="-2.9586416475558919E-2"/>
                  <c:y val="-3.895366290222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D8C-45EE-B332-341AC82C0A62}"/>
                </c:ext>
              </c:extLst>
            </c:dLbl>
            <c:dLbl>
              <c:idx val="6"/>
              <c:layout>
                <c:manualLayout>
                  <c:x val="-3.9514544153055324E-2"/>
                  <c:y val="-3.4697834645669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D8C-45EE-B332-341AC82C0A62}"/>
                </c:ext>
              </c:extLst>
            </c:dLbl>
            <c:dLbl>
              <c:idx val="7"/>
              <c:layout>
                <c:manualLayout>
                  <c:x val="-3.4865783822476737E-2"/>
                  <c:y val="3.6135498687663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D8C-45EE-B332-341AC82C0A62}"/>
                </c:ext>
              </c:extLst>
            </c:dLbl>
            <c:dLbl>
              <c:idx val="8"/>
              <c:layout>
                <c:manualLayout>
                  <c:x val="-1.678727142578252E-2"/>
                  <c:y val="-3.4697834645669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D8C-45EE-B332-341AC82C0A62}"/>
                </c:ext>
              </c:extLst>
            </c:dLbl>
            <c:dLbl>
              <c:idx val="9"/>
              <c:layout>
                <c:manualLayout>
                  <c:x val="-8.5228086158651659E-3"/>
                  <c:y val="-1.3864501312335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D8C-45EE-B332-341AC82C0A62}"/>
                </c:ext>
              </c:extLst>
            </c:dLbl>
            <c:dLbl>
              <c:idx val="10"/>
              <c:layout>
                <c:manualLayout>
                  <c:x val="-1.8336858202642026E-2"/>
                  <c:y val="-4.3031167979002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D8C-45EE-B332-341AC82C0A62}"/>
                </c:ext>
              </c:extLst>
            </c:dLbl>
            <c:dLbl>
              <c:idx val="11"/>
              <c:layout>
                <c:manualLayout>
                  <c:x val="-3.4865783822476737E-2"/>
                  <c:y val="4.0302165354330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D8C-45EE-B332-341AC82C0A62}"/>
                </c:ext>
              </c:extLst>
            </c:dLbl>
            <c:dLbl>
              <c:idx val="12"/>
              <c:layout>
                <c:manualLayout>
                  <c:x val="-5.2217490030388954E-2"/>
                  <c:y val="-3.0531275333702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D8C-45EE-B332-341AC82C0A62}"/>
                </c:ext>
              </c:extLst>
            </c:dLbl>
            <c:dLbl>
              <c:idx val="13"/>
              <c:layout>
                <c:manualLayout>
                  <c:x val="-3.9514576806931469E-2"/>
                  <c:y val="-3.062020917110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D8C-45EE-B332-341AC82C0A62}"/>
                </c:ext>
              </c:extLst>
            </c:dLbl>
            <c:dLbl>
              <c:idx val="14"/>
              <c:layout>
                <c:manualLayout>
                  <c:x val="-1.2138511095204009E-2"/>
                  <c:y val="-2.2197834645669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D8C-45EE-B332-341AC82C0A62}"/>
                </c:ext>
              </c:extLst>
            </c:dLbl>
            <c:dLbl>
              <c:idx val="15"/>
              <c:layout>
                <c:manualLayout>
                  <c:x val="-1.2120581701480938E-2"/>
                  <c:y val="-3.8596964370279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D8C-45EE-B332-341AC82C0A62}"/>
                </c:ext>
              </c:extLst>
            </c:dLbl>
            <c:dLbl>
              <c:idx val="16"/>
              <c:layout>
                <c:manualLayout>
                  <c:x val="-6.6374048285286646E-2"/>
                  <c:y val="-1.8031167979002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D8C-45EE-B332-341AC82C0A62}"/>
                </c:ext>
              </c:extLst>
            </c:dLbl>
            <c:dLbl>
              <c:idx val="17"/>
              <c:layout>
                <c:manualLayout>
                  <c:x val="-3.3316197045617384E-2"/>
                  <c:y val="-3.0531167979002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D8C-45EE-B332-341AC82C0A62}"/>
                </c:ext>
              </c:extLst>
            </c:dLbl>
            <c:dLbl>
              <c:idx val="18"/>
              <c:layout>
                <c:manualLayout>
                  <c:x val="-1.2591813120134177E-2"/>
                  <c:y val="-1.043929141884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D8C-45EE-B332-341AC82C0A62}"/>
                </c:ext>
              </c:extLst>
            </c:dLbl>
            <c:dLbl>
              <c:idx val="19"/>
              <c:layout>
                <c:manualLayout>
                  <c:x val="-3.3246567319580922E-2"/>
                  <c:y val="3.462417346199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D8C-45EE-B332-341AC82C0A62}"/>
                </c:ext>
              </c:extLst>
            </c:dLbl>
            <c:dLbl>
              <c:idx val="20"/>
              <c:layout>
                <c:manualLayout>
                  <c:x val="-3.9256198347107439E-2"/>
                  <c:y val="-3.1026998818130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D8C-45EE-B332-341AC82C0A62}"/>
                </c:ext>
              </c:extLst>
            </c:dLbl>
            <c:dLbl>
              <c:idx val="21"/>
              <c:layout>
                <c:manualLayout>
                  <c:x val="-1.6492938382702164E-2"/>
                  <c:y val="-2.2540393459991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D8C-45EE-B332-341AC82C0A62}"/>
                </c:ext>
              </c:extLst>
            </c:dLbl>
            <c:dLbl>
              <c:idx val="22"/>
              <c:layout>
                <c:manualLayout>
                  <c:x val="-1.864895920268031E-2"/>
                  <c:y val="-3.1768322537664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D8C-45EE-B332-341AC82C0A62}"/>
                </c:ext>
              </c:extLst>
            </c:dLbl>
            <c:dLbl>
              <c:idx val="23"/>
              <c:layout>
                <c:manualLayout>
                  <c:x val="-3.8357585097880252E-2"/>
                  <c:y val="3.3323219918611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D8C-45EE-B332-341AC82C0A62}"/>
                </c:ext>
              </c:extLst>
            </c:dLbl>
            <c:dLbl>
              <c:idx val="24"/>
              <c:layout>
                <c:manualLayout>
                  <c:x val="-5.4469812507296128E-2"/>
                  <c:y val="-3.37402778781100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D8C-45EE-B332-341AC82C0A62}"/>
                </c:ext>
              </c:extLst>
            </c:dLbl>
            <c:dLbl>
              <c:idx val="25"/>
              <c:layout>
                <c:manualLayout>
                  <c:x val="0"/>
                  <c:y val="-4.4148747461613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D8C-45EE-B332-341AC82C0A6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[1]_INDICI_valorici_lunari_Export!$B$21:$AA$22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[1]_INDICI_valorici_lunari_Export!$B$23:$AA$23</c:f>
              <c:numCache>
                <c:formatCode>General</c:formatCode>
                <c:ptCount val="26"/>
                <c:pt idx="0">
                  <c:v>107.04955714362214</c:v>
                </c:pt>
                <c:pt idx="1">
                  <c:v>103.05469693630643</c:v>
                </c:pt>
                <c:pt idx="2">
                  <c:v>106.5540849399146</c:v>
                </c:pt>
                <c:pt idx="3">
                  <c:v>83.804058120513616</c:v>
                </c:pt>
                <c:pt idx="4">
                  <c:v>97.663587687631406</c:v>
                </c:pt>
                <c:pt idx="5">
                  <c:v>96.047232355670943</c:v>
                </c:pt>
                <c:pt idx="6">
                  <c:v>108.87893967295254</c:v>
                </c:pt>
                <c:pt idx="7">
                  <c:v>93.476142278451405</c:v>
                </c:pt>
                <c:pt idx="8">
                  <c:v>116.03027535062083</c:v>
                </c:pt>
                <c:pt idx="9">
                  <c:v>112.37403253245004</c:v>
                </c:pt>
                <c:pt idx="10">
                  <c:v>99.332915825323369</c:v>
                </c:pt>
                <c:pt idx="11">
                  <c:v>81.894486392152885</c:v>
                </c:pt>
                <c:pt idx="12">
                  <c:v>100.54069338788538</c:v>
                </c:pt>
                <c:pt idx="13">
                  <c:v>111.77933359663091</c:v>
                </c:pt>
                <c:pt idx="14">
                  <c:v>85.694935103741471</c:v>
                </c:pt>
                <c:pt idx="15">
                  <c:v>71.283537880135214</c:v>
                </c:pt>
                <c:pt idx="16">
                  <c:v>103.90424682350312</c:v>
                </c:pt>
                <c:pt idx="17">
                  <c:v>121.7567454858746</c:v>
                </c:pt>
                <c:pt idx="18">
                  <c:v>110.31536699031417</c:v>
                </c:pt>
                <c:pt idx="19">
                  <c:v>78.37124914745101</c:v>
                </c:pt>
                <c:pt idx="20">
                  <c:v>129.49769240283013</c:v>
                </c:pt>
                <c:pt idx="21">
                  <c:v>117.50528032013585</c:v>
                </c:pt>
                <c:pt idx="22">
                  <c:v>105.05714898180969</c:v>
                </c:pt>
                <c:pt idx="23">
                  <c:v>83.30679503578223</c:v>
                </c:pt>
                <c:pt idx="24">
                  <c:v>90.984457285636111</c:v>
                </c:pt>
                <c:pt idx="25">
                  <c:v>114.31681535818758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D8C-45EE-B332-341AC82C0A62}"/>
            </c:ext>
          </c:extLst>
        </c:ser>
        <c:ser>
          <c:idx val="1"/>
          <c:order val="1"/>
          <c:tx>
            <c:strRef>
              <c:f>[1]_INDICI_valorici_lunari_Export!$A$24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316197045617238E-2"/>
                  <c:y val="3.6135498687664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D8C-45EE-B332-341AC82C0A62}"/>
                </c:ext>
              </c:extLst>
            </c:dLbl>
            <c:dLbl>
              <c:idx val="1"/>
              <c:layout>
                <c:manualLayout>
                  <c:x val="-3.5346212354086373E-2"/>
                  <c:y val="-3.19179368633966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2D8C-45EE-B332-341AC82C0A62}"/>
                </c:ext>
              </c:extLst>
            </c:dLbl>
            <c:dLbl>
              <c:idx val="2"/>
              <c:layout>
                <c:manualLayout>
                  <c:x val="-8.5228086158651659E-3"/>
                  <c:y val="2.3845728482752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D8C-45EE-B332-341AC82C0A62}"/>
                </c:ext>
              </c:extLst>
            </c:dLbl>
            <c:dLbl>
              <c:idx val="3"/>
              <c:layout>
                <c:manualLayout>
                  <c:x val="-2.2985618533220575E-2"/>
                  <c:y val="-3.4697834645669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2D8C-45EE-B332-341AC82C0A62}"/>
                </c:ext>
              </c:extLst>
            </c:dLbl>
            <c:dLbl>
              <c:idx val="4"/>
              <c:layout>
                <c:manualLayout>
                  <c:x val="-3.4865783822476737E-2"/>
                  <c:y val="3.1968832020997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2D8C-45EE-B332-341AC82C0A62}"/>
                </c:ext>
              </c:extLst>
            </c:dLbl>
            <c:dLbl>
              <c:idx val="5"/>
              <c:layout>
                <c:manualLayout>
                  <c:x val="-1.8336858202642102E-2"/>
                  <c:y val="2.7802165354330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2D8C-45EE-B332-341AC82C0A62}"/>
                </c:ext>
              </c:extLst>
            </c:dLbl>
            <c:dLbl>
              <c:idx val="6"/>
              <c:layout>
                <c:manualLayout>
                  <c:x val="-3.9514544153055324E-2"/>
                  <c:y val="4.4468832020997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2D8C-45EE-B332-341AC82C0A62}"/>
                </c:ext>
              </c:extLst>
            </c:dLbl>
            <c:dLbl>
              <c:idx val="7"/>
              <c:layout>
                <c:manualLayout>
                  <c:x val="-5.9401639877659923E-3"/>
                  <c:y val="-1.3645013123359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2D8C-45EE-B332-341AC82C0A62}"/>
                </c:ext>
              </c:extLst>
            </c:dLbl>
            <c:dLbl>
              <c:idx val="8"/>
              <c:layout>
                <c:manualLayout>
                  <c:x val="-6.6680373705080259E-2"/>
                  <c:y val="6.43373706727026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2D8C-45EE-B332-341AC82C0A62}"/>
                </c:ext>
              </c:extLst>
            </c:dLbl>
            <c:dLbl>
              <c:idx val="9"/>
              <c:layout>
                <c:manualLayout>
                  <c:x val="-6.0175701177848713E-2"/>
                  <c:y val="3.1968832020997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2D8C-45EE-B332-341AC82C0A62}"/>
                </c:ext>
              </c:extLst>
            </c:dLbl>
            <c:dLbl>
              <c:idx val="10"/>
              <c:layout>
                <c:manualLayout>
                  <c:x val="-4.5196362334873508E-2"/>
                  <c:y val="3.1968832020997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2D8C-45EE-B332-341AC82C0A62}"/>
                </c:ext>
              </c:extLst>
            </c:dLbl>
            <c:dLbl>
              <c:idx val="11"/>
              <c:layout>
                <c:manualLayout>
                  <c:x val="-3.2799668119997398E-2"/>
                  <c:y val="3.61354986876641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2D8C-45EE-B332-341AC82C0A62}"/>
                </c:ext>
              </c:extLst>
            </c:dLbl>
            <c:dLbl>
              <c:idx val="12"/>
              <c:layout>
                <c:manualLayout>
                  <c:x val="-3.0733552417518208E-2"/>
                  <c:y val="3.6135498687663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2D8C-45EE-B332-341AC82C0A62}"/>
                </c:ext>
              </c:extLst>
            </c:dLbl>
            <c:dLbl>
              <c:idx val="13"/>
              <c:layout>
                <c:manualLayout>
                  <c:x val="-3.9514544153055248E-2"/>
                  <c:y val="-2.972694202698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2D8C-45EE-B332-341AC82C0A62}"/>
                </c:ext>
              </c:extLst>
            </c:dLbl>
            <c:dLbl>
              <c:idx val="14"/>
              <c:layout>
                <c:manualLayout>
                  <c:x val="-5.3460825144790787E-2"/>
                  <c:y val="2.7802165354330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2D8C-45EE-B332-341AC82C0A62}"/>
                </c:ext>
              </c:extLst>
            </c:dLbl>
            <c:dLbl>
              <c:idx val="15"/>
              <c:layout>
                <c:manualLayout>
                  <c:x val="-3.8998015227435415E-2"/>
                  <c:y val="3.6135498687664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2D8C-45EE-B332-341AC82C0A62}"/>
                </c:ext>
              </c:extLst>
            </c:dLbl>
            <c:dLbl>
              <c:idx val="16"/>
              <c:layout>
                <c:manualLayout>
                  <c:x val="-2.0331007011220523E-2"/>
                  <c:y val="3.1701220833634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2D8C-45EE-B332-341AC82C0A62}"/>
                </c:ext>
              </c:extLst>
            </c:dLbl>
            <c:dLbl>
              <c:idx val="17"/>
              <c:layout>
                <c:manualLayout>
                  <c:x val="-4.9346573613782301E-2"/>
                  <c:y val="-2.2376331398942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2D8C-45EE-B332-341AC82C0A62}"/>
                </c:ext>
              </c:extLst>
            </c:dLbl>
            <c:dLbl>
              <c:idx val="18"/>
              <c:layout>
                <c:manualLayout>
                  <c:x val="-3.7937626081863733E-2"/>
                  <c:y val="-3.473740861256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2D8C-45EE-B332-341AC82C0A62}"/>
                </c:ext>
              </c:extLst>
            </c:dLbl>
            <c:dLbl>
              <c:idx val="19"/>
              <c:layout>
                <c:manualLayout>
                  <c:x val="-6.2172187154291667E-2"/>
                  <c:y val="-1.1642951159294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2D8C-45EE-B332-341AC82C0A62}"/>
                </c:ext>
              </c:extLst>
            </c:dLbl>
            <c:dLbl>
              <c:idx val="20"/>
              <c:layout>
                <c:manualLayout>
                  <c:x val="-3.0883881450302582E-2"/>
                  <c:y val="-3.430406061627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2D8C-45EE-B332-341AC82C0A62}"/>
                </c:ext>
              </c:extLst>
            </c:dLbl>
            <c:dLbl>
              <c:idx val="21"/>
              <c:layout>
                <c:manualLayout>
                  <c:x val="-1.4696550028020691E-2"/>
                  <c:y val="2.6746931862874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2D8C-45EE-B332-341AC82C0A62}"/>
                </c:ext>
              </c:extLst>
            </c:dLbl>
            <c:dLbl>
              <c:idx val="22"/>
              <c:layout>
                <c:manualLayout>
                  <c:x val="-4.7107014848950336E-2"/>
                  <c:y val="-2.5938179745880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2D8C-45EE-B332-341AC82C0A62}"/>
                </c:ext>
              </c:extLst>
            </c:dLbl>
            <c:dLbl>
              <c:idx val="23"/>
              <c:layout>
                <c:manualLayout>
                  <c:x val="-2.3312287518212724E-2"/>
                  <c:y val="-2.783885959209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2D8C-45EE-B332-341AC82C0A62}"/>
                </c:ext>
              </c:extLst>
            </c:dLbl>
            <c:dLbl>
              <c:idx val="24"/>
              <c:layout>
                <c:manualLayout>
                  <c:x val="-1.3009033842075336E-2"/>
                  <c:y val="2.109080401647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2D8C-45EE-B332-341AC82C0A62}"/>
                </c:ext>
              </c:extLst>
            </c:dLbl>
            <c:dLbl>
              <c:idx val="25"/>
              <c:layout>
                <c:manualLayout>
                  <c:x val="-1.7719736252480634E-3"/>
                  <c:y val="-4.0071275494232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2D8C-45EE-B332-341AC82C0A6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[1]_INDICI_valorici_lunari_Export!$B$21:$AA$22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[1]_INDICI_valorici_lunari_Export!$B$24:$AA$24</c:f>
              <c:numCache>
                <c:formatCode>General</c:formatCode>
                <c:ptCount val="26"/>
                <c:pt idx="0">
                  <c:v>106.32363840150403</c:v>
                </c:pt>
                <c:pt idx="1">
                  <c:v>112.03752197942065</c:v>
                </c:pt>
                <c:pt idx="2">
                  <c:v>106.24094623150131</c:v>
                </c:pt>
                <c:pt idx="3">
                  <c:v>107.92813662968615</c:v>
                </c:pt>
                <c:pt idx="4">
                  <c:v>94.400104290284631</c:v>
                </c:pt>
                <c:pt idx="5">
                  <c:v>94.437390084542201</c:v>
                </c:pt>
                <c:pt idx="6">
                  <c:v>100.6095432052643</c:v>
                </c:pt>
                <c:pt idx="7">
                  <c:v>94.145274542115814</c:v>
                </c:pt>
                <c:pt idx="8">
                  <c:v>115.19027152038439</c:v>
                </c:pt>
                <c:pt idx="9">
                  <c:v>103.62098669571817</c:v>
                </c:pt>
                <c:pt idx="10">
                  <c:v>99.147688156183818</c:v>
                </c:pt>
                <c:pt idx="11">
                  <c:v>99.755109028932736</c:v>
                </c:pt>
                <c:pt idx="12">
                  <c:v>93.68976480021378</c:v>
                </c:pt>
                <c:pt idx="13">
                  <c:v>101.62156394157972</c:v>
                </c:pt>
                <c:pt idx="14">
                  <c:v>81.728010071364707</c:v>
                </c:pt>
                <c:pt idx="15">
                  <c:v>69.517656214361068</c:v>
                </c:pt>
                <c:pt idx="16">
                  <c:v>73.959803043393492</c:v>
                </c:pt>
                <c:pt idx="17">
                  <c:v>93.757047386781721</c:v>
                </c:pt>
                <c:pt idx="18">
                  <c:v>94.993973319988584</c:v>
                </c:pt>
                <c:pt idx="19">
                  <c:v>79.643812518387932</c:v>
                </c:pt>
                <c:pt idx="20">
                  <c:v>88.887920882105263</c:v>
                </c:pt>
                <c:pt idx="21">
                  <c:v>92.946740621813817</c:v>
                </c:pt>
                <c:pt idx="22">
                  <c:v>98.302959253212165</c:v>
                </c:pt>
                <c:pt idx="23">
                  <c:v>99.99607207443853</c:v>
                </c:pt>
                <c:pt idx="24">
                  <c:v>90.49160150165801</c:v>
                </c:pt>
                <c:pt idx="25">
                  <c:v>92.545834309572115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2D8C-45EE-B332-341AC82C0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131392"/>
        <c:axId val="351123552"/>
      </c:lineChart>
      <c:catAx>
        <c:axId val="35113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1123552"/>
        <c:crossesAt val="50"/>
        <c:auto val="0"/>
        <c:lblAlgn val="ctr"/>
        <c:lblOffset val="100"/>
        <c:noMultiLvlLbl val="0"/>
      </c:catAx>
      <c:valAx>
        <c:axId val="35112355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113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9311033036221973E-2"/>
          <c:y val="0.92998049555732143"/>
          <c:w val="0.90022613392334228"/>
          <c:h val="6.7859894706144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3412934038983"/>
          <c:y val="2.5787239558018211E-2"/>
          <c:w val="0.81282173982395844"/>
          <c:h val="0.744733158355205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[2]STRUCTURA_Export_Mod_transport!$B$21</c:f>
              <c:strCache>
                <c:ptCount val="1"/>
                <c:pt idx="0">
                  <c:v>Ianuarie - februarie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[2]STRUCTURA_Export_Mod_transport!$A$22:$A$25</c:f>
              <c:strCache>
                <c:ptCount val="4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</c:strCache>
            </c:strRef>
          </c:cat>
          <c:val>
            <c:numRef>
              <c:f>[2]STRUCTURA_Export_Mod_transport!$B$22:$B$25</c:f>
              <c:numCache>
                <c:formatCode>General</c:formatCode>
                <c:ptCount val="4"/>
                <c:pt idx="0">
                  <c:v>4.2323736963769987</c:v>
                </c:pt>
                <c:pt idx="1">
                  <c:v>1.1437778157753724</c:v>
                </c:pt>
                <c:pt idx="2">
                  <c:v>93.724289444899952</c:v>
                </c:pt>
                <c:pt idx="3">
                  <c:v>0.87057773050901177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2-423F-8D54-2DEAA91EB392}"/>
            </c:ext>
          </c:extLst>
        </c:ser>
        <c:ser>
          <c:idx val="1"/>
          <c:order val="1"/>
          <c:tx>
            <c:strRef>
              <c:f>[2]STRUCTURA_Export_Mod_transport!$C$21</c:f>
              <c:strCache>
                <c:ptCount val="1"/>
                <c:pt idx="0">
                  <c:v>Ianuarie - februarie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[2]STRUCTURA_Export_Mod_transport!$A$22:$A$25</c:f>
              <c:strCache>
                <c:ptCount val="4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</c:strCache>
            </c:strRef>
          </c:cat>
          <c:val>
            <c:numRef>
              <c:f>[2]STRUCTURA_Export_Mod_transport!$C$22:$C$25</c:f>
              <c:numCache>
                <c:formatCode>General</c:formatCode>
                <c:ptCount val="4"/>
                <c:pt idx="0">
                  <c:v>10.06743921790188</c:v>
                </c:pt>
                <c:pt idx="1">
                  <c:v>5.6730122876749531</c:v>
                </c:pt>
                <c:pt idx="2">
                  <c:v>82.794949240977076</c:v>
                </c:pt>
                <c:pt idx="3">
                  <c:v>1.4296078154828833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B2-423F-8D54-2DEAA91EB392}"/>
            </c:ext>
          </c:extLst>
        </c:ser>
        <c:ser>
          <c:idx val="2"/>
          <c:order val="2"/>
          <c:tx>
            <c:strRef>
              <c:f>[2]STRUCTURA_Export_Mod_transport!$D$21</c:f>
              <c:strCache>
                <c:ptCount val="1"/>
                <c:pt idx="0">
                  <c:v>Ianuarie - februarie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[2]STRUCTURA_Export_Mod_transport!$A$22:$A$25</c:f>
              <c:strCache>
                <c:ptCount val="4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</c:strCache>
            </c:strRef>
          </c:cat>
          <c:val>
            <c:numRef>
              <c:f>[2]STRUCTURA_Export_Mod_transport!$D$22:$D$25</c:f>
              <c:numCache>
                <c:formatCode>General</c:formatCode>
                <c:ptCount val="4"/>
                <c:pt idx="0">
                  <c:v>7.7372534879810901</c:v>
                </c:pt>
                <c:pt idx="1">
                  <c:v>6.164077463636616</c:v>
                </c:pt>
                <c:pt idx="2">
                  <c:v>84.480371553427474</c:v>
                </c:pt>
                <c:pt idx="3">
                  <c:v>1.494119556753148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B2-423F-8D54-2DEAA91EB392}"/>
            </c:ext>
          </c:extLst>
        </c:ser>
        <c:ser>
          <c:idx val="3"/>
          <c:order val="3"/>
          <c:tx>
            <c:strRef>
              <c:f>[2]STRUCTURA_Export_Mod_transport!$E$21</c:f>
              <c:strCache>
                <c:ptCount val="1"/>
                <c:pt idx="0">
                  <c:v>Ianuarie - februarie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[2]STRUCTURA_Export_Mod_transport!$A$22:$A$25</c:f>
              <c:strCache>
                <c:ptCount val="4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</c:strCache>
            </c:strRef>
          </c:cat>
          <c:val>
            <c:numRef>
              <c:f>[2]STRUCTURA_Export_Mod_transport!$E$22:$E$25</c:f>
              <c:numCache>
                <c:formatCode>General</c:formatCode>
                <c:ptCount val="4"/>
                <c:pt idx="0">
                  <c:v>7.7797871093426441</c:v>
                </c:pt>
                <c:pt idx="1">
                  <c:v>4.3064497884497612</c:v>
                </c:pt>
                <c:pt idx="2">
                  <c:v>86.299605339411556</c:v>
                </c:pt>
                <c:pt idx="3">
                  <c:v>1.5746364065009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B2-423F-8D54-2DEAA91EB392}"/>
            </c:ext>
          </c:extLst>
        </c:ser>
        <c:ser>
          <c:idx val="4"/>
          <c:order val="4"/>
          <c:tx>
            <c:strRef>
              <c:f>[2]STRUCTURA_Export_Mod_transport!$F$21</c:f>
              <c:strCache>
                <c:ptCount val="1"/>
                <c:pt idx="0">
                  <c:v>Ianuarie - februarie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[2]STRUCTURA_Export_Mod_transport!$A$22:$A$25</c:f>
              <c:strCache>
                <c:ptCount val="4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</c:strCache>
            </c:strRef>
          </c:cat>
          <c:val>
            <c:numRef>
              <c:f>[2]STRUCTURA_Export_Mod_transport!$F$22:$F$25</c:f>
              <c:numCache>
                <c:formatCode>General</c:formatCode>
                <c:ptCount val="4"/>
                <c:pt idx="0">
                  <c:v>8.5855059273859347</c:v>
                </c:pt>
                <c:pt idx="1">
                  <c:v>2.0745443990081984</c:v>
                </c:pt>
                <c:pt idx="2">
                  <c:v>87.900426653738862</c:v>
                </c:pt>
                <c:pt idx="3">
                  <c:v>1.3958416219471426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B2-423F-8D54-2DEAA91EB392}"/>
            </c:ext>
          </c:extLst>
        </c:ser>
        <c:ser>
          <c:idx val="5"/>
          <c:order val="5"/>
          <c:tx>
            <c:strRef>
              <c:f>[2]STRUCTURA_Export_Mod_transport!$G$21</c:f>
              <c:strCache>
                <c:ptCount val="1"/>
                <c:pt idx="0">
                  <c:v>Ianuarie - februarie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[2]STRUCTURA_Export_Mod_transport!$A$22:$A$25</c:f>
              <c:strCache>
                <c:ptCount val="4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</c:strCache>
            </c:strRef>
          </c:cat>
          <c:val>
            <c:numRef>
              <c:f>[2]STRUCTURA_Export_Mod_transport!$G$22:$G$25</c:f>
              <c:numCache>
                <c:formatCode>General</c:formatCode>
                <c:ptCount val="4"/>
                <c:pt idx="0">
                  <c:v>3.7941344081586954</c:v>
                </c:pt>
                <c:pt idx="1">
                  <c:v>0.53993535376576551</c:v>
                </c:pt>
                <c:pt idx="2">
                  <c:v>94.379321584866688</c:v>
                </c:pt>
                <c:pt idx="3">
                  <c:v>1.0893326397492156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B2-423F-8D54-2DEAA91EB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5023552"/>
        <c:axId val="275047408"/>
      </c:barChart>
      <c:catAx>
        <c:axId val="365023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5047408"/>
        <c:crossesAt val="0"/>
        <c:auto val="1"/>
        <c:lblAlgn val="ctr"/>
        <c:lblOffset val="100"/>
        <c:noMultiLvlLbl val="0"/>
      </c:catAx>
      <c:valAx>
        <c:axId val="275047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5023552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317179275242529"/>
          <c:y val="0.88995112137928867"/>
          <c:w val="0.89498658662142372"/>
          <c:h val="0.1100485642887453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03993862784941E-2"/>
          <c:y val="7.9067734558931208E-2"/>
          <c:w val="0.89680642947696532"/>
          <c:h val="0.6669717143726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[3]STRUCTURA_Export_Grupe_tari!$A$20</c:f>
              <c:strCache>
                <c:ptCount val="1"/>
                <c:pt idx="0">
                  <c:v>Ţările Uniunii Europene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[3]STRUCTURA_Export_Grupe_tari!$B$19:$G$19</c:f>
              <c:strCache>
                <c:ptCount val="6"/>
                <c:pt idx="0">
                  <c:v>Ianuarie -            februarie 2016</c:v>
                </c:pt>
                <c:pt idx="1">
                  <c:v>Ianuarie -     februarie 2017</c:v>
                </c:pt>
                <c:pt idx="2">
                  <c:v>Ianuarie -     februarie 2018</c:v>
                </c:pt>
                <c:pt idx="3">
                  <c:v>Ianuarie -     februarie 2019</c:v>
                </c:pt>
                <c:pt idx="4">
                  <c:v>Ianuarie -     februarie 2020</c:v>
                </c:pt>
                <c:pt idx="5">
                  <c:v>Ianuarie -     februarie 2021</c:v>
                </c:pt>
              </c:strCache>
            </c:strRef>
          </c:cat>
          <c:val>
            <c:numRef>
              <c:f>[3]STRUCTURA_Export_Grupe_tari!$B$20:$G$20</c:f>
              <c:numCache>
                <c:formatCode>General</c:formatCode>
                <c:ptCount val="6"/>
                <c:pt idx="0">
                  <c:v>59.9</c:v>
                </c:pt>
                <c:pt idx="1">
                  <c:v>60</c:v>
                </c:pt>
                <c:pt idx="2">
                  <c:v>62.8</c:v>
                </c:pt>
                <c:pt idx="3">
                  <c:v>62.9</c:v>
                </c:pt>
                <c:pt idx="4">
                  <c:v>66.7</c:v>
                </c:pt>
                <c:pt idx="5">
                  <c:v>63.5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9-4207-A2A3-2E8D24AB4E7A}"/>
            </c:ext>
          </c:extLst>
        </c:ser>
        <c:ser>
          <c:idx val="1"/>
          <c:order val="1"/>
          <c:tx>
            <c:strRef>
              <c:f>[3]STRUCTURA_Export_Grupe_tari!$A$21</c:f>
              <c:strCache>
                <c:ptCount val="1"/>
                <c:pt idx="0">
                  <c:v>Ţările CSI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[3]STRUCTURA_Export_Grupe_tari!$B$19:$G$19</c:f>
              <c:strCache>
                <c:ptCount val="6"/>
                <c:pt idx="0">
                  <c:v>Ianuarie -            februarie 2016</c:v>
                </c:pt>
                <c:pt idx="1">
                  <c:v>Ianuarie -     februarie 2017</c:v>
                </c:pt>
                <c:pt idx="2">
                  <c:v>Ianuarie -     februarie 2018</c:v>
                </c:pt>
                <c:pt idx="3">
                  <c:v>Ianuarie -     februarie 2019</c:v>
                </c:pt>
                <c:pt idx="4">
                  <c:v>Ianuarie -     februarie 2020</c:v>
                </c:pt>
                <c:pt idx="5">
                  <c:v>Ianuarie -     februarie 2021</c:v>
                </c:pt>
              </c:strCache>
            </c:strRef>
          </c:cat>
          <c:val>
            <c:numRef>
              <c:f>[3]STRUCTURA_Export_Grupe_tari!$B$21:$G$21</c:f>
              <c:numCache>
                <c:formatCode>General</c:formatCode>
                <c:ptCount val="6"/>
                <c:pt idx="0">
                  <c:v>18.899999999999999</c:v>
                </c:pt>
                <c:pt idx="1">
                  <c:v>19.3</c:v>
                </c:pt>
                <c:pt idx="2">
                  <c:v>16.2</c:v>
                </c:pt>
                <c:pt idx="3">
                  <c:v>13.6</c:v>
                </c:pt>
                <c:pt idx="4">
                  <c:v>12.9</c:v>
                </c:pt>
                <c:pt idx="5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9-4207-A2A3-2E8D24AB4E7A}"/>
            </c:ext>
          </c:extLst>
        </c:ser>
        <c:ser>
          <c:idx val="2"/>
          <c:order val="2"/>
          <c:tx>
            <c:strRef>
              <c:f>[3]STRUCTURA_Export_Grupe_tari!$A$22</c:f>
              <c:strCache>
                <c:ptCount val="1"/>
                <c:pt idx="0">
                  <c:v>Celelalte ţări ale lumii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[3]STRUCTURA_Export_Grupe_tari!$B$19:$G$19</c:f>
              <c:strCache>
                <c:ptCount val="6"/>
                <c:pt idx="0">
                  <c:v>Ianuarie -            februarie 2016</c:v>
                </c:pt>
                <c:pt idx="1">
                  <c:v>Ianuarie -     februarie 2017</c:v>
                </c:pt>
                <c:pt idx="2">
                  <c:v>Ianuarie -     februarie 2018</c:v>
                </c:pt>
                <c:pt idx="3">
                  <c:v>Ianuarie -     februarie 2019</c:v>
                </c:pt>
                <c:pt idx="4">
                  <c:v>Ianuarie -     februarie 2020</c:v>
                </c:pt>
                <c:pt idx="5">
                  <c:v>Ianuarie -     februarie 2021</c:v>
                </c:pt>
              </c:strCache>
            </c:strRef>
          </c:cat>
          <c:val>
            <c:numRef>
              <c:f>[3]STRUCTURA_Export_Grupe_tari!$B$22:$G$22</c:f>
              <c:numCache>
                <c:formatCode>General</c:formatCode>
                <c:ptCount val="6"/>
                <c:pt idx="0">
                  <c:v>21.2</c:v>
                </c:pt>
                <c:pt idx="1">
                  <c:v>20.7</c:v>
                </c:pt>
                <c:pt idx="2">
                  <c:v>21</c:v>
                </c:pt>
                <c:pt idx="3">
                  <c:v>23.5</c:v>
                </c:pt>
                <c:pt idx="4">
                  <c:v>20.399999999999999</c:v>
                </c:pt>
                <c:pt idx="5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9-4207-A2A3-2E8D24AB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2033968"/>
        <c:axId val="351150176"/>
      </c:barChart>
      <c:catAx>
        <c:axId val="2620339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1150176"/>
        <c:crosses val="autoZero"/>
        <c:auto val="1"/>
        <c:lblAlgn val="ctr"/>
        <c:lblOffset val="100"/>
        <c:noMultiLvlLbl val="0"/>
      </c:catAx>
      <c:valAx>
        <c:axId val="351150176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2033968"/>
        <c:crosses val="autoZero"/>
        <c:crossBetween val="between"/>
        <c:majorUnit val="20"/>
      </c:valAx>
      <c:spPr>
        <a:noFill/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9.6676737160120846E-2"/>
          <c:y val="0.93755354110147993"/>
          <c:w val="0.90332326283987918"/>
          <c:h val="6.2446458898520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41699880107581E-2"/>
          <c:y val="3.9900389809764354E-2"/>
          <c:w val="0.94076377536801559"/>
          <c:h val="0.58287664041994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[4]STRUCTURA_Export_Tari!$B$22</c:f>
              <c:strCache>
                <c:ptCount val="1"/>
                <c:pt idx="0">
                  <c:v> Ianuarie - februarie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[4]STRUCTURA_Export_Tari!$A$23:$A$39</c:f>
              <c:strCache>
                <c:ptCount val="17"/>
                <c:pt idx="0">
                  <c:v>România</c:v>
                </c:pt>
                <c:pt idx="1">
                  <c:v>Germania</c:v>
                </c:pt>
                <c:pt idx="2">
                  <c:v>Turcia</c:v>
                </c:pt>
                <c:pt idx="3">
                  <c:v>Federaţia Rusă</c:v>
                </c:pt>
                <c:pt idx="4">
                  <c:v>Italia</c:v>
                </c:pt>
                <c:pt idx="5">
                  <c:v>Polonia</c:v>
                </c:pt>
                <c:pt idx="6">
                  <c:v>Ucraina</c:v>
                </c:pt>
                <c:pt idx="7">
                  <c:v>Republica Cehă</c:v>
                </c:pt>
                <c:pt idx="8">
                  <c:v>Belarus</c:v>
                </c:pt>
                <c:pt idx="9">
                  <c:v>Ungaria</c:v>
                </c:pt>
                <c:pt idx="10">
                  <c:v>Elveţia</c:v>
                </c:pt>
                <c:pt idx="11">
                  <c:v>Spania</c:v>
                </c:pt>
                <c:pt idx="12">
                  <c:v>Bulgaria</c:v>
                </c:pt>
                <c:pt idx="13">
                  <c:v>Grecia</c:v>
                </c:pt>
                <c:pt idx="14">
                  <c:v>Olanda</c:v>
                </c:pt>
                <c:pt idx="15">
                  <c:v>Franţa</c:v>
                </c:pt>
                <c:pt idx="16">
                  <c:v>Regatul Unit </c:v>
                </c:pt>
              </c:strCache>
            </c:strRef>
          </c:cat>
          <c:val>
            <c:numRef>
              <c:f>[4]STRUCTURA_Export_Tari!$B$23:$B$39</c:f>
              <c:numCache>
                <c:formatCode>General</c:formatCode>
                <c:ptCount val="17"/>
                <c:pt idx="0">
                  <c:v>23.292498932318495</c:v>
                </c:pt>
                <c:pt idx="1">
                  <c:v>7.4846210651549576</c:v>
                </c:pt>
                <c:pt idx="2">
                  <c:v>2.4648564031400944</c:v>
                </c:pt>
                <c:pt idx="3">
                  <c:v>8.4736636045404676</c:v>
                </c:pt>
                <c:pt idx="4">
                  <c:v>10.69137232703253</c:v>
                </c:pt>
                <c:pt idx="5">
                  <c:v>4.1111161216023913</c:v>
                </c:pt>
                <c:pt idx="6">
                  <c:v>2.6489939135318301</c:v>
                </c:pt>
                <c:pt idx="7">
                  <c:v>1.8753665899938887</c:v>
                </c:pt>
                <c:pt idx="8">
                  <c:v>6.8974719202659962</c:v>
                </c:pt>
                <c:pt idx="9">
                  <c:v>0.25244020974083531</c:v>
                </c:pt>
                <c:pt idx="10">
                  <c:v>0.89910235562562135</c:v>
                </c:pt>
                <c:pt idx="11">
                  <c:v>0.22167297227625335</c:v>
                </c:pt>
                <c:pt idx="12">
                  <c:v>2.1158251346333046</c:v>
                </c:pt>
                <c:pt idx="13">
                  <c:v>1.3804135782897873</c:v>
                </c:pt>
                <c:pt idx="14">
                  <c:v>1.3263592371095734</c:v>
                </c:pt>
                <c:pt idx="15">
                  <c:v>3.7688102870998814</c:v>
                </c:pt>
                <c:pt idx="16">
                  <c:v>5.8303597192011836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D-42D8-B371-6A71C526E757}"/>
            </c:ext>
          </c:extLst>
        </c:ser>
        <c:ser>
          <c:idx val="1"/>
          <c:order val="1"/>
          <c:tx>
            <c:strRef>
              <c:f>[4]STRUCTURA_Export_Tari!$C$22</c:f>
              <c:strCache>
                <c:ptCount val="1"/>
                <c:pt idx="0">
                  <c:v>Ianuarie - februarie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[4]STRUCTURA_Export_Tari!$A$23:$A$39</c:f>
              <c:strCache>
                <c:ptCount val="17"/>
                <c:pt idx="0">
                  <c:v>România</c:v>
                </c:pt>
                <c:pt idx="1">
                  <c:v>Germania</c:v>
                </c:pt>
                <c:pt idx="2">
                  <c:v>Turcia</c:v>
                </c:pt>
                <c:pt idx="3">
                  <c:v>Federaţia Rusă</c:v>
                </c:pt>
                <c:pt idx="4">
                  <c:v>Italia</c:v>
                </c:pt>
                <c:pt idx="5">
                  <c:v>Polonia</c:v>
                </c:pt>
                <c:pt idx="6">
                  <c:v>Ucraina</c:v>
                </c:pt>
                <c:pt idx="7">
                  <c:v>Republica Cehă</c:v>
                </c:pt>
                <c:pt idx="8">
                  <c:v>Belarus</c:v>
                </c:pt>
                <c:pt idx="9">
                  <c:v>Ungaria</c:v>
                </c:pt>
                <c:pt idx="10">
                  <c:v>Elveţia</c:v>
                </c:pt>
                <c:pt idx="11">
                  <c:v>Spania</c:v>
                </c:pt>
                <c:pt idx="12">
                  <c:v>Bulgaria</c:v>
                </c:pt>
                <c:pt idx="13">
                  <c:v>Grecia</c:v>
                </c:pt>
                <c:pt idx="14">
                  <c:v>Olanda</c:v>
                </c:pt>
                <c:pt idx="15">
                  <c:v>Franţa</c:v>
                </c:pt>
                <c:pt idx="16">
                  <c:v>Regatul Unit </c:v>
                </c:pt>
              </c:strCache>
            </c:strRef>
          </c:cat>
          <c:val>
            <c:numRef>
              <c:f>[4]STRUCTURA_Export_Tari!$C$23:$C$39</c:f>
              <c:numCache>
                <c:formatCode>General</c:formatCode>
                <c:ptCount val="17"/>
                <c:pt idx="0">
                  <c:v>24.02158246360078</c:v>
                </c:pt>
                <c:pt idx="1">
                  <c:v>7.3476134448359387</c:v>
                </c:pt>
                <c:pt idx="2">
                  <c:v>4.6771633933335304</c:v>
                </c:pt>
                <c:pt idx="3">
                  <c:v>11.470024851015438</c:v>
                </c:pt>
                <c:pt idx="4">
                  <c:v>10.191351681146093</c:v>
                </c:pt>
                <c:pt idx="5">
                  <c:v>3.0850187601874457</c:v>
                </c:pt>
                <c:pt idx="6">
                  <c:v>2.2426033834923271</c:v>
                </c:pt>
                <c:pt idx="7">
                  <c:v>1.3694962667345367</c:v>
                </c:pt>
                <c:pt idx="8">
                  <c:v>4.8317674529446091</c:v>
                </c:pt>
                <c:pt idx="9">
                  <c:v>0.25079347567494037</c:v>
                </c:pt>
                <c:pt idx="10">
                  <c:v>1.5395891052640336</c:v>
                </c:pt>
                <c:pt idx="11">
                  <c:v>1.8024407872215664</c:v>
                </c:pt>
                <c:pt idx="12">
                  <c:v>2.9081561794778428</c:v>
                </c:pt>
                <c:pt idx="13">
                  <c:v>1.2004814588382844</c:v>
                </c:pt>
                <c:pt idx="14">
                  <c:v>1.3805045634914916</c:v>
                </c:pt>
                <c:pt idx="15">
                  <c:v>2.3959399461912652</c:v>
                </c:pt>
                <c:pt idx="16">
                  <c:v>6.2468806585056891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D-42D8-B371-6A71C526E757}"/>
            </c:ext>
          </c:extLst>
        </c:ser>
        <c:ser>
          <c:idx val="2"/>
          <c:order val="2"/>
          <c:tx>
            <c:strRef>
              <c:f>[4]STRUCTURA_Export_Tari!$D$22</c:f>
              <c:strCache>
                <c:ptCount val="1"/>
                <c:pt idx="0">
                  <c:v>Ianuarie - februarie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[4]STRUCTURA_Export_Tari!$A$23:$A$39</c:f>
              <c:strCache>
                <c:ptCount val="17"/>
                <c:pt idx="0">
                  <c:v>România</c:v>
                </c:pt>
                <c:pt idx="1">
                  <c:v>Germania</c:v>
                </c:pt>
                <c:pt idx="2">
                  <c:v>Turcia</c:v>
                </c:pt>
                <c:pt idx="3">
                  <c:v>Federaţia Rusă</c:v>
                </c:pt>
                <c:pt idx="4">
                  <c:v>Italia</c:v>
                </c:pt>
                <c:pt idx="5">
                  <c:v>Polonia</c:v>
                </c:pt>
                <c:pt idx="6">
                  <c:v>Ucraina</c:v>
                </c:pt>
                <c:pt idx="7">
                  <c:v>Republica Cehă</c:v>
                </c:pt>
                <c:pt idx="8">
                  <c:v>Belarus</c:v>
                </c:pt>
                <c:pt idx="9">
                  <c:v>Ungaria</c:v>
                </c:pt>
                <c:pt idx="10">
                  <c:v>Elveţia</c:v>
                </c:pt>
                <c:pt idx="11">
                  <c:v>Spania</c:v>
                </c:pt>
                <c:pt idx="12">
                  <c:v>Bulgaria</c:v>
                </c:pt>
                <c:pt idx="13">
                  <c:v>Grecia</c:v>
                </c:pt>
                <c:pt idx="14">
                  <c:v>Olanda</c:v>
                </c:pt>
                <c:pt idx="15">
                  <c:v>Franţa</c:v>
                </c:pt>
                <c:pt idx="16">
                  <c:v>Regatul Unit </c:v>
                </c:pt>
              </c:strCache>
            </c:strRef>
          </c:cat>
          <c:val>
            <c:numRef>
              <c:f>[4]STRUCTURA_Export_Tari!$D$23:$D$39</c:f>
              <c:numCache>
                <c:formatCode>General</c:formatCode>
                <c:ptCount val="17"/>
                <c:pt idx="0">
                  <c:v>24.0822772547635</c:v>
                </c:pt>
                <c:pt idx="1">
                  <c:v>8.991387326438117</c:v>
                </c:pt>
                <c:pt idx="2">
                  <c:v>4.3924955130959997</c:v>
                </c:pt>
                <c:pt idx="3">
                  <c:v>9.3194673618289627</c:v>
                </c:pt>
                <c:pt idx="4">
                  <c:v>10.943120380425549</c:v>
                </c:pt>
                <c:pt idx="5">
                  <c:v>3.2462278444141366</c:v>
                </c:pt>
                <c:pt idx="6">
                  <c:v>2.5331801385516197</c:v>
                </c:pt>
                <c:pt idx="7">
                  <c:v>1.4311460428429883</c:v>
                </c:pt>
                <c:pt idx="8">
                  <c:v>3.607262436973492</c:v>
                </c:pt>
                <c:pt idx="9">
                  <c:v>0.27128013441246512</c:v>
                </c:pt>
                <c:pt idx="10">
                  <c:v>3.4594552658892059</c:v>
                </c:pt>
                <c:pt idx="11">
                  <c:v>2.3501949104700079</c:v>
                </c:pt>
                <c:pt idx="12">
                  <c:v>2.1441235366412048</c:v>
                </c:pt>
                <c:pt idx="13">
                  <c:v>1.8799027206979846</c:v>
                </c:pt>
                <c:pt idx="14">
                  <c:v>1.691738989170319</c:v>
                </c:pt>
                <c:pt idx="15">
                  <c:v>2.0679762467723624</c:v>
                </c:pt>
                <c:pt idx="16">
                  <c:v>4.4531657147182262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D-42D8-B371-6A71C526E757}"/>
            </c:ext>
          </c:extLst>
        </c:ser>
        <c:ser>
          <c:idx val="3"/>
          <c:order val="3"/>
          <c:tx>
            <c:strRef>
              <c:f>[4]STRUCTURA_Export_Tari!$E$22</c:f>
              <c:strCache>
                <c:ptCount val="1"/>
                <c:pt idx="0">
                  <c:v> Ianuarie - februarie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[4]STRUCTURA_Export_Tari!$A$23:$A$39</c:f>
              <c:strCache>
                <c:ptCount val="17"/>
                <c:pt idx="0">
                  <c:v>România</c:v>
                </c:pt>
                <c:pt idx="1">
                  <c:v>Germania</c:v>
                </c:pt>
                <c:pt idx="2">
                  <c:v>Turcia</c:v>
                </c:pt>
                <c:pt idx="3">
                  <c:v>Federaţia Rusă</c:v>
                </c:pt>
                <c:pt idx="4">
                  <c:v>Italia</c:v>
                </c:pt>
                <c:pt idx="5">
                  <c:v>Polonia</c:v>
                </c:pt>
                <c:pt idx="6">
                  <c:v>Ucraina</c:v>
                </c:pt>
                <c:pt idx="7">
                  <c:v>Republica Cehă</c:v>
                </c:pt>
                <c:pt idx="8">
                  <c:v>Belarus</c:v>
                </c:pt>
                <c:pt idx="9">
                  <c:v>Ungaria</c:v>
                </c:pt>
                <c:pt idx="10">
                  <c:v>Elveţia</c:v>
                </c:pt>
                <c:pt idx="11">
                  <c:v>Spania</c:v>
                </c:pt>
                <c:pt idx="12">
                  <c:v>Bulgaria</c:v>
                </c:pt>
                <c:pt idx="13">
                  <c:v>Grecia</c:v>
                </c:pt>
                <c:pt idx="14">
                  <c:v>Olanda</c:v>
                </c:pt>
                <c:pt idx="15">
                  <c:v>Franţa</c:v>
                </c:pt>
                <c:pt idx="16">
                  <c:v>Regatul Unit </c:v>
                </c:pt>
              </c:strCache>
            </c:strRef>
          </c:cat>
          <c:val>
            <c:numRef>
              <c:f>[4]STRUCTURA_Export_Tari!$E$23:$E$39</c:f>
              <c:numCache>
                <c:formatCode>General</c:formatCode>
                <c:ptCount val="17"/>
                <c:pt idx="0">
                  <c:v>25.777799360681712</c:v>
                </c:pt>
                <c:pt idx="1">
                  <c:v>8.671867425987859</c:v>
                </c:pt>
                <c:pt idx="2">
                  <c:v>10.013735133146499</c:v>
                </c:pt>
                <c:pt idx="3">
                  <c:v>7.9125885909544893</c:v>
                </c:pt>
                <c:pt idx="4">
                  <c:v>12.191679592440426</c:v>
                </c:pt>
                <c:pt idx="5">
                  <c:v>3.5422143633540815</c:v>
                </c:pt>
                <c:pt idx="6">
                  <c:v>2.2778377391646738</c:v>
                </c:pt>
                <c:pt idx="7">
                  <c:v>1.6772789948754665</c:v>
                </c:pt>
                <c:pt idx="8">
                  <c:v>3.0035515989681691</c:v>
                </c:pt>
                <c:pt idx="9">
                  <c:v>0.21414242442112361</c:v>
                </c:pt>
                <c:pt idx="10">
                  <c:v>3.3619157707081326</c:v>
                </c:pt>
                <c:pt idx="11">
                  <c:v>1.4138191247497116</c:v>
                </c:pt>
                <c:pt idx="12">
                  <c:v>1.31346415756879</c:v>
                </c:pt>
                <c:pt idx="13">
                  <c:v>1.3022826979836741</c:v>
                </c:pt>
                <c:pt idx="14">
                  <c:v>1.4315477887980705</c:v>
                </c:pt>
                <c:pt idx="15">
                  <c:v>1.5675332378402709</c:v>
                </c:pt>
                <c:pt idx="16">
                  <c:v>1.5993174894371889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D-42D8-B371-6A71C526E757}"/>
            </c:ext>
          </c:extLst>
        </c:ser>
        <c:ser>
          <c:idx val="4"/>
          <c:order val="4"/>
          <c:tx>
            <c:strRef>
              <c:f>[4]STRUCTURA_Export_Tari!$F$22</c:f>
              <c:strCache>
                <c:ptCount val="1"/>
                <c:pt idx="0">
                  <c:v>Ianuarie - februarie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[4]STRUCTURA_Export_Tari!$A$23:$A$39</c:f>
              <c:strCache>
                <c:ptCount val="17"/>
                <c:pt idx="0">
                  <c:v>România</c:v>
                </c:pt>
                <c:pt idx="1">
                  <c:v>Germania</c:v>
                </c:pt>
                <c:pt idx="2">
                  <c:v>Turcia</c:v>
                </c:pt>
                <c:pt idx="3">
                  <c:v>Federaţia Rusă</c:v>
                </c:pt>
                <c:pt idx="4">
                  <c:v>Italia</c:v>
                </c:pt>
                <c:pt idx="5">
                  <c:v>Polonia</c:v>
                </c:pt>
                <c:pt idx="6">
                  <c:v>Ucraina</c:v>
                </c:pt>
                <c:pt idx="7">
                  <c:v>Republica Cehă</c:v>
                </c:pt>
                <c:pt idx="8">
                  <c:v>Belarus</c:v>
                </c:pt>
                <c:pt idx="9">
                  <c:v>Ungaria</c:v>
                </c:pt>
                <c:pt idx="10">
                  <c:v>Elveţia</c:v>
                </c:pt>
                <c:pt idx="11">
                  <c:v>Spania</c:v>
                </c:pt>
                <c:pt idx="12">
                  <c:v>Bulgaria</c:v>
                </c:pt>
                <c:pt idx="13">
                  <c:v>Grecia</c:v>
                </c:pt>
                <c:pt idx="14">
                  <c:v>Olanda</c:v>
                </c:pt>
                <c:pt idx="15">
                  <c:v>Franţa</c:v>
                </c:pt>
                <c:pt idx="16">
                  <c:v>Regatul Unit </c:v>
                </c:pt>
              </c:strCache>
            </c:strRef>
          </c:cat>
          <c:val>
            <c:numRef>
              <c:f>[4]STRUCTURA_Export_Tari!$F$23:$F$39</c:f>
              <c:numCache>
                <c:formatCode>General</c:formatCode>
                <c:ptCount val="17"/>
                <c:pt idx="0">
                  <c:v>25.140567908310068</c:v>
                </c:pt>
                <c:pt idx="1">
                  <c:v>9.7232772280877224</c:v>
                </c:pt>
                <c:pt idx="2">
                  <c:v>7.2053429546018979</c:v>
                </c:pt>
                <c:pt idx="3">
                  <c:v>7.1479225210440713</c:v>
                </c:pt>
                <c:pt idx="4">
                  <c:v>9.656596446306553</c:v>
                </c:pt>
                <c:pt idx="5">
                  <c:v>4.3718604787957567</c:v>
                </c:pt>
                <c:pt idx="6">
                  <c:v>2.6060152179463154</c:v>
                </c:pt>
                <c:pt idx="7">
                  <c:v>3.4659712121795923</c:v>
                </c:pt>
                <c:pt idx="8">
                  <c:v>2.3105387024667725</c:v>
                </c:pt>
                <c:pt idx="9">
                  <c:v>0.68506515602705886</c:v>
                </c:pt>
                <c:pt idx="10">
                  <c:v>3.9553322843153147</c:v>
                </c:pt>
                <c:pt idx="11">
                  <c:v>2.130213454420721</c:v>
                </c:pt>
                <c:pt idx="12">
                  <c:v>2.2276862863740798</c:v>
                </c:pt>
                <c:pt idx="13">
                  <c:v>1.7296141600973938</c:v>
                </c:pt>
                <c:pt idx="14">
                  <c:v>1.2069413246495602</c:v>
                </c:pt>
                <c:pt idx="15">
                  <c:v>1.9883155884410004</c:v>
                </c:pt>
                <c:pt idx="16">
                  <c:v>1.7687108801637719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D-42D8-B371-6A71C526E757}"/>
            </c:ext>
          </c:extLst>
        </c:ser>
        <c:ser>
          <c:idx val="5"/>
          <c:order val="5"/>
          <c:tx>
            <c:strRef>
              <c:f>[4]STRUCTURA_Export_Tari!$G$22</c:f>
              <c:strCache>
                <c:ptCount val="1"/>
                <c:pt idx="0">
                  <c:v>Ianuarie - februarie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[4]STRUCTURA_Export_Tari!$A$23:$A$39</c:f>
              <c:strCache>
                <c:ptCount val="17"/>
                <c:pt idx="0">
                  <c:v>România</c:v>
                </c:pt>
                <c:pt idx="1">
                  <c:v>Germania</c:v>
                </c:pt>
                <c:pt idx="2">
                  <c:v>Turcia</c:v>
                </c:pt>
                <c:pt idx="3">
                  <c:v>Federaţia Rusă</c:v>
                </c:pt>
                <c:pt idx="4">
                  <c:v>Italia</c:v>
                </c:pt>
                <c:pt idx="5">
                  <c:v>Polonia</c:v>
                </c:pt>
                <c:pt idx="6">
                  <c:v>Ucraina</c:v>
                </c:pt>
                <c:pt idx="7">
                  <c:v>Republica Cehă</c:v>
                </c:pt>
                <c:pt idx="8">
                  <c:v>Belarus</c:v>
                </c:pt>
                <c:pt idx="9">
                  <c:v>Ungaria</c:v>
                </c:pt>
                <c:pt idx="10">
                  <c:v>Elveţia</c:v>
                </c:pt>
                <c:pt idx="11">
                  <c:v>Spania</c:v>
                </c:pt>
                <c:pt idx="12">
                  <c:v>Bulgaria</c:v>
                </c:pt>
                <c:pt idx="13">
                  <c:v>Grecia</c:v>
                </c:pt>
                <c:pt idx="14">
                  <c:v>Olanda</c:v>
                </c:pt>
                <c:pt idx="15">
                  <c:v>Franţa</c:v>
                </c:pt>
                <c:pt idx="16">
                  <c:v>Regatul Unit </c:v>
                </c:pt>
              </c:strCache>
            </c:strRef>
          </c:cat>
          <c:val>
            <c:numRef>
              <c:f>[4]STRUCTURA_Export_Tari!$G$23:$G$39</c:f>
              <c:numCache>
                <c:formatCode>General</c:formatCode>
                <c:ptCount val="17"/>
                <c:pt idx="0">
                  <c:v>26.51635001950185</c:v>
                </c:pt>
                <c:pt idx="1">
                  <c:v>10.996540037839877</c:v>
                </c:pt>
                <c:pt idx="2">
                  <c:v>10.719686797475232</c:v>
                </c:pt>
                <c:pt idx="3">
                  <c:v>9.3504639283911466</c:v>
                </c:pt>
                <c:pt idx="4">
                  <c:v>6.09318621061509</c:v>
                </c:pt>
                <c:pt idx="5">
                  <c:v>4.1248896229660126</c:v>
                </c:pt>
                <c:pt idx="6">
                  <c:v>3.220613665580168</c:v>
                </c:pt>
                <c:pt idx="7">
                  <c:v>3.0621443010200906</c:v>
                </c:pt>
                <c:pt idx="8">
                  <c:v>2.6100549289727422</c:v>
                </c:pt>
                <c:pt idx="9">
                  <c:v>1.7002439012755062</c:v>
                </c:pt>
                <c:pt idx="10">
                  <c:v>1.6646772494151012</c:v>
                </c:pt>
                <c:pt idx="11">
                  <c:v>1.6304879495205087</c:v>
                </c:pt>
                <c:pt idx="12">
                  <c:v>1.6270398144292819</c:v>
                </c:pt>
                <c:pt idx="13">
                  <c:v>1.6145702163774829</c:v>
                </c:pt>
                <c:pt idx="14">
                  <c:v>1.5979365143228625</c:v>
                </c:pt>
                <c:pt idx="15">
                  <c:v>1.4550966942945056</c:v>
                </c:pt>
                <c:pt idx="16">
                  <c:v>1.4256751051203507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DD-42D8-B371-6A71C526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1155216"/>
        <c:axId val="351155776"/>
      </c:barChart>
      <c:catAx>
        <c:axId val="35115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1155776"/>
        <c:crosses val="autoZero"/>
        <c:auto val="1"/>
        <c:lblAlgn val="ctr"/>
        <c:lblOffset val="100"/>
        <c:noMultiLvlLbl val="0"/>
      </c:catAx>
      <c:valAx>
        <c:axId val="35115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1155216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8944774356035684"/>
          <c:w val="1"/>
          <c:h val="0.10552228141293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Ianuarie-februarie 2020</a:t>
            </a:r>
            <a:endParaRPr lang="en-US" sz="900" b="1"/>
          </a:p>
        </c:rich>
      </c:tx>
      <c:layout>
        <c:manualLayout>
          <c:xMode val="edge"/>
          <c:yMode val="edge"/>
          <c:x val="0.34664916885389324"/>
          <c:y val="1.3213853318840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50967090652131"/>
          <c:y val="0.14671776027996497"/>
          <c:w val="0.60529683020391678"/>
          <c:h val="0.60159470891826594"/>
        </c:manualLayout>
      </c:layout>
      <c:pieChart>
        <c:varyColors val="1"/>
        <c:ser>
          <c:idx val="0"/>
          <c:order val="0"/>
          <c:spPr>
            <a:effectLst>
              <a:outerShdw blurRad="254000" sx="102000" sy="102000" algn="ctr" rotWithShape="0">
                <a:schemeClr val="bg1">
                  <a:alpha val="20000"/>
                </a:schemeClr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12-4B6E-845E-70CFFD92003C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12-4B6E-845E-70CFFD92003C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812-4B6E-845E-70CFFD92003C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812-4B6E-845E-70CFFD92003C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812-4B6E-845E-70CFFD92003C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812-4B6E-845E-70CFFD92003C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812-4B6E-845E-70CFFD92003C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Lbls>
            <c:dLbl>
              <c:idx val="0"/>
              <c:layout>
                <c:manualLayout>
                  <c:x val="-1.0482180293501224E-2"/>
                  <c:y val="2.40009897752679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05231185724423"/>
                      <c:h val="0.198662035932377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12-4B6E-845E-70CFFD92003C}"/>
                </c:ext>
              </c:extLst>
            </c:dLbl>
            <c:dLbl>
              <c:idx val="1"/>
              <c:layout>
                <c:manualLayout>
                  <c:x val="2.6178543719770724E-2"/>
                  <c:y val="-0.13376494604841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40117862625661"/>
                      <c:h val="0.17004621897010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12-4B6E-845E-70CFFD92003C}"/>
                </c:ext>
              </c:extLst>
            </c:dLbl>
            <c:dLbl>
              <c:idx val="2"/>
              <c:layout>
                <c:manualLayout>
                  <c:x val="4.9481173343898052E-2"/>
                  <c:y val="-0.104234647436747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9854074844418"/>
                      <c:h val="0.21226543651740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812-4B6E-845E-70CFFD92003C}"/>
                </c:ext>
              </c:extLst>
            </c:dLbl>
            <c:dLbl>
              <c:idx val="3"/>
              <c:layout>
                <c:manualLayout>
                  <c:x val="2.1248617507717196E-2"/>
                  <c:y val="4.00360560990482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5522705888179"/>
                      <c:h val="0.158395503592353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812-4B6E-845E-70CFFD92003C}"/>
                </c:ext>
              </c:extLst>
            </c:dLbl>
            <c:dLbl>
              <c:idx val="4"/>
              <c:layout>
                <c:manualLayout>
                  <c:x val="-6.5939697232252889E-2"/>
                  <c:y val="6.6926480127399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9142868335488"/>
                      <c:h val="0.171258977243229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812-4B6E-845E-70CFFD92003C}"/>
                </c:ext>
              </c:extLst>
            </c:dLbl>
            <c:dLbl>
              <c:idx val="5"/>
              <c:layout>
                <c:manualLayout>
                  <c:x val="-7.7556744086234544E-2"/>
                  <c:y val="-1.21425983368240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64956396579457"/>
                      <c:h val="0.159204522511609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812-4B6E-845E-70CFFD92003C}"/>
                </c:ext>
              </c:extLst>
            </c:dLbl>
            <c:dLbl>
              <c:idx val="6"/>
              <c:layout>
                <c:manualLayout>
                  <c:x val="-8.2188289474235329E-2"/>
                  <c:y val="-7.29120087650272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013358404826"/>
                      <c:h val="0.189049830309672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812-4B6E-845E-70CFFD92003C}"/>
                </c:ext>
              </c:extLst>
            </c:dLbl>
            <c:dLbl>
              <c:idx val="7"/>
              <c:layout>
                <c:manualLayout>
                  <c:x val="-1.6102162391627244E-2"/>
                  <c:y val="-7.42621391440289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39718729188702"/>
                      <c:h val="0.245371636237777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8"/>
              <c:layout>
                <c:manualLayout>
                  <c:x val="-1.4905516492218274E-2"/>
                  <c:y val="0.115053932166793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07752575704152"/>
                      <c:h val="0.222003018853412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>
                <a:outerShdw sx="1000" sy="1000" algn="tl" rotWithShape="0">
                  <a:schemeClr val="bg1"/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2">
                      <a:lumMod val="7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[5]STRUCTURA_EXP_Sectiuni_mărfuri!$A$23:$A$31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[5]STRUCTURA_EXP_Sectiuni_mărfuri!$B$23:$B$31</c:f>
              <c:numCache>
                <c:formatCode>General</c:formatCode>
                <c:ptCount val="9"/>
                <c:pt idx="0">
                  <c:v>28.5</c:v>
                </c:pt>
                <c:pt idx="1">
                  <c:v>6.5</c:v>
                </c:pt>
                <c:pt idx="2">
                  <c:v>9.8000000000000007</c:v>
                </c:pt>
                <c:pt idx="3">
                  <c:v>0.3</c:v>
                </c:pt>
                <c:pt idx="4">
                  <c:v>4.8</c:v>
                </c:pt>
                <c:pt idx="5">
                  <c:v>3.1</c:v>
                </c:pt>
                <c:pt idx="6">
                  <c:v>5.8</c:v>
                </c:pt>
                <c:pt idx="7">
                  <c:v>21.3</c:v>
                </c:pt>
                <c:pt idx="8">
                  <c:v>19.899999999999999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STRUCTURA_EXP_Grupe_mărfuri!#REF!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2-F812-4B6E-845E-70CFFD9200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Ianuarie-februarie 2021</a:t>
            </a:r>
            <a:endParaRPr lang="en-US" sz="900" b="1"/>
          </a:p>
        </c:rich>
      </c:tx>
      <c:layout>
        <c:manualLayout>
          <c:xMode val="edge"/>
          <c:yMode val="edge"/>
          <c:x val="0.34307349081364835"/>
          <c:y val="1.7330025527630963E-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98818897637797"/>
          <c:y val="0.15113292345306151"/>
          <c:w val="0.59277007696872541"/>
          <c:h val="0.59143950440538373"/>
        </c:manualLayout>
      </c:layout>
      <c:pieChart>
        <c:varyColors val="1"/>
        <c:ser>
          <c:idx val="0"/>
          <c:order val="0"/>
          <c:tx>
            <c:strRef>
              <c:f>[6]STRUCTURA_EXP_Sectiuni_mărfuri!$B$18</c:f>
              <c:strCache>
                <c:ptCount val="1"/>
                <c:pt idx="0">
                  <c:v>%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78-4F5F-8973-1809C55EF17F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78-4F5F-8973-1809C55EF17F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78-4F5F-8973-1809C55EF17F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78-4F5F-8973-1809C55EF17F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78-4F5F-8973-1809C55EF17F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78-4F5F-8973-1809C55EF17F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78-4F5F-8973-1809C55EF17F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Lbls>
            <c:dLbl>
              <c:idx val="0"/>
              <c:layout>
                <c:manualLayout>
                  <c:x val="4.3333005249343678E-2"/>
                  <c:y val="9.3321288606047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05788288919401"/>
                      <c:h val="0.200651405060853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378-4F5F-8973-1809C55EF17F}"/>
                </c:ext>
              </c:extLst>
            </c:dLbl>
            <c:dLbl>
              <c:idx val="1"/>
              <c:layout>
                <c:manualLayout>
                  <c:x val="1.6666830708661418E-2"/>
                  <c:y val="-8.322906554488907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199111249707647"/>
                      <c:h val="0.192462134893688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378-4F5F-8973-1809C55EF17F}"/>
                </c:ext>
              </c:extLst>
            </c:dLbl>
            <c:dLbl>
              <c:idx val="2"/>
              <c:layout>
                <c:manualLayout>
                  <c:x val="0"/>
                  <c:y val="-4.09452414338619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23654855643045"/>
                      <c:h val="0.214529177003559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378-4F5F-8973-1809C55EF17F}"/>
                </c:ext>
              </c:extLst>
            </c:dLbl>
            <c:dLbl>
              <c:idx val="3"/>
              <c:layout>
                <c:manualLayout>
                  <c:x val="1.9083989501312335E-2"/>
                  <c:y val="1.76117283284794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55219059156067"/>
                      <c:h val="0.153937711809012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378-4F5F-8973-1809C55EF17F}"/>
                </c:ext>
              </c:extLst>
            </c:dLbl>
            <c:dLbl>
              <c:idx val="4"/>
              <c:layout>
                <c:manualLayout>
                  <c:x val="-7.9695866141732213E-2"/>
                  <c:y val="0.104315428037248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69028871391076"/>
                      <c:h val="0.150234063207852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378-4F5F-8973-1809C55EF17F}"/>
                </c:ext>
              </c:extLst>
            </c:dLbl>
            <c:dLbl>
              <c:idx val="5"/>
              <c:layout>
                <c:manualLayout>
                  <c:x val="-0.19774573490813649"/>
                  <c:y val="5.91139035702727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81014873140857"/>
                      <c:h val="0.162928771834555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378-4F5F-8973-1809C55EF17F}"/>
                </c:ext>
              </c:extLst>
            </c:dLbl>
            <c:dLbl>
              <c:idx val="6"/>
              <c:layout>
                <c:manualLayout>
                  <c:x val="-0.21157660761154856"/>
                  <c:y val="-6.41059936001150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76541669915023"/>
                      <c:h val="0.180660903625578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378-4F5F-8973-1809C55EF17F}"/>
                </c:ext>
              </c:extLst>
            </c:dLbl>
            <c:dLbl>
              <c:idx val="7"/>
              <c:layout>
                <c:manualLayout>
                  <c:x val="-2.031874621441554E-2"/>
                  <c:y val="-7.2124228618579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52066929133854"/>
                      <c:h val="0.223082371552870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8"/>
              <c:layout>
                <c:manualLayout>
                  <c:x val="-1.4699146981627297E-2"/>
                  <c:y val="0.127974867867543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072440944881888"/>
                      <c:h val="0.206481141912055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bg2">
                      <a:lumMod val="7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[6]STRUCTURA_EXP_Sectiuni_mărfuri!$A$19:$A$27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[6]STRUCTURA_EXP_Sectiuni_mărfuri!$B$19:$B$27</c:f>
              <c:numCache>
                <c:formatCode>General</c:formatCode>
                <c:ptCount val="9"/>
                <c:pt idx="0">
                  <c:v>19.5</c:v>
                </c:pt>
                <c:pt idx="1">
                  <c:v>6.9</c:v>
                </c:pt>
                <c:pt idx="2">
                  <c:v>12.1</c:v>
                </c:pt>
                <c:pt idx="3">
                  <c:v>2.2000000000000002</c:v>
                </c:pt>
                <c:pt idx="4">
                  <c:v>1.8</c:v>
                </c:pt>
                <c:pt idx="5">
                  <c:v>4.0999999999999996</c:v>
                </c:pt>
                <c:pt idx="6">
                  <c:v>7.2</c:v>
                </c:pt>
                <c:pt idx="7">
                  <c:v>25.3</c:v>
                </c:pt>
                <c:pt idx="8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78-4F5F-8973-1809C55E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5800362667183E-2"/>
          <c:y val="8.2824526452265762E-2"/>
          <c:w val="0.94068416183226722"/>
          <c:h val="0.72946484099126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[7]IMPORT_pe_luni_Milioane_USD!$B$18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41000"/>
              </a:schemeClr>
            </a:solidFill>
            <a:ln>
              <a:noFill/>
            </a:ln>
            <a:effectLst/>
          </c:spPr>
          <c:invertIfNegative val="0"/>
          <c:cat>
            <c:numRef>
              <c:f>[7]IMPORT_pe_luni_Milioane_USD!$A$19:$A$24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[7]IMPORT_pe_luni_Milioane_USD!$B$19:$B$24</c:f>
              <c:numCache>
                <c:formatCode>General</c:formatCode>
                <c:ptCount val="6"/>
                <c:pt idx="0">
                  <c:v>207.3</c:v>
                </c:pt>
                <c:pt idx="1">
                  <c:v>266.8</c:v>
                </c:pt>
                <c:pt idx="2">
                  <c:v>374.3</c:v>
                </c:pt>
                <c:pt idx="3">
                  <c:v>372.6</c:v>
                </c:pt>
                <c:pt idx="4">
                  <c:v>379.8</c:v>
                </c:pt>
                <c:pt idx="5">
                  <c:v>401.7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5-4F6B-A686-03D9A8D64A69}"/>
            </c:ext>
          </c:extLst>
        </c:ser>
        <c:ser>
          <c:idx val="1"/>
          <c:order val="1"/>
          <c:tx>
            <c:strRef>
              <c:f>[7]IMPORT_pe_luni_Milioane_USD!$C$18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52000"/>
              </a:schemeClr>
            </a:solidFill>
            <a:ln>
              <a:noFill/>
            </a:ln>
            <a:effectLst/>
          </c:spPr>
          <c:invertIfNegative val="0"/>
          <c:cat>
            <c:numRef>
              <c:f>[7]IMPORT_pe_luni_Milioane_USD!$A$19:$A$24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[7]IMPORT_pe_luni_Milioane_USD!$C$19:$C$24</c:f>
              <c:numCache>
                <c:formatCode>General</c:formatCode>
                <c:ptCount val="6"/>
                <c:pt idx="0">
                  <c:v>287</c:v>
                </c:pt>
                <c:pt idx="1">
                  <c:v>332.7</c:v>
                </c:pt>
                <c:pt idx="2">
                  <c:v>427.6</c:v>
                </c:pt>
                <c:pt idx="3">
                  <c:v>459.3</c:v>
                </c:pt>
                <c:pt idx="4">
                  <c:v>484.8</c:v>
                </c:pt>
                <c:pt idx="5">
                  <c:v>521.5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5-4F6B-A686-03D9A8D64A69}"/>
            </c:ext>
          </c:extLst>
        </c:ser>
        <c:ser>
          <c:idx val="2"/>
          <c:order val="2"/>
          <c:tx>
            <c:strRef>
              <c:f>[7]IMPORT_pe_luni_Milioane_USD!$D$18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63000"/>
              </a:schemeClr>
            </a:solidFill>
            <a:ln>
              <a:noFill/>
            </a:ln>
            <a:effectLst/>
          </c:spPr>
          <c:invertIfNegative val="0"/>
          <c:cat>
            <c:numRef>
              <c:f>[7]IMPORT_pe_luni_Milioane_USD!$A$19:$A$24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[7]IMPORT_pe_luni_Milioane_USD!$D$19:$D$24</c:f>
              <c:numCache>
                <c:formatCode>General</c:formatCode>
                <c:ptCount val="6"/>
                <c:pt idx="0">
                  <c:v>366.8</c:v>
                </c:pt>
                <c:pt idx="1">
                  <c:v>431.2</c:v>
                </c:pt>
                <c:pt idx="2">
                  <c:v>524.1</c:v>
                </c:pt>
                <c:pt idx="3">
                  <c:v>533.79999999999995</c:v>
                </c:pt>
                <c:pt idx="4">
                  <c:v>500.5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5-4F6B-A686-03D9A8D64A69}"/>
            </c:ext>
          </c:extLst>
        </c:ser>
        <c:ser>
          <c:idx val="3"/>
          <c:order val="3"/>
          <c:tx>
            <c:strRef>
              <c:f>[7]IMPORT_pe_luni_Milioane_USD!$E$18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74000"/>
              </a:schemeClr>
            </a:solidFill>
            <a:ln>
              <a:noFill/>
            </a:ln>
            <a:effectLst/>
          </c:spPr>
          <c:invertIfNegative val="0"/>
          <c:cat>
            <c:numRef>
              <c:f>[7]IMPORT_pe_luni_Milioane_USD!$A$19:$A$24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[7]IMPORT_pe_luni_Milioane_USD!$E$19:$E$24</c:f>
              <c:numCache>
                <c:formatCode>General</c:formatCode>
                <c:ptCount val="6"/>
                <c:pt idx="0">
                  <c:v>354.9</c:v>
                </c:pt>
                <c:pt idx="1">
                  <c:v>361.5</c:v>
                </c:pt>
                <c:pt idx="2">
                  <c:v>444.6</c:v>
                </c:pt>
                <c:pt idx="3">
                  <c:v>515.6</c:v>
                </c:pt>
                <c:pt idx="4">
                  <c:v>285.7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5-4F6B-A686-03D9A8D64A69}"/>
            </c:ext>
          </c:extLst>
        </c:ser>
        <c:ser>
          <c:idx val="4"/>
          <c:order val="4"/>
          <c:tx>
            <c:strRef>
              <c:f>[7]IMPORT_pe_luni_Milioane_USD!$F$18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84000"/>
              </a:schemeClr>
            </a:solidFill>
            <a:ln>
              <a:noFill/>
            </a:ln>
            <a:effectLst/>
          </c:spPr>
          <c:invertIfNegative val="0"/>
          <c:cat>
            <c:numRef>
              <c:f>[7]IMPORT_pe_luni_Milioane_USD!$A$19:$A$24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[7]IMPORT_pe_luni_Milioane_USD!$F$19:$F$24</c:f>
              <c:numCache>
                <c:formatCode>General</c:formatCode>
                <c:ptCount val="6"/>
                <c:pt idx="0">
                  <c:v>327.7</c:v>
                </c:pt>
                <c:pt idx="1">
                  <c:v>400.4</c:v>
                </c:pt>
                <c:pt idx="2">
                  <c:v>505.6</c:v>
                </c:pt>
                <c:pt idx="3">
                  <c:v>481.6</c:v>
                </c:pt>
                <c:pt idx="4">
                  <c:v>329.3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5-4F6B-A686-03D9A8D64A69}"/>
            </c:ext>
          </c:extLst>
        </c:ser>
        <c:ser>
          <c:idx val="5"/>
          <c:order val="5"/>
          <c:tx>
            <c:strRef>
              <c:f>[7]IMPORT_pe_luni_Milioane_USD!$G$18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tint val="95000"/>
              </a:schemeClr>
            </a:solidFill>
            <a:ln>
              <a:noFill/>
            </a:ln>
            <a:effectLst/>
          </c:spPr>
          <c:invertIfNegative val="0"/>
          <c:cat>
            <c:numRef>
              <c:f>[7]IMPORT_pe_luni_Milioane_USD!$A$19:$A$24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[7]IMPORT_pe_luni_Milioane_USD!$G$19:$G$24</c:f>
              <c:numCache>
                <c:formatCode>General</c:formatCode>
                <c:ptCount val="6"/>
                <c:pt idx="0">
                  <c:v>324.60000000000002</c:v>
                </c:pt>
                <c:pt idx="1">
                  <c:v>388.8</c:v>
                </c:pt>
                <c:pt idx="2">
                  <c:v>458.7</c:v>
                </c:pt>
                <c:pt idx="3">
                  <c:v>445.4</c:v>
                </c:pt>
                <c:pt idx="4">
                  <c:v>413.3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85-4F6B-A686-03D9A8D64A69}"/>
            </c:ext>
          </c:extLst>
        </c:ser>
        <c:ser>
          <c:idx val="6"/>
          <c:order val="6"/>
          <c:tx>
            <c:strRef>
              <c:f>[7]IMPORT_pe_luni_Milioane_USD!$H$18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4000"/>
              </a:schemeClr>
            </a:solidFill>
            <a:ln>
              <a:noFill/>
            </a:ln>
            <a:effectLst/>
          </c:spPr>
          <c:invertIfNegative val="0"/>
          <c:cat>
            <c:numRef>
              <c:f>[7]IMPORT_pe_luni_Milioane_USD!$A$19:$A$24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[7]IMPORT_pe_luni_Milioane_USD!$H$19:$H$24</c:f>
              <c:numCache>
                <c:formatCode>General</c:formatCode>
                <c:ptCount val="6"/>
                <c:pt idx="0">
                  <c:v>314.10000000000002</c:v>
                </c:pt>
                <c:pt idx="1">
                  <c:v>396.9</c:v>
                </c:pt>
                <c:pt idx="2">
                  <c:v>488</c:v>
                </c:pt>
                <c:pt idx="3">
                  <c:v>499.1</c:v>
                </c:pt>
                <c:pt idx="4">
                  <c:v>496.5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5-4F6B-A686-03D9A8D64A69}"/>
            </c:ext>
          </c:extLst>
        </c:ser>
        <c:ser>
          <c:idx val="7"/>
          <c:order val="7"/>
          <c:tx>
            <c:strRef>
              <c:f>[7]IMPORT_pe_luni_Milioane_USD!$I$18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[7]IMPORT_pe_luni_Milioane_USD!$A$19:$A$24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[7]IMPORT_pe_luni_Milioane_USD!$I$19:$I$24</c:f>
              <c:numCache>
                <c:formatCode>General</c:formatCode>
                <c:ptCount val="6"/>
                <c:pt idx="0">
                  <c:v>351.1</c:v>
                </c:pt>
                <c:pt idx="1">
                  <c:v>429.7</c:v>
                </c:pt>
                <c:pt idx="2">
                  <c:v>480.7</c:v>
                </c:pt>
                <c:pt idx="3">
                  <c:v>464.3</c:v>
                </c:pt>
                <c:pt idx="4">
                  <c:v>433.7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85-4F6B-A686-03D9A8D64A69}"/>
            </c:ext>
          </c:extLst>
        </c:ser>
        <c:ser>
          <c:idx val="8"/>
          <c:order val="8"/>
          <c:tx>
            <c:strRef>
              <c:f>[7]IMPORT_pe_luni_Milioane_USD!$J$18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3000"/>
              </a:schemeClr>
            </a:solidFill>
            <a:ln>
              <a:noFill/>
            </a:ln>
            <a:effectLst/>
          </c:spPr>
          <c:invertIfNegative val="0"/>
          <c:cat>
            <c:numRef>
              <c:f>[7]IMPORT_pe_luni_Milioane_USD!$A$19:$A$24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[7]IMPORT_pe_luni_Milioane_USD!$J$19:$J$24</c:f>
              <c:numCache>
                <c:formatCode>General</c:formatCode>
                <c:ptCount val="6"/>
                <c:pt idx="0">
                  <c:v>361.6</c:v>
                </c:pt>
                <c:pt idx="1">
                  <c:v>430.8</c:v>
                </c:pt>
                <c:pt idx="2">
                  <c:v>474</c:v>
                </c:pt>
                <c:pt idx="3">
                  <c:v>501.7</c:v>
                </c:pt>
                <c:pt idx="4">
                  <c:v>508.4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85-4F6B-A686-03D9A8D64A69}"/>
            </c:ext>
          </c:extLst>
        </c:ser>
        <c:ser>
          <c:idx val="9"/>
          <c:order val="9"/>
          <c:tx>
            <c:strRef>
              <c:f>[7]IMPORT_pe_luni_Milioane_USD!$K$18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2000"/>
              </a:schemeClr>
            </a:solidFill>
            <a:ln>
              <a:noFill/>
            </a:ln>
            <a:effectLst/>
          </c:spPr>
          <c:invertIfNegative val="0"/>
          <c:cat>
            <c:numRef>
              <c:f>[7]IMPORT_pe_luni_Milioane_USD!$A$19:$A$24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[7]IMPORT_pe_luni_Milioane_USD!$K$19:$K$24</c:f>
              <c:numCache>
                <c:formatCode>General</c:formatCode>
                <c:ptCount val="6"/>
                <c:pt idx="0">
                  <c:v>380.2</c:v>
                </c:pt>
                <c:pt idx="1">
                  <c:v>465.9</c:v>
                </c:pt>
                <c:pt idx="2">
                  <c:v>540.6</c:v>
                </c:pt>
                <c:pt idx="3">
                  <c:v>525.29999999999995</c:v>
                </c:pt>
                <c:pt idx="4">
                  <c:v>493.6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85-4F6B-A686-03D9A8D64A69}"/>
            </c:ext>
          </c:extLst>
        </c:ser>
        <c:ser>
          <c:idx val="10"/>
          <c:order val="10"/>
          <c:tx>
            <c:strRef>
              <c:f>[7]IMPORT_pe_luni_Milioane_USD!$L$18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1000"/>
              </a:schemeClr>
            </a:solidFill>
            <a:ln>
              <a:noFill/>
            </a:ln>
            <a:effectLst/>
          </c:spPr>
          <c:invertIfNegative val="0"/>
          <c:cat>
            <c:numRef>
              <c:f>[7]IMPORT_pe_luni_Milioane_USD!$A$19:$A$24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[7]IMPORT_pe_luni_Milioane_USD!$L$19:$L$24</c:f>
              <c:numCache>
                <c:formatCode>General</c:formatCode>
                <c:ptCount val="6"/>
                <c:pt idx="0">
                  <c:v>353.5</c:v>
                </c:pt>
                <c:pt idx="1">
                  <c:v>455.3</c:v>
                </c:pt>
                <c:pt idx="2">
                  <c:v>522.6</c:v>
                </c:pt>
                <c:pt idx="3">
                  <c:v>504.1</c:v>
                </c:pt>
                <c:pt idx="4">
                  <c:v>522.9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85-4F6B-A686-03D9A8D64A69}"/>
            </c:ext>
          </c:extLst>
        </c:ser>
        <c:ser>
          <c:idx val="11"/>
          <c:order val="11"/>
          <c:tx>
            <c:strRef>
              <c:f>[7]IMPORT_pe_luni_Milioane_USD!$M$18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[7]IMPORT_pe_luni_Milioane_USD!$A$19:$A$24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[7]IMPORT_pe_luni_Milioane_USD!$M$19:$M$24</c:f>
              <c:numCache>
                <c:formatCode>General</c:formatCode>
                <c:ptCount val="6"/>
                <c:pt idx="0">
                  <c:v>391.4</c:v>
                </c:pt>
                <c:pt idx="1">
                  <c:v>471.4</c:v>
                </c:pt>
                <c:pt idx="2">
                  <c:v>519.29999999999995</c:v>
                </c:pt>
                <c:pt idx="3">
                  <c:v>539.70000000000005</c:v>
                </c:pt>
                <c:pt idx="4">
                  <c:v>567.20000000000005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85-4F6B-A686-03D9A8D64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1221696"/>
        <c:axId val="421222256"/>
      </c:barChart>
      <c:catAx>
        <c:axId val="4212216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222256"/>
        <c:crosses val="autoZero"/>
        <c:auto val="0"/>
        <c:lblAlgn val="ctr"/>
        <c:lblOffset val="100"/>
        <c:tickLblSkip val="1"/>
        <c:noMultiLvlLbl val="0"/>
      </c:catAx>
      <c:valAx>
        <c:axId val="421222256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22169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149253474463233"/>
          <c:w val="1"/>
          <c:h val="7.850746525536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8010999798734E-2"/>
          <c:y val="6.6174643530060306E-2"/>
          <c:w val="0.93521022575280011"/>
          <c:h val="0.7197508618632702"/>
        </c:manualLayout>
      </c:layout>
      <c:lineChart>
        <c:grouping val="standard"/>
        <c:varyColors val="0"/>
        <c:ser>
          <c:idx val="0"/>
          <c:order val="0"/>
          <c:tx>
            <c:strRef>
              <c:f>[8]INDICI_valorici_lunari_Import!$A$26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341781132602164E-2"/>
                  <c:y val="3.5646025728265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DC5-4341-8624-B7AE9C654835}"/>
                </c:ext>
              </c:extLst>
            </c:dLbl>
            <c:dLbl>
              <c:idx val="1"/>
              <c:layout>
                <c:manualLayout>
                  <c:x val="-3.6681515253724747E-2"/>
                  <c:y val="-3.0197595670911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C5-4341-8624-B7AE9C654835}"/>
                </c:ext>
              </c:extLst>
            </c:dLbl>
            <c:dLbl>
              <c:idx val="2"/>
              <c:layout>
                <c:manualLayout>
                  <c:x val="-2.8782341174489318E-2"/>
                  <c:y val="-2.8180043928075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C5-4341-8624-B7AE9C654835}"/>
                </c:ext>
              </c:extLst>
            </c:dLbl>
            <c:dLbl>
              <c:idx val="3"/>
              <c:layout>
                <c:manualLayout>
                  <c:x val="-4.5405591906645469E-2"/>
                  <c:y val="2.8905407803045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C5-4341-8624-B7AE9C654835}"/>
                </c:ext>
              </c:extLst>
            </c:dLbl>
            <c:dLbl>
              <c:idx val="4"/>
              <c:layout>
                <c:manualLayout>
                  <c:x val="-3.4329218311433471E-2"/>
                  <c:y val="2.7470891439774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DC5-4341-8624-B7AE9C654835}"/>
                </c:ext>
              </c:extLst>
            </c:dLbl>
            <c:dLbl>
              <c:idx val="5"/>
              <c:layout>
                <c:manualLayout>
                  <c:x val="-1.7394371444894349E-2"/>
                  <c:y val="2.2994655788508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DC5-4341-8624-B7AE9C654835}"/>
                </c:ext>
              </c:extLst>
            </c:dLbl>
            <c:dLbl>
              <c:idx val="6"/>
              <c:layout>
                <c:manualLayout>
                  <c:x val="-3.9032822957352241E-2"/>
                  <c:y val="-2.3786518210647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DC5-4341-8624-B7AE9C654835}"/>
                </c:ext>
              </c:extLst>
            </c:dLbl>
            <c:dLbl>
              <c:idx val="7"/>
              <c:layout>
                <c:manualLayout>
                  <c:x val="-3.2209443851064355E-2"/>
                  <c:y val="2.3833538879929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DC5-4341-8624-B7AE9C654835}"/>
                </c:ext>
              </c:extLst>
            </c:dLbl>
            <c:dLbl>
              <c:idx val="8"/>
              <c:layout>
                <c:manualLayout>
                  <c:x val="-3.2686971362284004E-2"/>
                  <c:y val="-3.3300611959314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DC5-4341-8624-B7AE9C654835}"/>
                </c:ext>
              </c:extLst>
            </c:dLbl>
            <c:dLbl>
              <c:idx val="9"/>
              <c:layout>
                <c:manualLayout>
                  <c:x val="-1.7387732636706798E-2"/>
                  <c:y val="-1.7721980556626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DC5-4341-8624-B7AE9C654835}"/>
                </c:ext>
              </c:extLst>
            </c:dLbl>
            <c:dLbl>
              <c:idx val="10"/>
              <c:layout>
                <c:manualLayout>
                  <c:x val="-2.7993243746739938E-2"/>
                  <c:y val="2.7723618884988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DC5-4341-8624-B7AE9C654835}"/>
                </c:ext>
              </c:extLst>
            </c:dLbl>
            <c:dLbl>
              <c:idx val="11"/>
              <c:layout>
                <c:manualLayout>
                  <c:x val="-3.9046271839231622E-2"/>
                  <c:y val="-2.6227106227106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DC5-4341-8624-B7AE9C654835}"/>
                </c:ext>
              </c:extLst>
            </c:dLbl>
            <c:dLbl>
              <c:idx val="12"/>
              <c:layout>
                <c:manualLayout>
                  <c:x val="-3.4853324722422391E-2"/>
                  <c:y val="2.7470891439774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DC5-4341-8624-B7AE9C654835}"/>
                </c:ext>
              </c:extLst>
            </c:dLbl>
            <c:dLbl>
              <c:idx val="13"/>
              <c:layout>
                <c:manualLayout>
                  <c:x val="-3.4853324722422314E-2"/>
                  <c:y val="-2.6680444472000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DC5-4341-8624-B7AE9C654835}"/>
                </c:ext>
              </c:extLst>
            </c:dLbl>
            <c:dLbl>
              <c:idx val="14"/>
              <c:layout>
                <c:manualLayout>
                  <c:x val="-1.104829561919902E-2"/>
                  <c:y val="-5.83018688928944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DC5-4341-8624-B7AE9C654835}"/>
                </c:ext>
              </c:extLst>
            </c:dLbl>
            <c:dLbl>
              <c:idx val="15"/>
              <c:layout>
                <c:manualLayout>
                  <c:x val="-5.6661260626003837E-2"/>
                  <c:y val="-1.1359386528296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DC5-4341-8624-B7AE9C654835}"/>
                </c:ext>
              </c:extLst>
            </c:dLbl>
            <c:dLbl>
              <c:idx val="16"/>
              <c:layout>
                <c:manualLayout>
                  <c:x val="-6.1627936751808388E-2"/>
                  <c:y val="-1.5295668686575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DC5-4341-8624-B7AE9C654835}"/>
                </c:ext>
              </c:extLst>
            </c:dLbl>
            <c:dLbl>
              <c:idx val="17"/>
              <c:layout>
                <c:manualLayout>
                  <c:x val="-3.8641628786938068E-2"/>
                  <c:y val="-2.5886980994845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DC5-4341-8624-B7AE9C654835}"/>
                </c:ext>
              </c:extLst>
            </c:dLbl>
            <c:dLbl>
              <c:idx val="18"/>
              <c:layout>
                <c:manualLayout>
                  <c:x val="-1.3663080847288456E-2"/>
                  <c:y val="-1.8235841001802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DC5-4341-8624-B7AE9C654835}"/>
                </c:ext>
              </c:extLst>
            </c:dLbl>
            <c:dLbl>
              <c:idx val="19"/>
              <c:layout>
                <c:manualLayout>
                  <c:x val="-2.7306774446621555E-2"/>
                  <c:y val="2.8361384896817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DC5-4341-8624-B7AE9C654835}"/>
                </c:ext>
              </c:extLst>
            </c:dLbl>
            <c:dLbl>
              <c:idx val="20"/>
              <c:layout>
                <c:manualLayout>
                  <c:x val="-3.7558685446009391E-2"/>
                  <c:y val="-2.2647399844250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DC5-4341-8624-B7AE9C654835}"/>
                </c:ext>
              </c:extLst>
            </c:dLbl>
            <c:dLbl>
              <c:idx val="21"/>
              <c:layout>
                <c:manualLayout>
                  <c:x val="-2.2952529994783515E-2"/>
                  <c:y val="-6.6109822119102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DC5-4341-8624-B7AE9C654835}"/>
                </c:ext>
              </c:extLst>
            </c:dLbl>
            <c:dLbl>
              <c:idx val="22"/>
              <c:layout>
                <c:manualLayout>
                  <c:x val="-4.3818466353677622E-2"/>
                  <c:y val="-2.8177440782865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DC5-4341-8624-B7AE9C654835}"/>
                </c:ext>
              </c:extLst>
            </c:dLbl>
            <c:dLbl>
              <c:idx val="23"/>
              <c:layout>
                <c:manualLayout>
                  <c:x val="-3.048780487804878E-2"/>
                  <c:y val="-3.0133894553503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DC5-4341-8624-B7AE9C654835}"/>
                </c:ext>
              </c:extLst>
            </c:dLbl>
            <c:dLbl>
              <c:idx val="24"/>
              <c:layout>
                <c:manualLayout>
                  <c:x val="-3.3282600345688494E-2"/>
                  <c:y val="2.4047558571307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DC5-4341-8624-B7AE9C654835}"/>
                </c:ext>
              </c:extLst>
            </c:dLbl>
            <c:dLbl>
              <c:idx val="25"/>
              <c:layout>
                <c:manualLayout>
                  <c:x val="0"/>
                  <c:y val="-2.5107587358031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DC5-4341-8624-B7AE9C65483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[8]INDICI_valorici_lunari_Import!$B$24:$AA$25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[8]INDICI_valorici_lunari_Import!$B$26:$AA$26</c:f>
              <c:numCache>
                <c:formatCode>General</c:formatCode>
                <c:ptCount val="26"/>
                <c:pt idx="0">
                  <c:v>71.738158213015794</c:v>
                </c:pt>
                <c:pt idx="1">
                  <c:v>123.27227087030982</c:v>
                </c:pt>
                <c:pt idx="2">
                  <c:v>116.24365644398502</c:v>
                </c:pt>
                <c:pt idx="3">
                  <c:v>96.580225893758936</c:v>
                </c:pt>
                <c:pt idx="4">
                  <c:v>93.408604141465986</c:v>
                </c:pt>
                <c:pt idx="5">
                  <c:v>92.490171422142794</c:v>
                </c:pt>
                <c:pt idx="6">
                  <c:v>112.04816621722891</c:v>
                </c:pt>
                <c:pt idx="7">
                  <c:v>93.020207912369386</c:v>
                </c:pt>
                <c:pt idx="8">
                  <c:v>108.06099409813686</c:v>
                </c:pt>
                <c:pt idx="9">
                  <c:v>104.71321760096355</c:v>
                </c:pt>
                <c:pt idx="10">
                  <c:v>95.961007942682357</c:v>
                </c:pt>
                <c:pt idx="11">
                  <c:v>107.05149255623367</c:v>
                </c:pt>
                <c:pt idx="12">
                  <c:v>70.382003770665676</c:v>
                </c:pt>
                <c:pt idx="13">
                  <c:v>127.63423451925213</c:v>
                </c:pt>
                <c:pt idx="14">
                  <c:v>103.23912793888927</c:v>
                </c:pt>
                <c:pt idx="15">
                  <c:v>57.078690511307506</c:v>
                </c:pt>
                <c:pt idx="16">
                  <c:v>115.28014011401433</c:v>
                </c:pt>
                <c:pt idx="17">
                  <c:v>125.49226317448301</c:v>
                </c:pt>
                <c:pt idx="18">
                  <c:v>120.12587844202298</c:v>
                </c:pt>
                <c:pt idx="19">
                  <c:v>87.365815836450849</c:v>
                </c:pt>
                <c:pt idx="20">
                  <c:v>117.22820986033366</c:v>
                </c:pt>
                <c:pt idx="21">
                  <c:v>97.068845638383863</c:v>
                </c:pt>
                <c:pt idx="22">
                  <c:v>105.94920392874525</c:v>
                </c:pt>
                <c:pt idx="23">
                  <c:v>108.47425306036291</c:v>
                </c:pt>
                <c:pt idx="24">
                  <c:v>70.828322892530892</c:v>
                </c:pt>
                <c:pt idx="25">
                  <c:v>129.79977188418411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DC5-4341-8624-B7AE9C654835}"/>
            </c:ext>
          </c:extLst>
        </c:ser>
        <c:ser>
          <c:idx val="1"/>
          <c:order val="1"/>
          <c:tx>
            <c:strRef>
              <c:f>[8]INDICI_valorici_lunari_Import!$A$27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4864676258156061E-2"/>
                  <c:y val="-3.0197595670911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7DC5-4341-8624-B7AE9C654835}"/>
                </c:ext>
              </c:extLst>
            </c:dLbl>
            <c:dLbl>
              <c:idx val="2"/>
              <c:layout>
                <c:manualLayout>
                  <c:x val="-3.1184552635145978E-2"/>
                  <c:y val="2.3461263146302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7DC5-4341-8624-B7AE9C654835}"/>
                </c:ext>
              </c:extLst>
            </c:dLbl>
            <c:dLbl>
              <c:idx val="3"/>
              <c:layout>
                <c:manualLayout>
                  <c:x val="-1.0456041591551425E-2"/>
                  <c:y val="8.0593629500016204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7DC5-4341-8624-B7AE9C654835}"/>
                </c:ext>
              </c:extLst>
            </c:dLbl>
            <c:dLbl>
              <c:idx val="4"/>
              <c:layout>
                <c:manualLayout>
                  <c:x val="-2.0040335333670146E-2"/>
                  <c:y val="-2.603097689711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7DC5-4341-8624-B7AE9C654835}"/>
                </c:ext>
              </c:extLst>
            </c:dLbl>
            <c:dLbl>
              <c:idx val="5"/>
              <c:layout>
                <c:manualLayout>
                  <c:x val="-3.4778094052797429E-2"/>
                  <c:y val="-4.4182631017276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7DC5-4341-8624-B7AE9C654835}"/>
                </c:ext>
              </c:extLst>
            </c:dLbl>
            <c:dLbl>
              <c:idx val="6"/>
              <c:layout>
                <c:manualLayout>
                  <c:x val="-3.9480695827848092E-2"/>
                  <c:y val="3.2825345650691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7DC5-4341-8624-B7AE9C654835}"/>
                </c:ext>
              </c:extLst>
            </c:dLbl>
            <c:dLbl>
              <c:idx val="7"/>
              <c:layout>
                <c:manualLayout>
                  <c:x val="-3.0471731574093778E-2"/>
                  <c:y val="-4.4587984194283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7DC5-4341-8624-B7AE9C654835}"/>
                </c:ext>
              </c:extLst>
            </c:dLbl>
            <c:dLbl>
              <c:idx val="8"/>
              <c:layout>
                <c:manualLayout>
                  <c:x val="-3.5101721635033417E-2"/>
                  <c:y val="5.2413363583789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7DC5-4341-8624-B7AE9C654835}"/>
                </c:ext>
              </c:extLst>
            </c:dLbl>
            <c:dLbl>
              <c:idx val="9"/>
              <c:layout>
                <c:manualLayout>
                  <c:x val="-3.8917271491298332E-2"/>
                  <c:y val="2.5909488586653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7DC5-4341-8624-B7AE9C654835}"/>
                </c:ext>
              </c:extLst>
            </c:dLbl>
            <c:dLbl>
              <c:idx val="11"/>
              <c:layout>
                <c:manualLayout>
                  <c:x val="-1.0038003924588368E-2"/>
                  <c:y val="-1.6495339657346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7DC5-4341-8624-B7AE9C654835}"/>
                </c:ext>
              </c:extLst>
            </c:dLbl>
            <c:dLbl>
              <c:idx val="12"/>
              <c:layout>
                <c:manualLayout>
                  <c:x val="-3.9480695827848175E-2"/>
                  <c:y val="2.5893456231356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7DC5-4341-8624-B7AE9C654835}"/>
                </c:ext>
              </c:extLst>
            </c:dLbl>
            <c:dLbl>
              <c:idx val="13"/>
              <c:layout>
                <c:manualLayout>
                  <c:x val="-2.8881906193650678E-2"/>
                  <c:y val="-2.0611933997760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7DC5-4341-8624-B7AE9C654835}"/>
                </c:ext>
              </c:extLst>
            </c:dLbl>
            <c:dLbl>
              <c:idx val="14"/>
              <c:layout>
                <c:manualLayout>
                  <c:x val="-6.0111558955289142E-2"/>
                  <c:y val="6.585702210952444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7DC5-4341-8624-B7AE9C654835}"/>
                </c:ext>
              </c:extLst>
            </c:dLbl>
            <c:dLbl>
              <c:idx val="15"/>
              <c:layout>
                <c:manualLayout>
                  <c:x val="-5.3189172248991265E-3"/>
                  <c:y val="1.0561341122682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7DC5-4341-8624-B7AE9C654835}"/>
                </c:ext>
              </c:extLst>
            </c:dLbl>
            <c:dLbl>
              <c:idx val="16"/>
              <c:layout>
                <c:manualLayout>
                  <c:x val="-7.1542964919529698E-3"/>
                  <c:y val="-6.3194023823945084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7DC5-4341-8624-B7AE9C654835}"/>
                </c:ext>
              </c:extLst>
            </c:dLbl>
            <c:dLbl>
              <c:idx val="17"/>
              <c:layout>
                <c:manualLayout>
                  <c:x val="-5.4923178915781905E-2"/>
                  <c:y val="-1.8530831794173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7DC5-4341-8624-B7AE9C654835}"/>
                </c:ext>
              </c:extLst>
            </c:dLbl>
            <c:dLbl>
              <c:idx val="18"/>
              <c:layout>
                <c:manualLayout>
                  <c:x val="-3.3168732457338729E-2"/>
                  <c:y val="-2.7213610346899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7DC5-4341-8624-B7AE9C654835}"/>
                </c:ext>
              </c:extLst>
            </c:dLbl>
            <c:dLbl>
              <c:idx val="19"/>
              <c:layout>
                <c:manualLayout>
                  <c:x val="-5.8957032143507913E-2"/>
                  <c:y val="4.82291565406176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7DC5-4341-8624-B7AE9C654835}"/>
                </c:ext>
              </c:extLst>
            </c:dLbl>
            <c:dLbl>
              <c:idx val="20"/>
              <c:layout>
                <c:manualLayout>
                  <c:x val="-4.6063782439239469E-2"/>
                  <c:y val="-2.2070376796120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773082942097026E-2"/>
                      <c:h val="4.20367454068241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D-7DC5-4341-8624-B7AE9C654835}"/>
                </c:ext>
              </c:extLst>
            </c:dLbl>
            <c:dLbl>
              <c:idx val="21"/>
              <c:layout>
                <c:manualLayout>
                  <c:x val="-3.1298824816415834E-2"/>
                  <c:y val="2.630086493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7DC5-4341-8624-B7AE9C654835}"/>
                </c:ext>
              </c:extLst>
            </c:dLbl>
            <c:dLbl>
              <c:idx val="22"/>
              <c:layout>
                <c:manualLayout>
                  <c:x val="-2.4903975417706933E-2"/>
                  <c:y val="2.9317464349214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7DC5-4341-8624-B7AE9C654835}"/>
                </c:ext>
              </c:extLst>
            </c:dLbl>
            <c:dLbl>
              <c:idx val="23"/>
              <c:layout>
                <c:manualLayout>
                  <c:x val="-1.4227642276422913E-2"/>
                  <c:y val="2.2697243489725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7DC5-4341-8624-B7AE9C654835}"/>
                </c:ext>
              </c:extLst>
            </c:dLbl>
            <c:dLbl>
              <c:idx val="24"/>
              <c:layout>
                <c:manualLayout>
                  <c:x val="-2.6644420971768772E-2"/>
                  <c:y val="-2.2035390737448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7DC5-4341-8624-B7AE9C654835}"/>
                </c:ext>
              </c:extLst>
            </c:dLbl>
            <c:dLbl>
              <c:idx val="25"/>
              <c:layout>
                <c:manualLayout>
                  <c:x val="0"/>
                  <c:y val="-3.7396373840366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7DC5-4341-8624-B7AE9C65483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[8]INDICI_valorici_lunari_Import!$B$24:$AA$25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[8]INDICI_valorici_lunari_Import!$B$27:$AA$27</c:f>
              <c:numCache>
                <c:formatCode>General</c:formatCode>
                <c:ptCount val="26"/>
                <c:pt idx="0">
                  <c:v>99.543424894989869</c:v>
                </c:pt>
                <c:pt idx="1">
                  <c:v>107.40131750961253</c:v>
                </c:pt>
                <c:pt idx="2">
                  <c:v>101.84987714724333</c:v>
                </c:pt>
                <c:pt idx="3">
                  <c:v>115.96700414337735</c:v>
                </c:pt>
                <c:pt idx="4">
                  <c:v>95.255444572503052</c:v>
                </c:pt>
                <c:pt idx="5">
                  <c:v>97.112719321999705</c:v>
                </c:pt>
                <c:pt idx="6">
                  <c:v>102.26719836939048</c:v>
                </c:pt>
                <c:pt idx="7">
                  <c:v>96.591868428897087</c:v>
                </c:pt>
                <c:pt idx="8">
                  <c:v>105.84853894732886</c:v>
                </c:pt>
                <c:pt idx="9">
                  <c:v>97.174714783775727</c:v>
                </c:pt>
                <c:pt idx="10">
                  <c:v>96.469519333115954</c:v>
                </c:pt>
                <c:pt idx="11">
                  <c:v>103.91915692353963</c:v>
                </c:pt>
                <c:pt idx="12">
                  <c:v>101.95464556978192</c:v>
                </c:pt>
                <c:pt idx="13">
                  <c:v>105.56228948415468</c:v>
                </c:pt>
                <c:pt idx="14">
                  <c:v>93.752717722091504</c:v>
                </c:pt>
                <c:pt idx="15">
                  <c:v>55.407639710221858</c:v>
                </c:pt>
                <c:pt idx="16">
                  <c:v>68.381285941363316</c:v>
                </c:pt>
                <c:pt idx="17">
                  <c:v>92.780910659105047</c:v>
                </c:pt>
                <c:pt idx="18">
                  <c:v>99.469618931274354</c:v>
                </c:pt>
                <c:pt idx="19">
                  <c:v>93.423188400722452</c:v>
                </c:pt>
                <c:pt idx="20">
                  <c:v>101.34862470092907</c:v>
                </c:pt>
                <c:pt idx="21">
                  <c:v>93.948988568461047</c:v>
                </c:pt>
                <c:pt idx="22">
                  <c:v>103.73319301421135</c:v>
                </c:pt>
                <c:pt idx="23">
                  <c:v>105.10597622377793</c:v>
                </c:pt>
                <c:pt idx="24">
                  <c:v>105.77249329487238</c:v>
                </c:pt>
                <c:pt idx="25">
                  <c:v>107.56710809610357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DC5-4341-8624-B7AE9C6548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1225056"/>
        <c:axId val="421225616"/>
      </c:lineChart>
      <c:catAx>
        <c:axId val="42122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225616"/>
        <c:crossesAt val="50"/>
        <c:auto val="1"/>
        <c:lblAlgn val="ctr"/>
        <c:lblOffset val="100"/>
        <c:noMultiLvlLbl val="0"/>
      </c:catAx>
      <c:valAx>
        <c:axId val="42122561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22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69144291235897E-2"/>
          <c:y val="0.93370396497048047"/>
          <c:w val="0.93252348122114592"/>
          <c:h val="5.444827871092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2</xdr:row>
      <xdr:rowOff>9525</xdr:rowOff>
    </xdr:from>
    <xdr:to>
      <xdr:col>11</xdr:col>
      <xdr:colOff>155575</xdr:colOff>
      <xdr:row>16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38100</xdr:rowOff>
    </xdr:from>
    <xdr:to>
      <xdr:col>9</xdr:col>
      <xdr:colOff>657225</xdr:colOff>
      <xdr:row>17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0.04791</cdr:x>
      <cdr:y>0</cdr:y>
    </cdr:from>
    <cdr:to>
      <cdr:x>0.19629</cdr:x>
      <cdr:y>0.38554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9525</xdr:rowOff>
    </xdr:from>
    <xdr:to>
      <xdr:col>12</xdr:col>
      <xdr:colOff>76200</xdr:colOff>
      <xdr:row>21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0.04699</cdr:x>
      <cdr:y>0</cdr:y>
    </cdr:from>
    <cdr:to>
      <cdr:x>0.18796</cdr:x>
      <cdr:y>0.30094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180974</xdr:rowOff>
    </xdr:from>
    <xdr:to>
      <xdr:col>7</xdr:col>
      <xdr:colOff>0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</xdr:row>
      <xdr:rowOff>47625</xdr:rowOff>
    </xdr:from>
    <xdr:to>
      <xdr:col>5</xdr:col>
      <xdr:colOff>876300</xdr:colOff>
      <xdr:row>19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28574</xdr:rowOff>
    </xdr:from>
    <xdr:to>
      <xdr:col>4</xdr:col>
      <xdr:colOff>666750</xdr:colOff>
      <xdr:row>18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0.05634</cdr:x>
      <cdr:y>0</cdr:y>
    </cdr:from>
    <cdr:to>
      <cdr:x>0.22535</cdr:x>
      <cdr:y>0.35688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19050</xdr:rowOff>
    </xdr:from>
    <xdr:to>
      <xdr:col>5</xdr:col>
      <xdr:colOff>628650</xdr:colOff>
      <xdr:row>20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</xdr:row>
      <xdr:rowOff>28574</xdr:rowOff>
    </xdr:from>
    <xdr:to>
      <xdr:col>0</xdr:col>
      <xdr:colOff>3200401</xdr:colOff>
      <xdr:row>18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3181350</xdr:colOff>
      <xdr:row>2</xdr:row>
      <xdr:rowOff>28575</xdr:rowOff>
    </xdr:from>
    <xdr:to>
      <xdr:col>4</xdr:col>
      <xdr:colOff>0</xdr:colOff>
      <xdr:row>18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9525</xdr:rowOff>
    </xdr:from>
    <xdr:to>
      <xdr:col>10</xdr:col>
      <xdr:colOff>171450</xdr:colOff>
      <xdr:row>18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0.04716</cdr:x>
      <cdr:y>0</cdr:y>
    </cdr:from>
    <cdr:to>
      <cdr:x>0.1932</cdr:x>
      <cdr:y>0.32542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milioane dolari SUA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0.03771</cdr:x>
      <cdr:y>0</cdr:y>
    </cdr:from>
    <cdr:to>
      <cdr:x>0.1825</cdr:x>
      <cdr:y>0.35821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66674</xdr:rowOff>
    </xdr:from>
    <xdr:to>
      <xdr:col>3</xdr:col>
      <xdr:colOff>1466850</xdr:colOff>
      <xdr:row>21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0.05882</cdr:x>
      <cdr:y>0</cdr:y>
    </cdr:from>
    <cdr:to>
      <cdr:x>0.21569</cdr:x>
      <cdr:y>0.30868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9526</xdr:rowOff>
    </xdr:from>
    <xdr:to>
      <xdr:col>11</xdr:col>
      <xdr:colOff>400050</xdr:colOff>
      <xdr:row>19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0.08465</cdr:x>
      <cdr:y>0.00612</cdr:y>
    </cdr:from>
    <cdr:to>
      <cdr:x>0.22238</cdr:x>
      <cdr:y>0.29969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561975" y="190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9525</xdr:rowOff>
    </xdr:from>
    <xdr:to>
      <xdr:col>5</xdr:col>
      <xdr:colOff>714375</xdr:colOff>
      <xdr:row>18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28575</xdr:rowOff>
    </xdr:from>
    <xdr:to>
      <xdr:col>4</xdr:col>
      <xdr:colOff>666750</xdr:colOff>
      <xdr:row>16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0.07979</cdr:x>
      <cdr:y>0</cdr:y>
    </cdr:from>
    <cdr:to>
      <cdr:x>0.25</cdr:x>
      <cdr:y>0.41202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86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28575</xdr:rowOff>
    </xdr:from>
    <xdr:to>
      <xdr:col>5</xdr:col>
      <xdr:colOff>866775</xdr:colOff>
      <xdr:row>19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85725</xdr:rowOff>
    </xdr:from>
    <xdr:to>
      <xdr:col>4</xdr:col>
      <xdr:colOff>19050</xdr:colOff>
      <xdr:row>20</xdr:row>
      <xdr:rowOff>0</xdr:rowOff>
    </xdr:to>
    <xdr:grpSp>
      <xdr:nvGrpSpPr>
        <xdr:cNvPr id="4" name="Group 3"/>
        <xdr:cNvGrpSpPr/>
      </xdr:nvGrpSpPr>
      <xdr:grpSpPr>
        <a:xfrm>
          <a:off x="9525" y="390525"/>
          <a:ext cx="6248400" cy="2657475"/>
          <a:chOff x="9525" y="390525"/>
          <a:chExt cx="6248400" cy="2657475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9525" y="390525"/>
          <a:ext cx="3190875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3209925" y="400050"/>
          <a:ext cx="3048000" cy="2647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2%20in%20Microsoft%20Word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INDICI_valorici_lunari_Export"/>
    </sheetNames>
    <sheetDataSet>
      <sheetData sheetId="0">
        <row r="21">
          <cell r="B21">
            <v>2019</v>
          </cell>
          <cell r="N21">
            <v>2020</v>
          </cell>
          <cell r="Z21">
            <v>2021</v>
          </cell>
        </row>
        <row r="22">
          <cell r="B22" t="str">
            <v>I</v>
          </cell>
          <cell r="C22" t="str">
            <v>II</v>
          </cell>
          <cell r="D22" t="str">
            <v>III</v>
          </cell>
          <cell r="E22" t="str">
            <v>IV</v>
          </cell>
          <cell r="F22" t="str">
            <v>V</v>
          </cell>
          <cell r="G22" t="str">
            <v xml:space="preserve">VI </v>
          </cell>
          <cell r="H22" t="str">
            <v>VII</v>
          </cell>
          <cell r="I22" t="str">
            <v xml:space="preserve">VIII </v>
          </cell>
          <cell r="J22" t="str">
            <v>IX</v>
          </cell>
          <cell r="K22" t="str">
            <v xml:space="preserve">X </v>
          </cell>
          <cell r="L22" t="str">
            <v>XI</v>
          </cell>
          <cell r="M22" t="str">
            <v>XII</v>
          </cell>
          <cell r="N22" t="str">
            <v>I</v>
          </cell>
          <cell r="O22" t="str">
            <v>II</v>
          </cell>
          <cell r="P22" t="str">
            <v>III</v>
          </cell>
          <cell r="Q22" t="str">
            <v>IV</v>
          </cell>
          <cell r="R22" t="str">
            <v>V</v>
          </cell>
          <cell r="S22" t="str">
            <v>VI</v>
          </cell>
          <cell r="T22" t="str">
            <v>VII</v>
          </cell>
          <cell r="U22" t="str">
            <v>VIII</v>
          </cell>
          <cell r="V22" t="str">
            <v>IX</v>
          </cell>
          <cell r="W22" t="str">
            <v>X</v>
          </cell>
          <cell r="X22" t="str">
            <v>XI</v>
          </cell>
          <cell r="Y22" t="str">
            <v>XII</v>
          </cell>
          <cell r="Z22" t="str">
            <v>I</v>
          </cell>
          <cell r="AA22" t="str">
            <v>II</v>
          </cell>
        </row>
        <row r="23">
          <cell r="A23" t="str">
            <v>în % faţă de luna precedentă</v>
          </cell>
          <cell r="B23">
            <v>107.04955714362214</v>
          </cell>
          <cell r="C23">
            <v>103.05469693630643</v>
          </cell>
          <cell r="D23">
            <v>106.5540849399146</v>
          </cell>
          <cell r="E23">
            <v>83.804058120513616</v>
          </cell>
          <cell r="F23">
            <v>97.663587687631406</v>
          </cell>
          <cell r="G23">
            <v>96.047232355670943</v>
          </cell>
          <cell r="H23">
            <v>108.87893967295254</v>
          </cell>
          <cell r="I23">
            <v>93.476142278451405</v>
          </cell>
          <cell r="J23">
            <v>116.03027535062083</v>
          </cell>
          <cell r="K23">
            <v>112.37403253245004</v>
          </cell>
          <cell r="L23">
            <v>99.332915825323369</v>
          </cell>
          <cell r="M23">
            <v>81.894486392152885</v>
          </cell>
          <cell r="N23">
            <v>100.54069338788538</v>
          </cell>
          <cell r="O23">
            <v>111.77933359663091</v>
          </cell>
          <cell r="P23">
            <v>85.694935103741471</v>
          </cell>
          <cell r="Q23">
            <v>71.283537880135214</v>
          </cell>
          <cell r="R23">
            <v>103.90424682350312</v>
          </cell>
          <cell r="S23">
            <v>121.7567454858746</v>
          </cell>
          <cell r="T23">
            <v>110.31536699031417</v>
          </cell>
          <cell r="U23">
            <v>78.37124914745101</v>
          </cell>
          <cell r="V23">
            <v>129.49769240283013</v>
          </cell>
          <cell r="W23">
            <v>117.50528032013585</v>
          </cell>
          <cell r="X23">
            <v>105.05714898180969</v>
          </cell>
          <cell r="Y23">
            <v>83.30679503578223</v>
          </cell>
          <cell r="Z23">
            <v>90.984457285636111</v>
          </cell>
          <cell r="AA23">
            <v>114.31681535818758</v>
          </cell>
        </row>
        <row r="24">
          <cell r="A24" t="str">
            <v>în % faţă de luna corespunzătoare din anul precedent</v>
          </cell>
          <cell r="B24">
            <v>106.32363840150403</v>
          </cell>
          <cell r="C24">
            <v>112.03752197942065</v>
          </cell>
          <cell r="D24">
            <v>106.24094623150131</v>
          </cell>
          <cell r="E24">
            <v>107.92813662968615</v>
          </cell>
          <cell r="F24">
            <v>94.400104290284631</v>
          </cell>
          <cell r="G24">
            <v>94.437390084542201</v>
          </cell>
          <cell r="H24">
            <v>100.6095432052643</v>
          </cell>
          <cell r="I24">
            <v>94.145274542115814</v>
          </cell>
          <cell r="J24">
            <v>115.19027152038439</v>
          </cell>
          <cell r="K24">
            <v>103.62098669571817</v>
          </cell>
          <cell r="L24">
            <v>99.147688156183818</v>
          </cell>
          <cell r="M24">
            <v>99.755109028932736</v>
          </cell>
          <cell r="N24">
            <v>93.68976480021378</v>
          </cell>
          <cell r="O24">
            <v>101.62156394157972</v>
          </cell>
          <cell r="P24">
            <v>81.728010071364707</v>
          </cell>
          <cell r="Q24">
            <v>69.517656214361068</v>
          </cell>
          <cell r="R24">
            <v>73.959803043393492</v>
          </cell>
          <cell r="S24">
            <v>93.757047386781721</v>
          </cell>
          <cell r="T24">
            <v>94.993973319988584</v>
          </cell>
          <cell r="U24">
            <v>79.643812518387932</v>
          </cell>
          <cell r="V24">
            <v>88.887920882105263</v>
          </cell>
          <cell r="W24">
            <v>92.946740621813817</v>
          </cell>
          <cell r="X24">
            <v>98.302959253212165</v>
          </cell>
          <cell r="Y24">
            <v>99.99607207443853</v>
          </cell>
          <cell r="Z24">
            <v>90.49160150165801</v>
          </cell>
          <cell r="AA24">
            <v>92.545834309572115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A_IMP_Grupe_tari"/>
    </sheetNames>
    <sheetDataSet>
      <sheetData sheetId="0">
        <row r="19">
          <cell r="B19" t="str">
            <v>Ianuarie -            februarie 2016</v>
          </cell>
          <cell r="C19" t="str">
            <v>Ianuarie -     februarie 2017</v>
          </cell>
          <cell r="D19" t="str">
            <v>Ianuarie -     februarie 2018</v>
          </cell>
          <cell r="E19" t="str">
            <v>Ianuarie -     februarie 2019</v>
          </cell>
          <cell r="F19" t="str">
            <v>Ianuarie -     februarie 2020</v>
          </cell>
          <cell r="G19" t="str">
            <v>Ianuarie -     februarie 2021</v>
          </cell>
        </row>
        <row r="20">
          <cell r="A20" t="str">
            <v>Ţările Uniunii Europene - total</v>
          </cell>
          <cell r="B20">
            <v>42.3</v>
          </cell>
          <cell r="C20">
            <v>44.3</v>
          </cell>
          <cell r="D20">
            <v>47.5</v>
          </cell>
          <cell r="E20">
            <v>45.5</v>
          </cell>
          <cell r="F20">
            <v>46.3</v>
          </cell>
          <cell r="G20">
            <v>46.2</v>
          </cell>
        </row>
        <row r="21">
          <cell r="A21" t="str">
            <v>Ţările CSI - total</v>
          </cell>
          <cell r="B21">
            <v>31.2</v>
          </cell>
          <cell r="C21">
            <v>27.9</v>
          </cell>
          <cell r="D21">
            <v>24.7</v>
          </cell>
          <cell r="E21">
            <v>27.2</v>
          </cell>
          <cell r="F21">
            <v>25.6</v>
          </cell>
          <cell r="G21">
            <v>24</v>
          </cell>
        </row>
        <row r="22">
          <cell r="A22" t="str">
            <v>Celelalte ţări ale lumii - total</v>
          </cell>
          <cell r="B22">
            <v>26.5</v>
          </cell>
          <cell r="C22">
            <v>27.8</v>
          </cell>
          <cell r="D22">
            <v>27.8</v>
          </cell>
          <cell r="E22">
            <v>27.3</v>
          </cell>
          <cell r="F22">
            <v>28.1</v>
          </cell>
          <cell r="G22">
            <v>29.8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A_IMPORT_Tari"/>
    </sheetNames>
    <sheetDataSet>
      <sheetData sheetId="0">
        <row r="23">
          <cell r="B23" t="str">
            <v xml:space="preserve"> Ianuarie - februarie 2016</v>
          </cell>
          <cell r="C23" t="str">
            <v>Ianuarie - februarie 2017</v>
          </cell>
          <cell r="D23" t="str">
            <v>Ianuarie - februarie 2018</v>
          </cell>
          <cell r="E23" t="str">
            <v xml:space="preserve"> Ianuarie - februarie 2019</v>
          </cell>
          <cell r="F23" t="str">
            <v>Ianuarie - februarie 2020</v>
          </cell>
          <cell r="G23" t="str">
            <v>Ianuarie - februarie 2021</v>
          </cell>
        </row>
        <row r="24">
          <cell r="A24" t="str">
            <v>Federaţia Rusă</v>
          </cell>
          <cell r="B24">
            <v>21.060356668933977</v>
          </cell>
          <cell r="C24">
            <v>17.460379256316294</v>
          </cell>
          <cell r="D24">
            <v>15.330848564795316</v>
          </cell>
          <cell r="E24">
            <v>16.066101614254301</v>
          </cell>
          <cell r="F24">
            <v>14.562152137343789</v>
          </cell>
          <cell r="G24">
            <v>13.41322358358355</v>
          </cell>
        </row>
        <row r="25">
          <cell r="A25" t="str">
            <v>România</v>
          </cell>
          <cell r="B25">
            <v>10.77324271835238</v>
          </cell>
          <cell r="C25">
            <v>14.186255281416068</v>
          </cell>
          <cell r="D25">
            <v>13.672221208445793</v>
          </cell>
          <cell r="E25">
            <v>13.070627993644205</v>
          </cell>
          <cell r="F25">
            <v>14.238338968785325</v>
          </cell>
          <cell r="G25">
            <v>12.579382417490507</v>
          </cell>
        </row>
        <row r="26">
          <cell r="A26" t="str">
            <v>China</v>
          </cell>
          <cell r="B26">
            <v>9.3359594271336519</v>
          </cell>
          <cell r="C26">
            <v>10.223513912205838</v>
          </cell>
          <cell r="D26">
            <v>12.114621987055092</v>
          </cell>
          <cell r="E26">
            <v>11.392418105322854</v>
          </cell>
          <cell r="F26">
            <v>10.724363404706832</v>
          </cell>
          <cell r="G26">
            <v>12.462854594547956</v>
          </cell>
        </row>
        <row r="27">
          <cell r="A27" t="str">
            <v>Ucraina</v>
          </cell>
          <cell r="B27">
            <v>7.514458296363145</v>
          </cell>
          <cell r="C27">
            <v>7.4711734122271611</v>
          </cell>
          <cell r="D27">
            <v>7.837702780378045</v>
          </cell>
          <cell r="E27">
            <v>8.6337337450052587</v>
          </cell>
          <cell r="F27">
            <v>8.6762500884234974</v>
          </cell>
          <cell r="G27">
            <v>8.2884315018934984</v>
          </cell>
        </row>
        <row r="28">
          <cell r="A28" t="str">
            <v>Germania</v>
          </cell>
          <cell r="B28">
            <v>7.1467968655482483</v>
          </cell>
          <cell r="C28">
            <v>7.1681537038882679</v>
          </cell>
          <cell r="D28">
            <v>8.0178851090184846</v>
          </cell>
          <cell r="E28">
            <v>7.9132630494133407</v>
          </cell>
          <cell r="F28">
            <v>7.7850186184865526</v>
          </cell>
          <cell r="G28">
            <v>7.8794071127739427</v>
          </cell>
        </row>
        <row r="29">
          <cell r="A29" t="str">
            <v>Turcia</v>
          </cell>
          <cell r="B29">
            <v>7.2151882848944275</v>
          </cell>
          <cell r="C29">
            <v>6.5806538873661253</v>
          </cell>
          <cell r="D29">
            <v>6.2498224424099256</v>
          </cell>
          <cell r="E29">
            <v>6.4149364903872383</v>
          </cell>
          <cell r="F29">
            <v>7.2899124106805786</v>
          </cell>
          <cell r="G29">
            <v>7.5279823907733467</v>
          </cell>
        </row>
        <row r="30">
          <cell r="A30" t="str">
            <v>Italia</v>
          </cell>
          <cell r="B30">
            <v>6.403607001604751</v>
          </cell>
          <cell r="C30">
            <v>6.0478928318033001</v>
          </cell>
          <cell r="D30">
            <v>6.5427659501217805</v>
          </cell>
          <cell r="E30">
            <v>6.0656740593403295</v>
          </cell>
          <cell r="F30">
            <v>5.7679456845288986</v>
          </cell>
          <cell r="G30">
            <v>6.2532043122410368</v>
          </cell>
        </row>
        <row r="31">
          <cell r="A31" t="str">
            <v>Polonia</v>
          </cell>
          <cell r="B31">
            <v>3.1604097749945521</v>
          </cell>
          <cell r="C31">
            <v>2.7459311081164244</v>
          </cell>
          <cell r="D31">
            <v>3.5068698993044221</v>
          </cell>
          <cell r="E31">
            <v>3.2803317473777431</v>
          </cell>
          <cell r="F31">
            <v>3.8824577381784144</v>
          </cell>
          <cell r="G31">
            <v>4.0003103767327906</v>
          </cell>
        </row>
        <row r="32">
          <cell r="A32" t="str">
            <v>Franţa</v>
          </cell>
          <cell r="B32">
            <v>1.8344994626814992</v>
          </cell>
          <cell r="C32">
            <v>2.2539014105663022</v>
          </cell>
          <cell r="D32">
            <v>2.6969441572328239</v>
          </cell>
          <cell r="E32">
            <v>2.6252614771401483</v>
          </cell>
          <cell r="F32">
            <v>2.4575231967017062</v>
          </cell>
          <cell r="G32">
            <v>3.0619371021479402</v>
          </cell>
        </row>
        <row r="33">
          <cell r="A33" t="str">
            <v>Ungaria</v>
          </cell>
          <cell r="B33">
            <v>1.6776950018917214</v>
          </cell>
          <cell r="C33">
            <v>2.083179329060584</v>
          </cell>
          <cell r="D33">
            <v>2.2324938129660161</v>
          </cell>
          <cell r="E33">
            <v>2.0275950788168724</v>
          </cell>
          <cell r="F33">
            <v>2.1690133120004949</v>
          </cell>
          <cell r="G33">
            <v>2.1821350221879179</v>
          </cell>
        </row>
        <row r="34">
          <cell r="A34" t="str">
            <v>Belarus</v>
          </cell>
          <cell r="B34">
            <v>2.3269116132757186</v>
          </cell>
          <cell r="C34">
            <v>2.821552435867801</v>
          </cell>
          <cell r="D34">
            <v>1.4161263055706488</v>
          </cell>
          <cell r="E34">
            <v>1.9332593241558422</v>
          </cell>
          <cell r="F34">
            <v>1.6951520070493176</v>
          </cell>
          <cell r="G34">
            <v>1.9094894289731572</v>
          </cell>
        </row>
        <row r="35">
          <cell r="A35" t="str">
            <v>Republica Cehă</v>
          </cell>
          <cell r="B35">
            <v>1.4550296633258575</v>
          </cell>
          <cell r="C35">
            <v>1.5933110006012379</v>
          </cell>
          <cell r="D35">
            <v>1.3909649686201764</v>
          </cell>
          <cell r="E35">
            <v>1.986353897128738</v>
          </cell>
          <cell r="F35">
            <v>1.7563410941791713</v>
          </cell>
          <cell r="G35">
            <v>1.8387251963125975</v>
          </cell>
        </row>
        <row r="36">
          <cell r="A36" t="str">
            <v>Spania</v>
          </cell>
          <cell r="B36">
            <v>1.3513296304156543</v>
          </cell>
          <cell r="C36">
            <v>1.1046767524683578</v>
          </cell>
          <cell r="D36">
            <v>1.4743451254806512</v>
          </cell>
          <cell r="E36">
            <v>1.3309001092589376</v>
          </cell>
          <cell r="F36">
            <v>1.4146552044174106</v>
          </cell>
          <cell r="G36">
            <v>1.3616766911390723</v>
          </cell>
        </row>
        <row r="37">
          <cell r="A37" t="str">
            <v>Austria</v>
          </cell>
          <cell r="B37">
            <v>2.1530555488142267</v>
          </cell>
          <cell r="C37">
            <v>1.3418033606814839</v>
          </cell>
          <cell r="D37">
            <v>1.8319120909117099</v>
          </cell>
          <cell r="E37">
            <v>1.6582109710365822</v>
          </cell>
          <cell r="F37">
            <v>1.1726650563899077</v>
          </cell>
          <cell r="G37">
            <v>1.3152555812296365</v>
          </cell>
        </row>
        <row r="38">
          <cell r="A38" t="str">
            <v>S.U.A.</v>
          </cell>
          <cell r="B38">
            <v>1.2259636972594088</v>
          </cell>
          <cell r="C38">
            <v>2.565451781542837</v>
          </cell>
          <cell r="D38">
            <v>1.3991820117869893</v>
          </cell>
          <cell r="E38">
            <v>1.2702161817233473</v>
          </cell>
          <cell r="F38">
            <v>1.2176158976566704</v>
          </cell>
          <cell r="G38">
            <v>1.1057168099925929</v>
          </cell>
        </row>
        <row r="39">
          <cell r="A39" t="str">
            <v>Olanda</v>
          </cell>
          <cell r="B39">
            <v>1.0276281597293484</v>
          </cell>
          <cell r="C39">
            <v>1.0472834459996352</v>
          </cell>
          <cell r="D39">
            <v>1.1193118239026472</v>
          </cell>
          <cell r="E39">
            <v>0.88060303213326163</v>
          </cell>
          <cell r="F39">
            <v>1.0522241560592827</v>
          </cell>
          <cell r="G39">
            <v>0.96715066477449652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A_IMP_Sectiuni_marfuri"/>
    </sheetNames>
    <sheetDataSet>
      <sheetData sheetId="0">
        <row r="22">
          <cell r="A22" t="str">
            <v>Produse alimentare și animale vii</v>
          </cell>
          <cell r="B22">
            <v>12.4</v>
          </cell>
        </row>
        <row r="23">
          <cell r="A23" t="str">
            <v>Băuturi și tutun</v>
          </cell>
          <cell r="B23">
            <v>1.8</v>
          </cell>
        </row>
        <row r="24">
          <cell r="A24" t="str">
            <v>Materiale brute necomestibile</v>
          </cell>
          <cell r="B24">
            <v>3.3</v>
          </cell>
        </row>
        <row r="25">
          <cell r="A25" t="str">
            <v>Combustibili minerali</v>
          </cell>
          <cell r="B25">
            <v>17.2</v>
          </cell>
        </row>
        <row r="26">
          <cell r="A26" t="str">
            <v>Uleiuri și grăsimi</v>
          </cell>
          <cell r="B26">
            <v>0.2</v>
          </cell>
        </row>
        <row r="27">
          <cell r="A27" t="str">
            <v xml:space="preserve">Produse chimice </v>
          </cell>
          <cell r="B27">
            <v>14</v>
          </cell>
        </row>
        <row r="28">
          <cell r="A28" t="str">
            <v xml:space="preserve">Mărfuri manufacturate </v>
          </cell>
          <cell r="B28">
            <v>18.399999999999999</v>
          </cell>
        </row>
        <row r="29">
          <cell r="A29" t="str">
            <v>Mașini și echipamente pentru transport</v>
          </cell>
          <cell r="B29">
            <v>22.2</v>
          </cell>
        </row>
        <row r="30">
          <cell r="A30" t="str">
            <v>Articole manufacturate diverse</v>
          </cell>
          <cell r="B30">
            <v>10.5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_Com_pe_luni_Milioane_USD"/>
    </sheetNames>
    <sheetDataSet>
      <sheetData sheetId="0">
        <row r="19">
          <cell r="B19" t="str">
            <v>Ianuarie</v>
          </cell>
          <cell r="C19" t="str">
            <v>Februarie</v>
          </cell>
          <cell r="D19" t="str">
            <v>Martie</v>
          </cell>
          <cell r="E19" t="str">
            <v>Aprilie</v>
          </cell>
          <cell r="F19" t="str">
            <v>Mai</v>
          </cell>
          <cell r="G19" t="str">
            <v>Iunie</v>
          </cell>
          <cell r="H19" t="str">
            <v>Iulie</v>
          </cell>
          <cell r="I19" t="str">
            <v>August</v>
          </cell>
          <cell r="J19" t="str">
            <v>Septembrie</v>
          </cell>
          <cell r="K19" t="str">
            <v>Octombrie</v>
          </cell>
          <cell r="L19" t="str">
            <v>Noiembrie</v>
          </cell>
          <cell r="M19" t="str">
            <v>Decembrie</v>
          </cell>
        </row>
        <row r="20">
          <cell r="A20">
            <v>2016</v>
          </cell>
          <cell r="B20">
            <v>-90.5</v>
          </cell>
          <cell r="C20">
            <v>-148.5</v>
          </cell>
          <cell r="D20">
            <v>-205.5</v>
          </cell>
          <cell r="E20">
            <v>-176.4</v>
          </cell>
          <cell r="F20">
            <v>-174.7</v>
          </cell>
          <cell r="G20">
            <v>-167.2</v>
          </cell>
          <cell r="H20">
            <v>-148.5</v>
          </cell>
          <cell r="I20">
            <v>-183.1</v>
          </cell>
          <cell r="J20">
            <v>-168</v>
          </cell>
          <cell r="K20">
            <v>-179.4</v>
          </cell>
          <cell r="L20">
            <v>-135.9</v>
          </cell>
          <cell r="M20">
            <v>-197.9</v>
          </cell>
        </row>
        <row r="21">
          <cell r="A21">
            <v>2017</v>
          </cell>
          <cell r="B21">
            <v>-127.3</v>
          </cell>
          <cell r="C21">
            <v>-156.1</v>
          </cell>
          <cell r="D21">
            <v>-219.1</v>
          </cell>
          <cell r="E21">
            <v>-207.3</v>
          </cell>
          <cell r="F21">
            <v>-225.7</v>
          </cell>
          <cell r="G21">
            <v>-217.7</v>
          </cell>
          <cell r="H21">
            <v>-205.3</v>
          </cell>
          <cell r="I21">
            <v>-221.8</v>
          </cell>
          <cell r="J21">
            <v>-206.9</v>
          </cell>
          <cell r="K21">
            <v>-197.7</v>
          </cell>
          <cell r="L21">
            <v>-183.2</v>
          </cell>
          <cell r="M21">
            <v>-238.3</v>
          </cell>
        </row>
        <row r="22">
          <cell r="A22">
            <v>2018</v>
          </cell>
          <cell r="B22">
            <v>-154</v>
          </cell>
          <cell r="C22">
            <v>-212.1</v>
          </cell>
          <cell r="D22">
            <v>-282</v>
          </cell>
          <cell r="E22">
            <v>-244.9</v>
          </cell>
          <cell r="F22">
            <v>-282.60000000000002</v>
          </cell>
          <cell r="G22">
            <v>-244.6</v>
          </cell>
          <cell r="H22">
            <v>-269.2</v>
          </cell>
          <cell r="I22">
            <v>-262.10000000000002</v>
          </cell>
          <cell r="J22">
            <v>-266.7</v>
          </cell>
          <cell r="K22">
            <v>-281.60000000000002</v>
          </cell>
          <cell r="L22">
            <v>-253.70000000000005</v>
          </cell>
          <cell r="M22">
            <v>-300.49999999999994</v>
          </cell>
        </row>
        <row r="23">
          <cell r="A23">
            <v>2019</v>
          </cell>
          <cell r="B23">
            <v>-138.30000000000001</v>
          </cell>
          <cell r="C23">
            <v>-217.9</v>
          </cell>
          <cell r="D23">
            <v>-276.60000000000002</v>
          </cell>
          <cell r="E23">
            <v>-300</v>
          </cell>
          <cell r="F23">
            <v>-271.10000000000002</v>
          </cell>
          <cell r="G23">
            <v>-243.2</v>
          </cell>
          <cell r="H23">
            <v>-278.89999999999998</v>
          </cell>
          <cell r="I23">
            <v>-258.5</v>
          </cell>
          <cell r="J23">
            <v>-262.89999999999998</v>
          </cell>
          <cell r="K23">
            <v>-257</v>
          </cell>
          <cell r="L23">
            <v>-237.5</v>
          </cell>
          <cell r="M23">
            <v>-321.39999999999998</v>
          </cell>
        </row>
        <row r="24">
          <cell r="A24">
            <v>2020</v>
          </cell>
          <cell r="B24">
            <v>-160.30000000000001</v>
          </cell>
          <cell r="C24">
            <v>-239.5</v>
          </cell>
          <cell r="D24">
            <v>-290.3</v>
          </cell>
          <cell r="E24">
            <v>-135.80000000000001</v>
          </cell>
          <cell r="F24">
            <v>-173.6</v>
          </cell>
          <cell r="G24">
            <v>-223.7</v>
          </cell>
          <cell r="H24">
            <v>-287.39999999999998</v>
          </cell>
          <cell r="I24">
            <v>-269.8</v>
          </cell>
          <cell r="J24">
            <v>-296.10000000000002</v>
          </cell>
          <cell r="K24">
            <v>-244.2</v>
          </cell>
          <cell r="L24">
            <v>-260.89999999999998</v>
          </cell>
          <cell r="M24">
            <v>-348.9</v>
          </cell>
        </row>
        <row r="25">
          <cell r="A25">
            <v>2021</v>
          </cell>
          <cell r="B25">
            <v>-203.1</v>
          </cell>
          <cell r="C25">
            <v>-294.5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_IMP_BAL_COM_Milioane_USD"/>
    </sheetNames>
    <sheetDataSet>
      <sheetData sheetId="0">
        <row r="22">
          <cell r="B22" t="str">
            <v>Export</v>
          </cell>
          <cell r="C22" t="str">
            <v>Import</v>
          </cell>
          <cell r="D22" t="str">
            <v>Balanţa Comercială</v>
          </cell>
        </row>
        <row r="23">
          <cell r="A23" t="str">
            <v>Ianuarie -    februarie 2016</v>
          </cell>
          <cell r="B23">
            <v>255.2</v>
          </cell>
          <cell r="C23">
            <v>494.3</v>
          </cell>
          <cell r="D23">
            <v>-239.1</v>
          </cell>
        </row>
        <row r="24">
          <cell r="A24" t="str">
            <v>Ianuarie -    februarie 2017</v>
          </cell>
          <cell r="B24">
            <v>316.10000000000002</v>
          </cell>
          <cell r="C24">
            <v>599.5</v>
          </cell>
          <cell r="D24">
            <v>-283.39999999999998</v>
          </cell>
        </row>
        <row r="25">
          <cell r="A25" t="str">
            <v>Ianuarie -    februarie 2018</v>
          </cell>
          <cell r="B25">
            <v>435.8</v>
          </cell>
          <cell r="C25">
            <v>801.9</v>
          </cell>
          <cell r="D25">
            <v>-366.1</v>
          </cell>
        </row>
        <row r="26">
          <cell r="A26" t="str">
            <v>Ianuarie -    februarie 2019</v>
          </cell>
          <cell r="B26">
            <v>475.7</v>
          </cell>
          <cell r="C26">
            <v>831.8</v>
          </cell>
          <cell r="D26">
            <v>-356.1</v>
          </cell>
        </row>
        <row r="27">
          <cell r="A27" t="str">
            <v>Ianuarie -    februarie 2020</v>
          </cell>
          <cell r="B27">
            <v>464.8</v>
          </cell>
          <cell r="C27">
            <v>864.6</v>
          </cell>
          <cell r="D27">
            <v>-399.8</v>
          </cell>
        </row>
        <row r="28">
          <cell r="A28" t="str">
            <v>Ianuarie -    februarie 2021</v>
          </cell>
          <cell r="B28">
            <v>425.6</v>
          </cell>
          <cell r="C28">
            <v>923.2</v>
          </cell>
          <cell r="D28">
            <v>-497.6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A_Export_Mod_transport"/>
    </sheetNames>
    <sheetDataSet>
      <sheetData sheetId="0">
        <row r="21">
          <cell r="B21" t="str">
            <v>Ianuarie - februarie 2021</v>
          </cell>
          <cell r="C21" t="str">
            <v>Ianuarie - februarie 2020</v>
          </cell>
          <cell r="D21" t="str">
            <v>Ianuarie - februarie 2019</v>
          </cell>
          <cell r="E21" t="str">
            <v>Ianuarie - februarie 2018</v>
          </cell>
          <cell r="F21" t="str">
            <v>Ianuarie - februarie 2017</v>
          </cell>
          <cell r="G21" t="str">
            <v>Ianuarie - februarie 2016</v>
          </cell>
        </row>
        <row r="22">
          <cell r="A22" t="str">
            <v>Transport maritim</v>
          </cell>
          <cell r="B22">
            <v>4.2323736963769987</v>
          </cell>
          <cell r="C22">
            <v>10.06743921790188</v>
          </cell>
          <cell r="D22">
            <v>7.7372534879810901</v>
          </cell>
          <cell r="E22">
            <v>7.7797871093426441</v>
          </cell>
          <cell r="F22">
            <v>8.5855059273859347</v>
          </cell>
          <cell r="G22">
            <v>3.7941344081586954</v>
          </cell>
        </row>
        <row r="23">
          <cell r="A23" t="str">
            <v>Transport feroviar</v>
          </cell>
          <cell r="B23">
            <v>1.1437778157753724</v>
          </cell>
          <cell r="C23">
            <v>5.6730122876749531</v>
          </cell>
          <cell r="D23">
            <v>6.164077463636616</v>
          </cell>
          <cell r="E23">
            <v>4.3064497884497612</v>
          </cell>
          <cell r="F23">
            <v>2.0745443990081984</v>
          </cell>
          <cell r="G23">
            <v>0.53993535376576551</v>
          </cell>
        </row>
        <row r="24">
          <cell r="A24" t="str">
            <v>Transport rutier</v>
          </cell>
          <cell r="B24">
            <v>93.724289444899952</v>
          </cell>
          <cell r="C24">
            <v>82.794949240977076</v>
          </cell>
          <cell r="D24">
            <v>84.480371553427474</v>
          </cell>
          <cell r="E24">
            <v>86.299605339411556</v>
          </cell>
          <cell r="F24">
            <v>87.900426653738862</v>
          </cell>
          <cell r="G24">
            <v>94.379321584866688</v>
          </cell>
        </row>
        <row r="25">
          <cell r="A25" t="str">
            <v>Transport aerian</v>
          </cell>
          <cell r="B25">
            <v>0.87057773050901177</v>
          </cell>
          <cell r="C25">
            <v>1.4296078154828833</v>
          </cell>
          <cell r="D25">
            <v>1.494119556753148</v>
          </cell>
          <cell r="E25">
            <v>1.5746364065009</v>
          </cell>
          <cell r="F25">
            <v>1.3958416219471426</v>
          </cell>
          <cell r="G25">
            <v>1.0893326397492156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A_Export_Grupe_tari"/>
    </sheetNames>
    <sheetDataSet>
      <sheetData sheetId="0">
        <row r="19">
          <cell r="B19" t="str">
            <v>Ianuarie -            februarie 2016</v>
          </cell>
          <cell r="C19" t="str">
            <v>Ianuarie -     februarie 2017</v>
          </cell>
          <cell r="D19" t="str">
            <v>Ianuarie -     februarie 2018</v>
          </cell>
          <cell r="E19" t="str">
            <v>Ianuarie -     februarie 2019</v>
          </cell>
          <cell r="F19" t="str">
            <v>Ianuarie -     februarie 2020</v>
          </cell>
          <cell r="G19" t="str">
            <v>Ianuarie -     februarie 2021</v>
          </cell>
        </row>
        <row r="20">
          <cell r="A20" t="str">
            <v xml:space="preserve">Ţările Uniunii Europene </v>
          </cell>
          <cell r="B20">
            <v>59.9</v>
          </cell>
          <cell r="C20">
            <v>60</v>
          </cell>
          <cell r="D20">
            <v>62.8</v>
          </cell>
          <cell r="E20">
            <v>62.9</v>
          </cell>
          <cell r="F20">
            <v>66.7</v>
          </cell>
          <cell r="G20">
            <v>63.5</v>
          </cell>
        </row>
        <row r="21">
          <cell r="A21" t="str">
            <v xml:space="preserve">Ţările CSI </v>
          </cell>
          <cell r="B21">
            <v>18.899999999999999</v>
          </cell>
          <cell r="C21">
            <v>19.3</v>
          </cell>
          <cell r="D21">
            <v>16.2</v>
          </cell>
          <cell r="E21">
            <v>13.6</v>
          </cell>
          <cell r="F21">
            <v>12.9</v>
          </cell>
          <cell r="G21">
            <v>15.8</v>
          </cell>
        </row>
        <row r="22">
          <cell r="A22" t="str">
            <v xml:space="preserve">Celelalte ţări ale lumii </v>
          </cell>
          <cell r="B22">
            <v>21.2</v>
          </cell>
          <cell r="C22">
            <v>20.7</v>
          </cell>
          <cell r="D22">
            <v>21</v>
          </cell>
          <cell r="E22">
            <v>23.5</v>
          </cell>
          <cell r="F22">
            <v>20.399999999999999</v>
          </cell>
          <cell r="G22">
            <v>20.7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A_Export_Tari"/>
    </sheetNames>
    <sheetDataSet>
      <sheetData sheetId="0">
        <row r="22">
          <cell r="B22" t="str">
            <v xml:space="preserve"> Ianuarie - februarie 2016</v>
          </cell>
          <cell r="C22" t="str">
            <v>Ianuarie - februarie 2017</v>
          </cell>
          <cell r="D22" t="str">
            <v>Ianuarie - februarie 2018</v>
          </cell>
          <cell r="E22" t="str">
            <v xml:space="preserve"> Ianuarie - februarie 2019</v>
          </cell>
          <cell r="F22" t="str">
            <v>Ianuarie - februarie 2020</v>
          </cell>
          <cell r="G22" t="str">
            <v>Ianuarie - februarie 2021</v>
          </cell>
        </row>
        <row r="23">
          <cell r="A23" t="str">
            <v>România</v>
          </cell>
          <cell r="B23">
            <v>23.292498932318495</v>
          </cell>
          <cell r="C23">
            <v>24.02158246360078</v>
          </cell>
          <cell r="D23">
            <v>24.0822772547635</v>
          </cell>
          <cell r="E23">
            <v>25.777799360681712</v>
          </cell>
          <cell r="F23">
            <v>25.140567908310068</v>
          </cell>
          <cell r="G23">
            <v>26.51635001950185</v>
          </cell>
        </row>
        <row r="24">
          <cell r="A24" t="str">
            <v>Germania</v>
          </cell>
          <cell r="B24">
            <v>7.4846210651549576</v>
          </cell>
          <cell r="C24">
            <v>7.3476134448359387</v>
          </cell>
          <cell r="D24">
            <v>8.991387326438117</v>
          </cell>
          <cell r="E24">
            <v>8.671867425987859</v>
          </cell>
          <cell r="F24">
            <v>9.7232772280877224</v>
          </cell>
          <cell r="G24">
            <v>10.996540037839877</v>
          </cell>
        </row>
        <row r="25">
          <cell r="A25" t="str">
            <v>Turcia</v>
          </cell>
          <cell r="B25">
            <v>2.4648564031400944</v>
          </cell>
          <cell r="C25">
            <v>4.6771633933335304</v>
          </cell>
          <cell r="D25">
            <v>4.3924955130959997</v>
          </cell>
          <cell r="E25">
            <v>10.013735133146499</v>
          </cell>
          <cell r="F25">
            <v>7.2053429546018979</v>
          </cell>
          <cell r="G25">
            <v>10.719686797475232</v>
          </cell>
        </row>
        <row r="26">
          <cell r="A26" t="str">
            <v>Federaţia Rusă</v>
          </cell>
          <cell r="B26">
            <v>8.4736636045404676</v>
          </cell>
          <cell r="C26">
            <v>11.470024851015438</v>
          </cell>
          <cell r="D26">
            <v>9.3194673618289627</v>
          </cell>
          <cell r="E26">
            <v>7.9125885909544893</v>
          </cell>
          <cell r="F26">
            <v>7.1479225210440713</v>
          </cell>
          <cell r="G26">
            <v>9.3504639283911466</v>
          </cell>
        </row>
        <row r="27">
          <cell r="A27" t="str">
            <v>Italia</v>
          </cell>
          <cell r="B27">
            <v>10.69137232703253</v>
          </cell>
          <cell r="C27">
            <v>10.191351681146093</v>
          </cell>
          <cell r="D27">
            <v>10.943120380425549</v>
          </cell>
          <cell r="E27">
            <v>12.191679592440426</v>
          </cell>
          <cell r="F27">
            <v>9.656596446306553</v>
          </cell>
          <cell r="G27">
            <v>6.09318621061509</v>
          </cell>
        </row>
        <row r="28">
          <cell r="A28" t="str">
            <v>Polonia</v>
          </cell>
          <cell r="B28">
            <v>4.1111161216023913</v>
          </cell>
          <cell r="C28">
            <v>3.0850187601874457</v>
          </cell>
          <cell r="D28">
            <v>3.2462278444141366</v>
          </cell>
          <cell r="E28">
            <v>3.5422143633540815</v>
          </cell>
          <cell r="F28">
            <v>4.3718604787957567</v>
          </cell>
          <cell r="G28">
            <v>4.1248896229660126</v>
          </cell>
        </row>
        <row r="29">
          <cell r="A29" t="str">
            <v>Ucraina</v>
          </cell>
          <cell r="B29">
            <v>2.6489939135318301</v>
          </cell>
          <cell r="C29">
            <v>2.2426033834923271</v>
          </cell>
          <cell r="D29">
            <v>2.5331801385516197</v>
          </cell>
          <cell r="E29">
            <v>2.2778377391646738</v>
          </cell>
          <cell r="F29">
            <v>2.6060152179463154</v>
          </cell>
          <cell r="G29">
            <v>3.220613665580168</v>
          </cell>
        </row>
        <row r="30">
          <cell r="A30" t="str">
            <v>Republica Cehă</v>
          </cell>
          <cell r="B30">
            <v>1.8753665899938887</v>
          </cell>
          <cell r="C30">
            <v>1.3694962667345367</v>
          </cell>
          <cell r="D30">
            <v>1.4311460428429883</v>
          </cell>
          <cell r="E30">
            <v>1.6772789948754665</v>
          </cell>
          <cell r="F30">
            <v>3.4659712121795923</v>
          </cell>
          <cell r="G30">
            <v>3.0621443010200906</v>
          </cell>
        </row>
        <row r="31">
          <cell r="A31" t="str">
            <v>Belarus</v>
          </cell>
          <cell r="B31">
            <v>6.8974719202659962</v>
          </cell>
          <cell r="C31">
            <v>4.8317674529446091</v>
          </cell>
          <cell r="D31">
            <v>3.607262436973492</v>
          </cell>
          <cell r="E31">
            <v>3.0035515989681691</v>
          </cell>
          <cell r="F31">
            <v>2.3105387024667725</v>
          </cell>
          <cell r="G31">
            <v>2.6100549289727422</v>
          </cell>
        </row>
        <row r="32">
          <cell r="A32" t="str">
            <v>Ungaria</v>
          </cell>
          <cell r="B32">
            <v>0.25244020974083531</v>
          </cell>
          <cell r="C32">
            <v>0.25079347567494037</v>
          </cell>
          <cell r="D32">
            <v>0.27128013441246512</v>
          </cell>
          <cell r="E32">
            <v>0.21414242442112361</v>
          </cell>
          <cell r="F32">
            <v>0.68506515602705886</v>
          </cell>
          <cell r="G32">
            <v>1.7002439012755062</v>
          </cell>
        </row>
        <row r="33">
          <cell r="A33" t="str">
            <v>Elveţia</v>
          </cell>
          <cell r="B33">
            <v>0.89910235562562135</v>
          </cell>
          <cell r="C33">
            <v>1.5395891052640336</v>
          </cell>
          <cell r="D33">
            <v>3.4594552658892059</v>
          </cell>
          <cell r="E33">
            <v>3.3619157707081326</v>
          </cell>
          <cell r="F33">
            <v>3.9553322843153147</v>
          </cell>
          <cell r="G33">
            <v>1.6646772494151012</v>
          </cell>
        </row>
        <row r="34">
          <cell r="A34" t="str">
            <v>Spania</v>
          </cell>
          <cell r="B34">
            <v>0.22167297227625335</v>
          </cell>
          <cell r="C34">
            <v>1.8024407872215664</v>
          </cell>
          <cell r="D34">
            <v>2.3501949104700079</v>
          </cell>
          <cell r="E34">
            <v>1.4138191247497116</v>
          </cell>
          <cell r="F34">
            <v>2.130213454420721</v>
          </cell>
          <cell r="G34">
            <v>1.6304879495205087</v>
          </cell>
        </row>
        <row r="35">
          <cell r="A35" t="str">
            <v>Bulgaria</v>
          </cell>
          <cell r="B35">
            <v>2.1158251346333046</v>
          </cell>
          <cell r="C35">
            <v>2.9081561794778428</v>
          </cell>
          <cell r="D35">
            <v>2.1441235366412048</v>
          </cell>
          <cell r="E35">
            <v>1.31346415756879</v>
          </cell>
          <cell r="F35">
            <v>2.2276862863740798</v>
          </cell>
          <cell r="G35">
            <v>1.6270398144292819</v>
          </cell>
        </row>
        <row r="36">
          <cell r="A36" t="str">
            <v>Grecia</v>
          </cell>
          <cell r="B36">
            <v>1.3804135782897873</v>
          </cell>
          <cell r="C36">
            <v>1.2004814588382844</v>
          </cell>
          <cell r="D36">
            <v>1.8799027206979846</v>
          </cell>
          <cell r="E36">
            <v>1.3022826979836741</v>
          </cell>
          <cell r="F36">
            <v>1.7296141600973938</v>
          </cell>
          <cell r="G36">
            <v>1.6145702163774829</v>
          </cell>
        </row>
        <row r="37">
          <cell r="A37" t="str">
            <v>Olanda</v>
          </cell>
          <cell r="B37">
            <v>1.3263592371095734</v>
          </cell>
          <cell r="C37">
            <v>1.3805045634914916</v>
          </cell>
          <cell r="D37">
            <v>1.691738989170319</v>
          </cell>
          <cell r="E37">
            <v>1.4315477887980705</v>
          </cell>
          <cell r="F37">
            <v>1.2069413246495602</v>
          </cell>
          <cell r="G37">
            <v>1.5979365143228625</v>
          </cell>
        </row>
        <row r="38">
          <cell r="A38" t="str">
            <v>Franţa</v>
          </cell>
          <cell r="B38">
            <v>3.7688102870998814</v>
          </cell>
          <cell r="C38">
            <v>2.3959399461912652</v>
          </cell>
          <cell r="D38">
            <v>2.0679762467723624</v>
          </cell>
          <cell r="E38">
            <v>1.5675332378402709</v>
          </cell>
          <cell r="F38">
            <v>1.9883155884410004</v>
          </cell>
          <cell r="G38">
            <v>1.4550966942945056</v>
          </cell>
        </row>
        <row r="39">
          <cell r="A39" t="str">
            <v xml:space="preserve">Regatul Unit </v>
          </cell>
          <cell r="B39">
            <v>5.8303597192011836</v>
          </cell>
          <cell r="C39">
            <v>6.2468806585056891</v>
          </cell>
          <cell r="D39">
            <v>4.4531657147182262</v>
          </cell>
          <cell r="E39">
            <v>1.5993174894371889</v>
          </cell>
          <cell r="F39">
            <v>1.7687108801637719</v>
          </cell>
          <cell r="G39">
            <v>1.4256751051203507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A_EXP_Sectiuni_mărfuri"/>
    </sheetNames>
    <sheetDataSet>
      <sheetData sheetId="0">
        <row r="23">
          <cell r="A23" t="str">
            <v>Produse alimentare și animale vii</v>
          </cell>
          <cell r="B23">
            <v>28.5</v>
          </cell>
        </row>
        <row r="24">
          <cell r="A24" t="str">
            <v>Băuturi și tutun</v>
          </cell>
          <cell r="B24">
            <v>6.5</v>
          </cell>
        </row>
        <row r="25">
          <cell r="A25" t="str">
            <v>Materiale brute necomestibile</v>
          </cell>
          <cell r="B25">
            <v>9.8000000000000007</v>
          </cell>
        </row>
        <row r="26">
          <cell r="A26" t="str">
            <v>Combustibili minerali</v>
          </cell>
          <cell r="B26">
            <v>0.3</v>
          </cell>
        </row>
        <row r="27">
          <cell r="A27" t="str">
            <v xml:space="preserve">Uleiuri și grăsimi </v>
          </cell>
          <cell r="B27">
            <v>4.8</v>
          </cell>
        </row>
        <row r="28">
          <cell r="A28" t="str">
            <v>Produse chimice</v>
          </cell>
          <cell r="B28">
            <v>3.1</v>
          </cell>
        </row>
        <row r="29">
          <cell r="A29" t="str">
            <v xml:space="preserve">Mărfuri manufacturate </v>
          </cell>
          <cell r="B29">
            <v>5.8</v>
          </cell>
        </row>
        <row r="30">
          <cell r="A30" t="str">
            <v>Mașini și echipamente pentru transport</v>
          </cell>
          <cell r="B30">
            <v>21.3</v>
          </cell>
        </row>
        <row r="31">
          <cell r="A31" t="str">
            <v>Articole manufacturate diverse</v>
          </cell>
          <cell r="B31">
            <v>19.899999999999999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A_EXP_Sectiuni_mărfuri"/>
      <sheetName val="STRUCTURA_IMP_Sectiuni_marfuri"/>
    </sheetNames>
    <sheetDataSet>
      <sheetData sheetId="0">
        <row r="18">
          <cell r="B18" t="str">
            <v>%</v>
          </cell>
        </row>
        <row r="19">
          <cell r="A19" t="str">
            <v>Produse alimentare și animale vii</v>
          </cell>
          <cell r="B19">
            <v>19.5</v>
          </cell>
        </row>
        <row r="20">
          <cell r="A20" t="str">
            <v>Băuturi și tutun</v>
          </cell>
          <cell r="B20">
            <v>6.9</v>
          </cell>
        </row>
        <row r="21">
          <cell r="A21" t="str">
            <v>Materiale brute necomestibile</v>
          </cell>
          <cell r="B21">
            <v>12.1</v>
          </cell>
        </row>
        <row r="22">
          <cell r="A22" t="str">
            <v>Combustibili minerali</v>
          </cell>
          <cell r="B22">
            <v>2.2000000000000002</v>
          </cell>
        </row>
        <row r="23">
          <cell r="A23" t="str">
            <v xml:space="preserve">Uleiuri și grăsimi </v>
          </cell>
          <cell r="B23">
            <v>1.8</v>
          </cell>
        </row>
        <row r="24">
          <cell r="A24" t="str">
            <v>Produse chimice</v>
          </cell>
          <cell r="B24">
            <v>4.0999999999999996</v>
          </cell>
        </row>
        <row r="25">
          <cell r="A25" t="str">
            <v xml:space="preserve">Mărfuri manufacturate </v>
          </cell>
          <cell r="B25">
            <v>7.2</v>
          </cell>
        </row>
        <row r="26">
          <cell r="A26" t="str">
            <v>Mașini și echipamente pentru transport</v>
          </cell>
          <cell r="B26">
            <v>25.3</v>
          </cell>
        </row>
        <row r="27">
          <cell r="A27" t="str">
            <v>Articole manufacturate diverse</v>
          </cell>
          <cell r="B27">
            <v>20.9</v>
          </cell>
        </row>
      </sheetData>
      <sheetData sheetId="1">
        <row r="5">
          <cell r="A5" t="str">
            <v>Produse alimentare și animale vii</v>
          </cell>
          <cell r="B5">
            <v>12.6</v>
          </cell>
        </row>
        <row r="6">
          <cell r="A6" t="str">
            <v>Băuturi și tutun</v>
          </cell>
          <cell r="B6">
            <v>1.6</v>
          </cell>
        </row>
        <row r="7">
          <cell r="A7" t="str">
            <v>Materiale brute necomestibile</v>
          </cell>
          <cell r="B7">
            <v>3.2</v>
          </cell>
        </row>
        <row r="8">
          <cell r="A8" t="str">
            <v>Combustibili minerali</v>
          </cell>
          <cell r="B8">
            <v>13.6</v>
          </cell>
        </row>
        <row r="9">
          <cell r="A9" t="str">
            <v xml:space="preserve">Uleiuri și grăsimi </v>
          </cell>
          <cell r="B9">
            <v>0.2</v>
          </cell>
        </row>
        <row r="10">
          <cell r="A10" t="str">
            <v>Produse chimice</v>
          </cell>
          <cell r="B10">
            <v>14.6</v>
          </cell>
        </row>
        <row r="11">
          <cell r="A11" t="str">
            <v xml:space="preserve">Mărfuri manufacturate </v>
          </cell>
          <cell r="B11">
            <v>17.3</v>
          </cell>
        </row>
        <row r="12">
          <cell r="A12" t="str">
            <v>Mașini și echipamente pentru transport</v>
          </cell>
          <cell r="B12">
            <v>25.6</v>
          </cell>
        </row>
        <row r="13">
          <cell r="A13" t="str">
            <v>Articole manufacturate diverse</v>
          </cell>
          <cell r="B13">
            <v>11.3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_pe_luni_Milioane_USD"/>
    </sheetNames>
    <sheetDataSet>
      <sheetData sheetId="0">
        <row r="18">
          <cell r="B18" t="str">
            <v>Ianuarie</v>
          </cell>
          <cell r="C18" t="str">
            <v>Februarie</v>
          </cell>
          <cell r="D18" t="str">
            <v>Martie</v>
          </cell>
          <cell r="E18" t="str">
            <v>Aprilie</v>
          </cell>
          <cell r="F18" t="str">
            <v>Mai</v>
          </cell>
          <cell r="G18" t="str">
            <v>Iunie</v>
          </cell>
          <cell r="H18" t="str">
            <v>Iulie</v>
          </cell>
          <cell r="I18" t="str">
            <v>August</v>
          </cell>
          <cell r="J18" t="str">
            <v>Septembrie</v>
          </cell>
          <cell r="K18" t="str">
            <v>Octombrie</v>
          </cell>
          <cell r="L18" t="str">
            <v>Noiembrie</v>
          </cell>
          <cell r="M18" t="str">
            <v>Decembrie</v>
          </cell>
        </row>
        <row r="19">
          <cell r="A19">
            <v>2016</v>
          </cell>
          <cell r="B19">
            <v>207.3</v>
          </cell>
          <cell r="C19">
            <v>287</v>
          </cell>
          <cell r="D19">
            <v>366.8</v>
          </cell>
          <cell r="E19">
            <v>354.9</v>
          </cell>
          <cell r="F19">
            <v>327.7</v>
          </cell>
          <cell r="G19">
            <v>324.60000000000002</v>
          </cell>
          <cell r="H19">
            <v>314.10000000000002</v>
          </cell>
          <cell r="I19">
            <v>351.1</v>
          </cell>
          <cell r="J19">
            <v>361.6</v>
          </cell>
          <cell r="K19">
            <v>380.2</v>
          </cell>
          <cell r="L19">
            <v>353.5</v>
          </cell>
          <cell r="M19">
            <v>391.4</v>
          </cell>
        </row>
        <row r="20">
          <cell r="A20">
            <v>2017</v>
          </cell>
          <cell r="B20">
            <v>266.8</v>
          </cell>
          <cell r="C20">
            <v>332.7</v>
          </cell>
          <cell r="D20">
            <v>431.2</v>
          </cell>
          <cell r="E20">
            <v>361.5</v>
          </cell>
          <cell r="F20">
            <v>400.4</v>
          </cell>
          <cell r="G20">
            <v>388.8</v>
          </cell>
          <cell r="H20">
            <v>396.9</v>
          </cell>
          <cell r="I20">
            <v>429.7</v>
          </cell>
          <cell r="J20">
            <v>430.8</v>
          </cell>
          <cell r="K20">
            <v>465.9</v>
          </cell>
          <cell r="L20">
            <v>455.3</v>
          </cell>
          <cell r="M20">
            <v>471.4</v>
          </cell>
        </row>
        <row r="21">
          <cell r="A21">
            <v>2018</v>
          </cell>
          <cell r="B21">
            <v>374.3</v>
          </cell>
          <cell r="C21">
            <v>427.6</v>
          </cell>
          <cell r="D21">
            <v>524.1</v>
          </cell>
          <cell r="E21">
            <v>444.6</v>
          </cell>
          <cell r="F21">
            <v>505.6</v>
          </cell>
          <cell r="G21">
            <v>458.7</v>
          </cell>
          <cell r="H21">
            <v>488</v>
          </cell>
          <cell r="I21">
            <v>480.7</v>
          </cell>
          <cell r="J21">
            <v>474</v>
          </cell>
          <cell r="K21">
            <v>540.6</v>
          </cell>
          <cell r="L21">
            <v>522.6</v>
          </cell>
          <cell r="M21">
            <v>519.29999999999995</v>
          </cell>
        </row>
        <row r="22">
          <cell r="A22">
            <v>2019</v>
          </cell>
          <cell r="B22">
            <v>372.6</v>
          </cell>
          <cell r="C22">
            <v>459.3</v>
          </cell>
          <cell r="D22">
            <v>533.79999999999995</v>
          </cell>
          <cell r="E22">
            <v>515.6</v>
          </cell>
          <cell r="F22">
            <v>481.6</v>
          </cell>
          <cell r="G22">
            <v>445.4</v>
          </cell>
          <cell r="H22">
            <v>499.1</v>
          </cell>
          <cell r="I22">
            <v>464.3</v>
          </cell>
          <cell r="J22">
            <v>501.7</v>
          </cell>
          <cell r="K22">
            <v>525.29999999999995</v>
          </cell>
          <cell r="L22">
            <v>504.1</v>
          </cell>
          <cell r="M22">
            <v>539.70000000000005</v>
          </cell>
        </row>
        <row r="23">
          <cell r="A23">
            <v>2020</v>
          </cell>
          <cell r="B23">
            <v>379.8</v>
          </cell>
          <cell r="C23">
            <v>484.8</v>
          </cell>
          <cell r="D23">
            <v>500.5</v>
          </cell>
          <cell r="E23">
            <v>285.7</v>
          </cell>
          <cell r="F23">
            <v>329.3</v>
          </cell>
          <cell r="G23">
            <v>413.3</v>
          </cell>
          <cell r="H23">
            <v>496.5</v>
          </cell>
          <cell r="I23">
            <v>433.7</v>
          </cell>
          <cell r="J23">
            <v>508.4</v>
          </cell>
          <cell r="K23">
            <v>493.6</v>
          </cell>
          <cell r="L23">
            <v>522.9</v>
          </cell>
          <cell r="M23">
            <v>567.20000000000005</v>
          </cell>
        </row>
        <row r="24">
          <cell r="A24">
            <v>2021</v>
          </cell>
          <cell r="B24">
            <v>401.7</v>
          </cell>
          <cell r="C24">
            <v>521.5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I_valorici_lunari_Import"/>
    </sheetNames>
    <sheetDataSet>
      <sheetData sheetId="0">
        <row r="24">
          <cell r="B24">
            <v>2019</v>
          </cell>
          <cell r="N24">
            <v>2020</v>
          </cell>
          <cell r="Z24">
            <v>2021</v>
          </cell>
        </row>
        <row r="25">
          <cell r="B25" t="str">
            <v>I</v>
          </cell>
          <cell r="C25" t="str">
            <v>II</v>
          </cell>
          <cell r="D25" t="str">
            <v>III</v>
          </cell>
          <cell r="E25" t="str">
            <v>IV</v>
          </cell>
          <cell r="F25" t="str">
            <v>V</v>
          </cell>
          <cell r="G25" t="str">
            <v xml:space="preserve">VI </v>
          </cell>
          <cell r="H25" t="str">
            <v>VII</v>
          </cell>
          <cell r="I25" t="str">
            <v xml:space="preserve">VIII </v>
          </cell>
          <cell r="J25" t="str">
            <v>IX</v>
          </cell>
          <cell r="K25" t="str">
            <v xml:space="preserve">X </v>
          </cell>
          <cell r="L25" t="str">
            <v>XI</v>
          </cell>
          <cell r="M25" t="str">
            <v>XII</v>
          </cell>
          <cell r="N25" t="str">
            <v>I</v>
          </cell>
          <cell r="O25" t="str">
            <v>II</v>
          </cell>
          <cell r="P25" t="str">
            <v>III</v>
          </cell>
          <cell r="Q25" t="str">
            <v>IV</v>
          </cell>
          <cell r="R25" t="str">
            <v>V</v>
          </cell>
          <cell r="S25" t="str">
            <v>VI</v>
          </cell>
          <cell r="T25" t="str">
            <v>VII</v>
          </cell>
          <cell r="U25" t="str">
            <v>VIII</v>
          </cell>
          <cell r="V25" t="str">
            <v>IX</v>
          </cell>
          <cell r="W25" t="str">
            <v>X</v>
          </cell>
          <cell r="X25" t="str">
            <v>XI</v>
          </cell>
          <cell r="Y25" t="str">
            <v>XII</v>
          </cell>
          <cell r="Z25" t="str">
            <v>I</v>
          </cell>
          <cell r="AA25" t="str">
            <v>II</v>
          </cell>
        </row>
        <row r="26">
          <cell r="A26" t="str">
            <v>în % faţă de luna precedentă</v>
          </cell>
          <cell r="B26">
            <v>71.738158213015794</v>
          </cell>
          <cell r="C26">
            <v>123.27227087030982</v>
          </cell>
          <cell r="D26">
            <v>116.24365644398502</v>
          </cell>
          <cell r="E26">
            <v>96.580225893758936</v>
          </cell>
          <cell r="F26">
            <v>93.408604141465986</v>
          </cell>
          <cell r="G26">
            <v>92.490171422142794</v>
          </cell>
          <cell r="H26">
            <v>112.04816621722891</v>
          </cell>
          <cell r="I26">
            <v>93.020207912369386</v>
          </cell>
          <cell r="J26">
            <v>108.06099409813686</v>
          </cell>
          <cell r="K26">
            <v>104.71321760096355</v>
          </cell>
          <cell r="L26">
            <v>95.961007942682357</v>
          </cell>
          <cell r="M26">
            <v>107.05149255623367</v>
          </cell>
          <cell r="N26">
            <v>70.382003770665676</v>
          </cell>
          <cell r="O26">
            <v>127.63423451925213</v>
          </cell>
          <cell r="P26">
            <v>103.23912793888927</v>
          </cell>
          <cell r="Q26">
            <v>57.078690511307506</v>
          </cell>
          <cell r="R26">
            <v>115.28014011401433</v>
          </cell>
          <cell r="S26">
            <v>125.49226317448301</v>
          </cell>
          <cell r="T26">
            <v>120.12587844202298</v>
          </cell>
          <cell r="U26">
            <v>87.365815836450849</v>
          </cell>
          <cell r="V26">
            <v>117.22820986033366</v>
          </cell>
          <cell r="W26">
            <v>97.068845638383863</v>
          </cell>
          <cell r="X26">
            <v>105.94920392874525</v>
          </cell>
          <cell r="Y26">
            <v>108.47425306036291</v>
          </cell>
          <cell r="Z26">
            <v>70.828322892530892</v>
          </cell>
          <cell r="AA26">
            <v>129.79977188418411</v>
          </cell>
        </row>
        <row r="27">
          <cell r="A27" t="str">
            <v>în % faţă de luna corespunzătoare din anul precedent</v>
          </cell>
          <cell r="B27">
            <v>99.543424894989869</v>
          </cell>
          <cell r="C27">
            <v>107.40131750961253</v>
          </cell>
          <cell r="D27">
            <v>101.84987714724333</v>
          </cell>
          <cell r="E27">
            <v>115.96700414337735</v>
          </cell>
          <cell r="F27">
            <v>95.255444572503052</v>
          </cell>
          <cell r="G27">
            <v>97.112719321999705</v>
          </cell>
          <cell r="H27">
            <v>102.26719836939048</v>
          </cell>
          <cell r="I27">
            <v>96.591868428897087</v>
          </cell>
          <cell r="J27">
            <v>105.84853894732886</v>
          </cell>
          <cell r="K27">
            <v>97.174714783775727</v>
          </cell>
          <cell r="L27">
            <v>96.469519333115954</v>
          </cell>
          <cell r="M27">
            <v>103.91915692353963</v>
          </cell>
          <cell r="N27">
            <v>101.95464556978192</v>
          </cell>
          <cell r="O27">
            <v>105.56228948415468</v>
          </cell>
          <cell r="P27">
            <v>93.752717722091504</v>
          </cell>
          <cell r="Q27">
            <v>55.407639710221858</v>
          </cell>
          <cell r="R27">
            <v>68.381285941363316</v>
          </cell>
          <cell r="S27">
            <v>92.780910659105047</v>
          </cell>
          <cell r="T27">
            <v>99.469618931274354</v>
          </cell>
          <cell r="U27">
            <v>93.423188400722452</v>
          </cell>
          <cell r="V27">
            <v>101.34862470092907</v>
          </cell>
          <cell r="W27">
            <v>93.948988568461047</v>
          </cell>
          <cell r="X27">
            <v>103.73319301421135</v>
          </cell>
          <cell r="Y27">
            <v>105.10597622377793</v>
          </cell>
          <cell r="Z27">
            <v>105.77249329487238</v>
          </cell>
          <cell r="AA27">
            <v>107.56710809610357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A_IMP_Moduri_transport"/>
    </sheetNames>
    <sheetDataSet>
      <sheetData sheetId="0">
        <row r="22">
          <cell r="B22" t="str">
            <v>Ianuarie - februarie 2021</v>
          </cell>
          <cell r="C22" t="str">
            <v>Ianuarie - februarie 2020</v>
          </cell>
          <cell r="D22" t="str">
            <v>Ianuarie - februarie 2019</v>
          </cell>
          <cell r="E22" t="str">
            <v>Ianuarie - februarie 2018</v>
          </cell>
          <cell r="F22" t="str">
            <v>Ianuarie - februarie 2017</v>
          </cell>
          <cell r="G22" t="str">
            <v>Ianuarie - februarie 2016</v>
          </cell>
        </row>
        <row r="23">
          <cell r="A23" t="str">
            <v>Maritim</v>
          </cell>
          <cell r="B23">
            <v>2.0344492510369956</v>
          </cell>
          <cell r="C23">
            <v>1.626226881898565</v>
          </cell>
          <cell r="D23">
            <v>1.2845905532352007</v>
          </cell>
          <cell r="E23">
            <v>2.7467435552874715</v>
          </cell>
          <cell r="F23">
            <v>1.9117153695043354</v>
          </cell>
          <cell r="G23">
            <v>0.79175433660026229</v>
          </cell>
        </row>
        <row r="24">
          <cell r="A24" t="str">
            <v>Feroviar</v>
          </cell>
          <cell r="B24">
            <v>5.0796143683719226</v>
          </cell>
          <cell r="C24">
            <v>5.0417795820412321</v>
          </cell>
          <cell r="D24">
            <v>3.3243814408204795</v>
          </cell>
          <cell r="E24">
            <v>5.8723707404104992</v>
          </cell>
          <cell r="F24">
            <v>7.0469841894312077</v>
          </cell>
          <cell r="G24">
            <v>6.035639873973099</v>
          </cell>
        </row>
        <row r="25">
          <cell r="A25" t="str">
            <v>Rutier</v>
          </cell>
          <cell r="B25">
            <v>84.645141099869321</v>
          </cell>
          <cell r="C25">
            <v>82.843654070295983</v>
          </cell>
          <cell r="D25">
            <v>80.439636203038745</v>
          </cell>
          <cell r="E25">
            <v>79.052219171040036</v>
          </cell>
          <cell r="F25">
            <v>78.331701978990267</v>
          </cell>
          <cell r="G25">
            <v>75.649219535369255</v>
          </cell>
        </row>
        <row r="26">
          <cell r="A26" t="str">
            <v>Aerian</v>
          </cell>
          <cell r="B26">
            <v>2.2727035690407944</v>
          </cell>
          <cell r="C26">
            <v>2.3787747025080885</v>
          </cell>
          <cell r="D26">
            <v>2.8074499504712067</v>
          </cell>
          <cell r="E26">
            <v>2.7603742891690599</v>
          </cell>
          <cell r="F26">
            <v>2.8685210593995292</v>
          </cell>
          <cell r="G26">
            <v>1.7726750421070814</v>
          </cell>
        </row>
        <row r="27">
          <cell r="A27" t="str">
            <v>Expedieri poştale</v>
          </cell>
          <cell r="B27">
            <v>0.15738445346413371</v>
          </cell>
          <cell r="C27">
            <v>0.16213311100700134</v>
          </cell>
          <cell r="D27">
            <v>0.17364475906050647</v>
          </cell>
          <cell r="E27">
            <v>0.28960627654062826</v>
          </cell>
          <cell r="F27">
            <v>0.23813377501017285</v>
          </cell>
          <cell r="G27">
            <v>0.90328905169652118</v>
          </cell>
        </row>
        <row r="28">
          <cell r="A28" t="str">
            <v>Instalaţii fixe de transport</v>
          </cell>
          <cell r="B28">
            <v>5.327923577099777</v>
          </cell>
          <cell r="C28">
            <v>7.4212926654203786</v>
          </cell>
          <cell r="D28">
            <v>11.195296596849454</v>
          </cell>
          <cell r="E28">
            <v>8.6654886689980213</v>
          </cell>
          <cell r="F28">
            <v>9.0210341525025868</v>
          </cell>
          <cell r="G28">
            <v>14.408243046357569</v>
          </cell>
        </row>
        <row r="29">
          <cell r="A29" t="str">
            <v>Autopropulsie</v>
          </cell>
          <cell r="B29">
            <v>0.48278368111706438</v>
          </cell>
          <cell r="C29">
            <v>0.52613898682875226</v>
          </cell>
          <cell r="D29">
            <v>0.77500049652440628</v>
          </cell>
          <cell r="E29">
            <v>0.61319729855428096</v>
          </cell>
          <cell r="F29">
            <v>0.58190947516191116</v>
          </cell>
          <cell r="G29">
            <v>0.43917911389621189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8:M24" totalsRowShown="0" headerRowDxfId="90" dataDxfId="89">
  <tableColumns count="13">
    <tableColumn id="1" name=" " dataDxfId="88"/>
    <tableColumn id="2" name="Ianuarie" dataDxfId="87" dataCellStyle="Normal 2"/>
    <tableColumn id="3" name="Februarie" dataDxfId="86" dataCellStyle="Normal 2"/>
    <tableColumn id="4" name="Martie" dataDxfId="85" dataCellStyle="Normal 2"/>
    <tableColumn id="5" name="Aprilie" dataDxfId="84" dataCellStyle="Normal 2"/>
    <tableColumn id="6" name="Mai" dataDxfId="83" dataCellStyle="Normal 2"/>
    <tableColumn id="7" name="Iunie" dataDxfId="82" dataCellStyle="Normal 2"/>
    <tableColumn id="8" name="Iulie" dataDxfId="81" dataCellStyle="Normal 2"/>
    <tableColumn id="9" name="August" dataDxfId="80" dataCellStyle="Normal 2"/>
    <tableColumn id="10" name="Septembrie" dataDxfId="79" dataCellStyle="Normal 2"/>
    <tableColumn id="11" name="Octombrie" dataDxfId="78"/>
    <tableColumn id="12" name="Noiembrie" dataDxfId="77"/>
    <tableColumn id="13" name="Decembrie" dataDxfId="7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21:G25" totalsRowShown="0" headerRowDxfId="75" dataDxfId="73" headerRowBorderDxfId="74" tableBorderDxfId="72" totalsRowBorderDxfId="71">
  <tableColumns count="7">
    <tableColumn id="1" name="Moduri de transport" dataDxfId="70"/>
    <tableColumn id="6" name="Ianuarie - februarie 2021" dataDxfId="69"/>
    <tableColumn id="7" name="Ianuarie - februarie 2020" dataDxfId="68"/>
    <tableColumn id="8" name="Ianuarie - februarie 2019" dataDxfId="67"/>
    <tableColumn id="5" name="Ianuarie - februarie 2018" dataDxfId="66"/>
    <tableColumn id="4" name="Ianuarie - februarie 2017" dataDxfId="65"/>
    <tableColumn id="3" name="Ianuarie - februarie 2016" dataDxfId="6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33:B42" totalsRowShown="0" headerRowDxfId="63" dataDxfId="61" headerRowBorderDxfId="62" tableBorderDxfId="60" totalsRowBorderDxfId="59">
  <tableColumns count="2">
    <tableColumn id="1" name="Ianuarie-februarie 2021" dataDxfId="58"/>
    <tableColumn id="2" name="%" dataDxfId="5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20:M26" totalsRowShown="0" headerRowDxfId="56" dataDxfId="54" headerRowBorderDxfId="55" tableBorderDxfId="53" totalsRowBorderDxfId="52">
  <tableColumns count="13">
    <tableColumn id="1" name=" " dataDxfId="51"/>
    <tableColumn id="2" name="Ianuarie" dataDxfId="50" dataCellStyle="Normal 2"/>
    <tableColumn id="3" name="Februarie" dataDxfId="49" dataCellStyle="Normal 2"/>
    <tableColumn id="4" name="Martie" dataDxfId="48" dataCellStyle="Normal 2"/>
    <tableColumn id="5" name="Aprilie" dataDxfId="47" dataCellStyle="Normal 2"/>
    <tableColumn id="6" name="Mai" dataDxfId="46" dataCellStyle="Normal 2"/>
    <tableColumn id="7" name="Iunie" dataDxfId="45" dataCellStyle="Normal 2"/>
    <tableColumn id="8" name="Iulie" dataDxfId="44" dataCellStyle="Normal 2"/>
    <tableColumn id="9" name="August" dataDxfId="43" dataCellStyle="Normal 2"/>
    <tableColumn id="10" name="Septembrie" dataDxfId="42" dataCellStyle="Normal 2"/>
    <tableColumn id="11" name="Octombrie" dataDxfId="41"/>
    <tableColumn id="12" name="Noiembrie" dataDxfId="40"/>
    <tableColumn id="13" name="Decembrie" dataDxfId="39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136" displayName="Table136" ref="A22:G29" totalsRowShown="0" headerRowDxfId="38" dataDxfId="36" headerRowBorderDxfId="37" tableBorderDxfId="35" totalsRowBorderDxfId="34">
  <tableColumns count="7">
    <tableColumn id="1" name="Moduri de transport" dataDxfId="33"/>
    <tableColumn id="8" name="Ianuarie - februarie 2021" dataDxfId="32"/>
    <tableColumn id="7" name="Ianuarie - februarie 2020" dataDxfId="31"/>
    <tableColumn id="5" name="Ianuarie - februarie 2019" dataDxfId="30"/>
    <tableColumn id="4" name="Ianuarie - februarie 2018" dataDxfId="29"/>
    <tableColumn id="3" name="Ianuarie - februarie 2017" dataDxfId="28"/>
    <tableColumn id="2" name="Ianuarie - februarie 2016" dataDxfId="2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17" displayName="Table17" ref="A21:M27" totalsRowShown="0" headerRowDxfId="26" dataDxfId="24" headerRowBorderDxfId="25" tableBorderDxfId="23" totalsRowBorderDxfId="22">
  <tableColumns count="13">
    <tableColumn id="1" name=" " dataDxfId="21"/>
    <tableColumn id="2" name="Ianuarie" dataDxfId="20" dataCellStyle="Normal 2"/>
    <tableColumn id="3" name="Februarie" dataDxfId="19" dataCellStyle="Normal 2"/>
    <tableColumn id="4" name="Martie" dataDxfId="18" dataCellStyle="Normal 2"/>
    <tableColumn id="5" name="Aprilie" dataDxfId="17" dataCellStyle="Normal 2"/>
    <tableColumn id="6" name="Mai" dataDxfId="16" dataCellStyle="Normal 2"/>
    <tableColumn id="7" name="Iunie" dataDxfId="15" dataCellStyle="Normal 2"/>
    <tableColumn id="8" name="Iulie" dataDxfId="14" dataCellStyle="Normal 2"/>
    <tableColumn id="9" name="August" dataDxfId="13" dataCellStyle="Normal 2"/>
    <tableColumn id="10" name="Septembrie" dataDxfId="12" dataCellStyle="Normal 2"/>
    <tableColumn id="11" name="Octombrie" dataDxfId="11"/>
    <tableColumn id="12" name="Noiembrie" dataDxfId="10"/>
    <tableColumn id="13" name="Decembrie" dataDxfId="9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18" displayName="Table18" ref="A24:D30" totalsRowShown="0" headerRowDxfId="8" dataDxfId="6" headerRowBorderDxfId="7" tableBorderDxfId="5" totalsRowBorderDxfId="4">
  <tableColumns count="4">
    <tableColumn id="1" name="Perioada" dataDxfId="3"/>
    <tableColumn id="2" name="Export" dataDxfId="2"/>
    <tableColumn id="4" name="Import" dataDxfId="1"/>
    <tableColumn id="3" name="Balanţa Comercial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2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abSelected="1" workbookViewId="0">
      <selection activeCell="R23" sqref="R23"/>
    </sheetView>
  </sheetViews>
  <sheetFormatPr defaultRowHeight="15" x14ac:dyDescent="0.25"/>
  <cols>
    <col min="1" max="1" width="12.42578125" customWidth="1"/>
    <col min="2" max="2" width="10.140625" customWidth="1"/>
    <col min="3" max="3" width="11.28515625" customWidth="1"/>
    <col min="10" max="10" width="11.85546875" customWidth="1"/>
    <col min="11" max="11" width="10.5703125" customWidth="1"/>
    <col min="12" max="12" width="10.28515625" customWidth="1"/>
    <col min="13" max="13" width="10.7109375" customWidth="1"/>
  </cols>
  <sheetData>
    <row r="2" spans="1:13" x14ac:dyDescent="0.25">
      <c r="A2" s="139" t="s">
        <v>13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x14ac:dyDescent="0.2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x14ac:dyDescent="0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x14ac:dyDescent="0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x14ac:dyDescent="0.2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x14ac:dyDescent="0.2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x14ac:dyDescent="0.2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4" x14ac:dyDescent="0.2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4" x14ac:dyDescent="0.25">
      <c r="A18" s="1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7</v>
      </c>
      <c r="I18" s="2" t="s">
        <v>8</v>
      </c>
      <c r="J18" s="2" t="s">
        <v>9</v>
      </c>
      <c r="K18" s="3" t="s">
        <v>10</v>
      </c>
      <c r="L18" s="2" t="s">
        <v>11</v>
      </c>
      <c r="M18" s="20" t="s">
        <v>12</v>
      </c>
      <c r="N18" s="21"/>
    </row>
    <row r="19" spans="1:14" x14ac:dyDescent="0.25">
      <c r="A19" s="16">
        <v>2016</v>
      </c>
      <c r="B19" s="4">
        <v>116.8</v>
      </c>
      <c r="C19" s="4">
        <v>138.5</v>
      </c>
      <c r="D19" s="4">
        <v>161.30000000000001</v>
      </c>
      <c r="E19" s="4">
        <v>178.5</v>
      </c>
      <c r="F19" s="4">
        <v>153</v>
      </c>
      <c r="G19" s="4">
        <v>157.4</v>
      </c>
      <c r="H19" s="4">
        <v>165.6</v>
      </c>
      <c r="I19" s="4">
        <v>168</v>
      </c>
      <c r="J19" s="4">
        <v>193.6</v>
      </c>
      <c r="K19" s="5">
        <v>200.8</v>
      </c>
      <c r="L19" s="5">
        <v>217.6</v>
      </c>
      <c r="M19" s="5">
        <v>193.5</v>
      </c>
    </row>
    <row r="20" spans="1:14" x14ac:dyDescent="0.25">
      <c r="A20" s="17">
        <v>2017</v>
      </c>
      <c r="B20" s="6">
        <v>139.5</v>
      </c>
      <c r="C20" s="6">
        <v>176.6</v>
      </c>
      <c r="D20" s="6">
        <v>212.1</v>
      </c>
      <c r="E20" s="6">
        <v>154.19999999999999</v>
      </c>
      <c r="F20" s="6">
        <v>174.7</v>
      </c>
      <c r="G20" s="6">
        <v>171.1</v>
      </c>
      <c r="H20" s="6">
        <v>191.6</v>
      </c>
      <c r="I20" s="6">
        <v>207.9</v>
      </c>
      <c r="J20" s="6">
        <v>223.9</v>
      </c>
      <c r="K20" s="7">
        <v>268.2</v>
      </c>
      <c r="L20" s="7">
        <v>272.10000000000002</v>
      </c>
      <c r="M20" s="7">
        <v>233.1</v>
      </c>
    </row>
    <row r="21" spans="1:14" x14ac:dyDescent="0.25">
      <c r="A21" s="17">
        <v>2018</v>
      </c>
      <c r="B21" s="8">
        <v>220.3</v>
      </c>
      <c r="C21" s="8">
        <v>215.5</v>
      </c>
      <c r="D21" s="8">
        <v>242.1</v>
      </c>
      <c r="E21" s="8">
        <v>199.7</v>
      </c>
      <c r="F21" s="9">
        <v>223</v>
      </c>
      <c r="G21" s="9">
        <v>214.1</v>
      </c>
      <c r="H21" s="9">
        <v>218.8</v>
      </c>
      <c r="I21" s="10">
        <v>218.6</v>
      </c>
      <c r="J21" s="9">
        <v>207.3</v>
      </c>
      <c r="K21" s="9">
        <v>259</v>
      </c>
      <c r="L21" s="9">
        <v>268.89999999999998</v>
      </c>
      <c r="M21" s="9">
        <v>218.8</v>
      </c>
    </row>
    <row r="22" spans="1:14" x14ac:dyDescent="0.25">
      <c r="A22" s="18">
        <v>2019</v>
      </c>
      <c r="B22" s="11">
        <v>234.3</v>
      </c>
      <c r="C22" s="11">
        <v>241.4</v>
      </c>
      <c r="D22" s="11">
        <v>257.2</v>
      </c>
      <c r="E22" s="11">
        <v>215.6</v>
      </c>
      <c r="F22" s="7">
        <v>210.5</v>
      </c>
      <c r="G22" s="7">
        <v>202.2</v>
      </c>
      <c r="H22" s="7">
        <v>220.2</v>
      </c>
      <c r="I22" s="7">
        <v>205.8</v>
      </c>
      <c r="J22" s="7">
        <v>238.8</v>
      </c>
      <c r="K22" s="7">
        <v>268.3</v>
      </c>
      <c r="L22" s="7">
        <v>266.60000000000002</v>
      </c>
      <c r="M22" s="7">
        <v>218.3</v>
      </c>
    </row>
    <row r="23" spans="1:14" x14ac:dyDescent="0.25">
      <c r="A23" s="18">
        <v>2020</v>
      </c>
      <c r="B23" s="12">
        <v>219.5</v>
      </c>
      <c r="C23" s="12">
        <v>245.3</v>
      </c>
      <c r="D23" s="12">
        <v>210.2</v>
      </c>
      <c r="E23" s="12">
        <v>149.9</v>
      </c>
      <c r="F23" s="12">
        <v>155.69999999999999</v>
      </c>
      <c r="G23" s="12">
        <v>189.6</v>
      </c>
      <c r="H23" s="12">
        <v>209.1</v>
      </c>
      <c r="I23" s="12">
        <v>163.9</v>
      </c>
      <c r="J23" s="12">
        <v>212.3</v>
      </c>
      <c r="K23" s="7">
        <v>249.4</v>
      </c>
      <c r="L23" s="7">
        <v>262</v>
      </c>
      <c r="M23" s="7">
        <v>218.3</v>
      </c>
    </row>
    <row r="24" spans="1:14" x14ac:dyDescent="0.25">
      <c r="A24" s="19">
        <v>2021</v>
      </c>
      <c r="B24" s="13">
        <v>198.6</v>
      </c>
      <c r="C24" s="13">
        <v>227</v>
      </c>
      <c r="D24" s="14"/>
      <c r="E24" s="14"/>
      <c r="F24" s="14"/>
      <c r="G24" s="14"/>
      <c r="H24" s="14"/>
      <c r="I24" s="14"/>
      <c r="J24" s="14"/>
      <c r="K24" s="15"/>
      <c r="L24" s="15"/>
      <c r="M24" s="15"/>
    </row>
  </sheetData>
  <mergeCells count="1">
    <mergeCell ref="A2:M2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A2" sqref="A2:E2"/>
    </sheetView>
  </sheetViews>
  <sheetFormatPr defaultRowHeight="12" x14ac:dyDescent="0.2"/>
  <cols>
    <col min="1" max="1" width="27.28515625" style="24" customWidth="1"/>
    <col min="2" max="2" width="16.140625" style="24" customWidth="1"/>
    <col min="3" max="4" width="15.85546875" style="24" customWidth="1"/>
    <col min="5" max="5" width="15.7109375" style="24" customWidth="1"/>
    <col min="6" max="6" width="15.85546875" style="24" customWidth="1"/>
    <col min="7" max="7" width="16" style="24" customWidth="1"/>
    <col min="8" max="16384" width="9.140625" style="24"/>
  </cols>
  <sheetData>
    <row r="2" spans="1:7" x14ac:dyDescent="0.2">
      <c r="A2" s="151" t="s">
        <v>97</v>
      </c>
      <c r="B2" s="151"/>
      <c r="C2" s="151"/>
      <c r="D2" s="151"/>
      <c r="E2" s="151"/>
      <c r="F2" s="45"/>
      <c r="G2" s="45"/>
    </row>
    <row r="3" spans="1:7" x14ac:dyDescent="0.2">
      <c r="A3" s="25"/>
      <c r="B3" s="25"/>
      <c r="C3" s="25"/>
      <c r="D3" s="25"/>
      <c r="E3" s="25"/>
      <c r="F3" s="25"/>
      <c r="G3" s="25"/>
    </row>
    <row r="4" spans="1:7" x14ac:dyDescent="0.2">
      <c r="A4" s="25"/>
      <c r="B4" s="25"/>
      <c r="C4" s="25"/>
      <c r="D4" s="25"/>
      <c r="E4" s="25"/>
      <c r="F4" s="25"/>
      <c r="G4" s="25"/>
    </row>
    <row r="5" spans="1:7" x14ac:dyDescent="0.2">
      <c r="A5" s="25"/>
      <c r="B5" s="25"/>
      <c r="C5" s="25"/>
      <c r="D5" s="25"/>
      <c r="E5" s="25"/>
      <c r="F5" s="25"/>
      <c r="G5" s="25"/>
    </row>
    <row r="6" spans="1:7" x14ac:dyDescent="0.2">
      <c r="A6" s="25"/>
      <c r="B6" s="25"/>
      <c r="C6" s="25"/>
      <c r="D6" s="25"/>
      <c r="E6" s="25"/>
      <c r="F6" s="25"/>
      <c r="G6" s="25"/>
    </row>
    <row r="7" spans="1:7" x14ac:dyDescent="0.2">
      <c r="A7" s="25"/>
      <c r="B7" s="25"/>
      <c r="C7" s="25"/>
      <c r="D7" s="25"/>
      <c r="E7" s="25"/>
      <c r="F7" s="25"/>
      <c r="G7" s="25"/>
    </row>
    <row r="8" spans="1:7" x14ac:dyDescent="0.2">
      <c r="A8" s="25"/>
      <c r="B8" s="25"/>
      <c r="C8" s="25"/>
      <c r="D8" s="25"/>
      <c r="E8" s="25"/>
      <c r="F8" s="25"/>
      <c r="G8" s="25"/>
    </row>
    <row r="9" spans="1:7" x14ac:dyDescent="0.2">
      <c r="A9" s="25"/>
      <c r="B9" s="25"/>
      <c r="C9" s="25"/>
      <c r="D9" s="25"/>
      <c r="E9" s="25"/>
      <c r="F9" s="25"/>
      <c r="G9" s="25"/>
    </row>
    <row r="10" spans="1:7" x14ac:dyDescent="0.2">
      <c r="A10" s="25"/>
      <c r="B10" s="25"/>
      <c r="C10" s="25"/>
      <c r="D10" s="25"/>
      <c r="E10" s="25"/>
      <c r="F10" s="25"/>
      <c r="G10" s="25"/>
    </row>
    <row r="11" spans="1:7" x14ac:dyDescent="0.2">
      <c r="A11" s="25"/>
      <c r="B11" s="25"/>
      <c r="C11" s="25"/>
      <c r="D11" s="25"/>
      <c r="E11" s="25"/>
      <c r="F11" s="25"/>
      <c r="G11" s="25"/>
    </row>
    <row r="12" spans="1:7" x14ac:dyDescent="0.2">
      <c r="A12" s="25"/>
      <c r="B12" s="25"/>
      <c r="C12" s="25"/>
      <c r="D12" s="25"/>
      <c r="E12" s="25"/>
      <c r="F12" s="25"/>
      <c r="G12" s="25"/>
    </row>
    <row r="13" spans="1:7" x14ac:dyDescent="0.2">
      <c r="A13" s="25"/>
      <c r="B13" s="25"/>
      <c r="C13" s="25"/>
      <c r="D13" s="25"/>
      <c r="E13" s="25"/>
      <c r="F13" s="25"/>
      <c r="G13" s="25"/>
    </row>
    <row r="14" spans="1:7" x14ac:dyDescent="0.2">
      <c r="A14" s="25"/>
      <c r="B14" s="25"/>
      <c r="C14" s="25"/>
      <c r="D14" s="25"/>
      <c r="E14" s="25"/>
      <c r="F14" s="25"/>
      <c r="G14" s="25"/>
    </row>
    <row r="15" spans="1:7" x14ac:dyDescent="0.2">
      <c r="A15" s="25"/>
      <c r="B15" s="25"/>
      <c r="C15" s="25"/>
      <c r="D15" s="25"/>
      <c r="E15" s="25"/>
      <c r="F15" s="25"/>
      <c r="G15" s="25"/>
    </row>
    <row r="16" spans="1:7" x14ac:dyDescent="0.2">
      <c r="A16" s="25"/>
      <c r="B16" s="25"/>
      <c r="C16" s="25"/>
      <c r="D16" s="25"/>
      <c r="E16" s="25"/>
      <c r="F16" s="25"/>
      <c r="G16" s="25"/>
    </row>
    <row r="17" spans="1:7" x14ac:dyDescent="0.2">
      <c r="A17" s="25"/>
      <c r="B17" s="25"/>
      <c r="C17" s="25"/>
      <c r="D17" s="25"/>
      <c r="E17" s="25"/>
      <c r="F17" s="25"/>
      <c r="G17" s="25"/>
    </row>
    <row r="18" spans="1:7" x14ac:dyDescent="0.2">
      <c r="A18" s="25"/>
      <c r="B18" s="25"/>
      <c r="C18" s="25"/>
      <c r="D18" s="25"/>
      <c r="E18" s="25"/>
      <c r="F18" s="25"/>
      <c r="G18" s="25"/>
    </row>
    <row r="19" spans="1:7" x14ac:dyDescent="0.2">
      <c r="A19" s="26"/>
    </row>
    <row r="20" spans="1:7" x14ac:dyDescent="0.2">
      <c r="A20" s="26"/>
    </row>
    <row r="21" spans="1:7" ht="24" x14ac:dyDescent="0.2">
      <c r="A21" s="1"/>
      <c r="B21" s="56" t="s">
        <v>45</v>
      </c>
      <c r="C21" s="56" t="s">
        <v>46</v>
      </c>
      <c r="D21" s="56" t="s">
        <v>47</v>
      </c>
      <c r="E21" s="57" t="s">
        <v>48</v>
      </c>
      <c r="F21" s="57" t="s">
        <v>49</v>
      </c>
      <c r="G21" s="57" t="s">
        <v>50</v>
      </c>
    </row>
    <row r="22" spans="1:7" x14ac:dyDescent="0.2">
      <c r="A22" s="59" t="s">
        <v>98</v>
      </c>
      <c r="B22" s="32">
        <v>42.3</v>
      </c>
      <c r="C22" s="32">
        <v>44.3</v>
      </c>
      <c r="D22" s="32">
        <v>47.5</v>
      </c>
      <c r="E22" s="32">
        <v>45.5</v>
      </c>
      <c r="F22" s="32">
        <v>46.3</v>
      </c>
      <c r="G22" s="113">
        <v>46.2</v>
      </c>
    </row>
    <row r="23" spans="1:7" x14ac:dyDescent="0.2">
      <c r="A23" s="63" t="s">
        <v>99</v>
      </c>
      <c r="B23" s="10">
        <v>31.2</v>
      </c>
      <c r="C23" s="10">
        <v>27.9</v>
      </c>
      <c r="D23" s="10">
        <v>24.7</v>
      </c>
      <c r="E23" s="10">
        <v>27.2</v>
      </c>
      <c r="F23" s="10">
        <v>25.6</v>
      </c>
      <c r="G23" s="114">
        <v>24</v>
      </c>
    </row>
    <row r="24" spans="1:7" x14ac:dyDescent="0.2">
      <c r="A24" s="66" t="s">
        <v>100</v>
      </c>
      <c r="B24" s="41">
        <v>26.5</v>
      </c>
      <c r="C24" s="41">
        <v>27.8</v>
      </c>
      <c r="D24" s="41">
        <v>27.8</v>
      </c>
      <c r="E24" s="41">
        <v>27.3</v>
      </c>
      <c r="F24" s="41">
        <v>28.1</v>
      </c>
      <c r="G24" s="106">
        <v>29.8</v>
      </c>
    </row>
    <row r="25" spans="1:7" x14ac:dyDescent="0.2">
      <c r="G25" s="76"/>
    </row>
  </sheetData>
  <mergeCells count="1">
    <mergeCell ref="A2:E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A2" sqref="A2:F2"/>
    </sheetView>
  </sheetViews>
  <sheetFormatPr defaultRowHeight="12" x14ac:dyDescent="0.2"/>
  <cols>
    <col min="1" max="1" width="22.5703125" style="24" customWidth="1"/>
    <col min="2" max="2" width="15.7109375" style="24" customWidth="1"/>
    <col min="3" max="3" width="15.85546875" style="24" customWidth="1"/>
    <col min="4" max="4" width="15.5703125" style="117" customWidth="1"/>
    <col min="5" max="6" width="15.7109375" style="117" customWidth="1"/>
    <col min="7" max="7" width="16" style="117" customWidth="1"/>
    <col min="8" max="16384" width="9.140625" style="24"/>
  </cols>
  <sheetData>
    <row r="2" spans="1:9" x14ac:dyDescent="0.2">
      <c r="A2" s="141" t="s">
        <v>104</v>
      </c>
      <c r="B2" s="141"/>
      <c r="C2" s="141"/>
      <c r="D2" s="141"/>
      <c r="E2" s="141"/>
      <c r="F2" s="141"/>
      <c r="G2" s="78"/>
      <c r="H2" s="78"/>
      <c r="I2" s="78"/>
    </row>
    <row r="3" spans="1:9" x14ac:dyDescent="0.2">
      <c r="A3" s="25"/>
      <c r="B3" s="25"/>
      <c r="C3" s="25"/>
      <c r="D3" s="25"/>
      <c r="E3" s="25"/>
      <c r="F3" s="25"/>
      <c r="G3" s="25"/>
      <c r="H3" s="25"/>
      <c r="I3" s="25"/>
    </row>
    <row r="4" spans="1:9" x14ac:dyDescent="0.2">
      <c r="A4" s="25"/>
      <c r="B4" s="25"/>
      <c r="C4" s="25"/>
      <c r="D4" s="25"/>
      <c r="E4" s="25"/>
      <c r="F4" s="25"/>
      <c r="G4" s="25"/>
      <c r="H4" s="25"/>
      <c r="I4" s="25"/>
    </row>
    <row r="5" spans="1:9" x14ac:dyDescent="0.2">
      <c r="A5" s="25"/>
      <c r="B5" s="25"/>
      <c r="C5" s="25"/>
      <c r="D5" s="25"/>
      <c r="E5" s="25"/>
      <c r="F5" s="25"/>
      <c r="G5" s="25"/>
      <c r="H5" s="25"/>
      <c r="I5" s="25"/>
    </row>
    <row r="6" spans="1:9" x14ac:dyDescent="0.2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2">
      <c r="A7" s="25"/>
      <c r="B7" s="25"/>
      <c r="C7" s="25"/>
      <c r="D7" s="25"/>
      <c r="E7" s="25"/>
      <c r="F7" s="25"/>
      <c r="G7" s="25"/>
      <c r="H7" s="25"/>
      <c r="I7" s="25"/>
    </row>
    <row r="8" spans="1:9" x14ac:dyDescent="0.2">
      <c r="A8" s="25"/>
      <c r="B8" s="25"/>
      <c r="C8" s="25"/>
      <c r="D8" s="25"/>
      <c r="E8" s="25"/>
      <c r="F8" s="25"/>
      <c r="G8" s="25"/>
      <c r="H8" s="25"/>
      <c r="I8" s="25"/>
    </row>
    <row r="9" spans="1:9" x14ac:dyDescent="0.2">
      <c r="A9" s="25"/>
      <c r="B9" s="25"/>
      <c r="C9" s="25"/>
      <c r="D9" s="25"/>
      <c r="E9" s="25"/>
      <c r="F9" s="25"/>
      <c r="G9" s="25"/>
      <c r="H9" s="25"/>
      <c r="I9" s="25"/>
    </row>
    <row r="10" spans="1:9" x14ac:dyDescent="0.2">
      <c r="A10" s="25"/>
      <c r="B10" s="25"/>
      <c r="C10" s="25"/>
      <c r="D10" s="25"/>
      <c r="E10" s="25"/>
      <c r="F10" s="25"/>
      <c r="G10" s="25"/>
      <c r="H10" s="25"/>
      <c r="I10" s="25"/>
    </row>
    <row r="11" spans="1:9" x14ac:dyDescent="0.2">
      <c r="A11" s="25"/>
      <c r="B11" s="25"/>
      <c r="C11" s="25"/>
      <c r="D11" s="25"/>
      <c r="E11" s="25"/>
      <c r="F11" s="25"/>
      <c r="G11" s="25"/>
      <c r="H11" s="25"/>
      <c r="I11" s="25"/>
    </row>
    <row r="12" spans="1:9" x14ac:dyDescent="0.2">
      <c r="A12" s="25"/>
      <c r="B12" s="25"/>
      <c r="C12" s="25"/>
      <c r="D12" s="25"/>
      <c r="E12" s="25"/>
      <c r="F12" s="25"/>
      <c r="G12" s="25"/>
      <c r="H12" s="25"/>
      <c r="I12" s="25"/>
    </row>
    <row r="13" spans="1:9" x14ac:dyDescent="0.2">
      <c r="A13" s="25"/>
      <c r="B13" s="25"/>
      <c r="C13" s="25"/>
      <c r="D13" s="25"/>
      <c r="E13" s="25"/>
      <c r="F13" s="25"/>
      <c r="G13" s="25"/>
      <c r="H13" s="25"/>
      <c r="I13" s="25"/>
    </row>
    <row r="14" spans="1:9" x14ac:dyDescent="0.2">
      <c r="A14" s="25"/>
      <c r="B14" s="25"/>
      <c r="C14" s="25"/>
      <c r="D14" s="25"/>
      <c r="E14" s="25"/>
      <c r="F14" s="25"/>
      <c r="G14" s="25"/>
      <c r="H14" s="25"/>
      <c r="I14" s="25"/>
    </row>
    <row r="15" spans="1:9" x14ac:dyDescent="0.2">
      <c r="A15" s="25"/>
      <c r="B15" s="25"/>
      <c r="C15" s="25"/>
      <c r="D15" s="25"/>
      <c r="E15" s="25"/>
      <c r="F15" s="25"/>
      <c r="G15" s="25"/>
      <c r="H15" s="25"/>
      <c r="I15" s="25"/>
    </row>
    <row r="16" spans="1:9" x14ac:dyDescent="0.2">
      <c r="A16" s="25"/>
      <c r="B16" s="25"/>
      <c r="C16" s="25"/>
      <c r="D16" s="25"/>
      <c r="E16" s="25"/>
      <c r="F16" s="25"/>
      <c r="G16" s="25"/>
      <c r="H16" s="25"/>
      <c r="I16" s="25"/>
    </row>
    <row r="17" spans="1:9" x14ac:dyDescent="0.2">
      <c r="A17" s="25"/>
      <c r="B17" s="25"/>
      <c r="C17" s="25"/>
      <c r="D17" s="25"/>
      <c r="E17" s="25"/>
      <c r="F17" s="25"/>
      <c r="G17" s="25"/>
      <c r="H17" s="25"/>
      <c r="I17" s="25"/>
    </row>
    <row r="18" spans="1:9" x14ac:dyDescent="0.2">
      <c r="A18" s="25"/>
      <c r="B18" s="25"/>
      <c r="C18" s="25"/>
      <c r="D18" s="25"/>
      <c r="E18" s="25"/>
      <c r="F18" s="25"/>
      <c r="G18" s="25"/>
      <c r="H18" s="25"/>
      <c r="I18" s="25"/>
    </row>
    <row r="19" spans="1:9" x14ac:dyDescent="0.2">
      <c r="A19" s="25"/>
      <c r="B19" s="25"/>
      <c r="C19" s="25"/>
      <c r="D19" s="25"/>
      <c r="E19" s="25"/>
      <c r="F19" s="25"/>
      <c r="G19" s="25"/>
      <c r="H19" s="25"/>
      <c r="I19" s="25"/>
    </row>
    <row r="20" spans="1:9" x14ac:dyDescent="0.2">
      <c r="A20" s="26"/>
    </row>
    <row r="21" spans="1:9" x14ac:dyDescent="0.2">
      <c r="A21" s="26"/>
    </row>
    <row r="22" spans="1:9" x14ac:dyDescent="0.2">
      <c r="A22" s="26"/>
    </row>
    <row r="23" spans="1:9" ht="24" x14ac:dyDescent="0.2">
      <c r="A23" s="1"/>
      <c r="B23" s="57" t="s">
        <v>55</v>
      </c>
      <c r="C23" s="57" t="s">
        <v>38</v>
      </c>
      <c r="D23" s="57" t="s">
        <v>37</v>
      </c>
      <c r="E23" s="57" t="s">
        <v>56</v>
      </c>
      <c r="F23" s="57" t="s">
        <v>35</v>
      </c>
      <c r="G23" s="57" t="s">
        <v>34</v>
      </c>
    </row>
    <row r="24" spans="1:9" ht="14.25" customHeight="1" x14ac:dyDescent="0.2">
      <c r="A24" s="70" t="s">
        <v>60</v>
      </c>
      <c r="B24" s="32">
        <f>IF(OR(104095.87531="",104095.87531="***"),"-",104095.87531/494274.03793*100)</f>
        <v>21.060356668933977</v>
      </c>
      <c r="C24" s="32">
        <f>IF(OR(104675.23458="",104675.23458="***"),"-",104675.23458/599501.49446*100)</f>
        <v>17.460379256316294</v>
      </c>
      <c r="D24" s="32">
        <f>IF(OR(122931.65808="",122931.65808="***"),"-",122931.65808/801858.14608*100)</f>
        <v>15.330848564795316</v>
      </c>
      <c r="E24" s="32">
        <f>IF(OR(133637.42836="",133637.42836="***"),"-",133637.42836/831797.47999*100)</f>
        <v>16.066101614254301</v>
      </c>
      <c r="F24" s="32">
        <f>IF(OR(125907.89735="",125907.89735="***"),"-",125907.89735/864624.24072*100)</f>
        <v>14.562152137343789</v>
      </c>
      <c r="G24" s="113">
        <f>IF(OR(123835.54757="",123835.54757="***"),"-",123835.54757/923234.79735*100)</f>
        <v>13.41322358358355</v>
      </c>
    </row>
    <row r="25" spans="1:9" ht="14.25" customHeight="1" x14ac:dyDescent="0.2">
      <c r="A25" s="71" t="s">
        <v>57</v>
      </c>
      <c r="B25" s="10">
        <f>IF(OR(53249.3418="",53249.3418="***"),"-",53249.3418/494274.03793*100)</f>
        <v>10.77324271835238</v>
      </c>
      <c r="C25" s="10">
        <f>IF(OR(85046.81242="",85046.81242="***"),"-",85046.81242/599501.49446*100)</f>
        <v>14.186255281416068</v>
      </c>
      <c r="D25" s="10">
        <f>IF(OR(109631.81951="",109631.81951="***"),"-",109631.81951/801858.14608*100)</f>
        <v>13.672221208445793</v>
      </c>
      <c r="E25" s="10">
        <f>IF(OR(108721.15427="",108721.15427="***"),"-",108721.15427/831797.47999*100)</f>
        <v>13.070627993644205</v>
      </c>
      <c r="F25" s="10">
        <f>IF(OR(123108.1302="",123108.1302="***"),"-",123108.1302/864624.24072*100)</f>
        <v>14.238338968785325</v>
      </c>
      <c r="G25" s="114">
        <f>IF(OR(116137.23577="",116137.23577="***"),"-",116137.23577/923234.79735*100)</f>
        <v>12.579382417490507</v>
      </c>
    </row>
    <row r="26" spans="1:9" x14ac:dyDescent="0.2">
      <c r="A26" s="73" t="s">
        <v>105</v>
      </c>
      <c r="B26" s="10">
        <f>IF(OR(46145.22364="",46145.22364="***"),"-",46145.22364/494274.03793*100)</f>
        <v>9.3359594271336519</v>
      </c>
      <c r="C26" s="10">
        <f>IF(OR(61290.11869="",61290.11869="***"),"-",61290.11869/599501.49446*100)</f>
        <v>10.223513912205838</v>
      </c>
      <c r="D26" s="10">
        <f>IF(OR(97142.08327="",97142.08327="***"),"-",97142.08327/801858.14608*100)</f>
        <v>12.114621987055092</v>
      </c>
      <c r="E26" s="10">
        <f>IF(OR(94761.84671="",94761.84671="***"),"-",94761.84671/831797.47999*100)</f>
        <v>11.392418105322854</v>
      </c>
      <c r="F26" s="10">
        <f>IF(OR(92725.44566="",92725.44566="***"),"-",92725.44566/864624.24072*100)</f>
        <v>10.724363404706832</v>
      </c>
      <c r="G26" s="114">
        <f>IF(OR(115061.41036="",115061.41036="***"),"-",115061.41036/923234.79735*100)</f>
        <v>12.462854594547956</v>
      </c>
    </row>
    <row r="27" spans="1:9" x14ac:dyDescent="0.2">
      <c r="A27" s="71" t="s">
        <v>63</v>
      </c>
      <c r="B27" s="10">
        <f>IF(OR(37142.01645="",37142.01645="***"),"-",37142.01645/494274.03793*100)</f>
        <v>7.514458296363145</v>
      </c>
      <c r="C27" s="10">
        <f>IF(OR(44789.79626="",44789.79626="***"),"-",44789.79626/599501.49446*100)</f>
        <v>7.4711734122271611</v>
      </c>
      <c r="D27" s="10">
        <f>IF(OR(62847.25821="",62847.25821="***"),"-",62847.25821/801858.14608*100)</f>
        <v>7.837702780378045</v>
      </c>
      <c r="E27" s="10">
        <f>IF(OR(71815.17972="",71815.17972="***"),"-",71815.17972/831797.47999*100)</f>
        <v>8.6337337450052587</v>
      </c>
      <c r="F27" s="10">
        <f>IF(OR(75016.96145="",75016.96145="***"),"-",75016.96145/864624.24072*100)</f>
        <v>8.6762500884234974</v>
      </c>
      <c r="G27" s="114">
        <f>IF(OR(76521.68378="",76521.68378="***"),"-",76521.68378/923234.79735*100)</f>
        <v>8.2884315018934984</v>
      </c>
    </row>
    <row r="28" spans="1:9" x14ac:dyDescent="0.2">
      <c r="A28" s="71" t="s">
        <v>58</v>
      </c>
      <c r="B28" s="10">
        <f>IF(OR(35324.76145="",35324.76145="***"),"-",35324.76145/494274.03793*100)</f>
        <v>7.1467968655482483</v>
      </c>
      <c r="C28" s="10">
        <f>IF(OR(42973.18858="",42973.18858="***"),"-",42973.18858/599501.49446*100)</f>
        <v>7.1681537038882679</v>
      </c>
      <c r="D28" s="10">
        <f>IF(OR(64292.06489="",64292.06489="***"),"-",64292.06489/801858.14608*100)</f>
        <v>8.0178851090184846</v>
      </c>
      <c r="E28" s="10">
        <f>IF(OR(65822.32263="",65822.32263="***"),"-",65822.32263/831797.47999*100)</f>
        <v>7.9132630494133407</v>
      </c>
      <c r="F28" s="10">
        <f>IF(OR(67311.15812="",67311.15812="***"),"-",67311.15812/864624.24072*100)</f>
        <v>7.7850186184865526</v>
      </c>
      <c r="G28" s="114">
        <f>IF(OR(72745.42829="",72745.42829="***"),"-",72745.42829/923234.79735*100)</f>
        <v>7.8794071127739427</v>
      </c>
    </row>
    <row r="29" spans="1:9" x14ac:dyDescent="0.2">
      <c r="A29" s="72" t="s">
        <v>59</v>
      </c>
      <c r="B29" s="10">
        <f>IF(OR(35662.80248="",35662.80248="***"),"-",35662.80248/494274.03793*100)</f>
        <v>7.2151882848944275</v>
      </c>
      <c r="C29" s="10">
        <f>IF(OR(39451.1184="",39451.1184="***"),"-",39451.1184/599501.49446*100)</f>
        <v>6.5806538873661253</v>
      </c>
      <c r="D29" s="10">
        <f>IF(OR(50114.71037="",50114.71037="***"),"-",50114.71037/801858.14608*100)</f>
        <v>6.2498224424099256</v>
      </c>
      <c r="E29" s="10">
        <f>IF(OR(53359.28007="",53359.28007="***"),"-",53359.28007/831797.47999*100)</f>
        <v>6.4149364903872383</v>
      </c>
      <c r="F29" s="10">
        <f>IF(OR(63030.34983="",63030.34983="***"),"-",63030.34983/864624.24072*100)</f>
        <v>7.2899124106805786</v>
      </c>
      <c r="G29" s="114">
        <f>IF(OR(69500.95297="",69500.95297="***"),"-",69500.95297/923234.79735*100)</f>
        <v>7.5279823907733467</v>
      </c>
    </row>
    <row r="30" spans="1:9" x14ac:dyDescent="0.2">
      <c r="A30" s="71" t="s">
        <v>61</v>
      </c>
      <c r="B30" s="10">
        <f>IF(OR(31651.3669="",31651.3669="***"),"-",31651.3669/494274.03793*100)</f>
        <v>6.403607001604751</v>
      </c>
      <c r="C30" s="10">
        <f>IF(OR(36257.20791="",36257.20791="***"),"-",36257.20791/599501.49446*100)</f>
        <v>6.0478928318033001</v>
      </c>
      <c r="D30" s="10">
        <f>IF(OR(52463.70175="",52463.70175="***"),"-",52463.70175/801858.14608*100)</f>
        <v>6.5427659501217805</v>
      </c>
      <c r="E30" s="10">
        <f>IF(OR(50454.12397="",50454.12397="***"),"-",50454.12397/831797.47999*100)</f>
        <v>6.0656740593403295</v>
      </c>
      <c r="F30" s="10">
        <f>IF(OR(49871.05658="",49871.05658="***"),"-",49871.05658/864624.24072*100)</f>
        <v>5.7679456845288986</v>
      </c>
      <c r="G30" s="114">
        <f>IF(OR(57731.75816="",57731.75816="***"),"-",57731.75816/923234.79735*100)</f>
        <v>6.2532043122410368</v>
      </c>
    </row>
    <row r="31" spans="1:9" x14ac:dyDescent="0.2">
      <c r="A31" s="71" t="s">
        <v>62</v>
      </c>
      <c r="B31" s="10">
        <f>IF(OR(15621.08501="",15621.08501="***"),"-",15621.08501/494274.03793*100)</f>
        <v>3.1604097749945521</v>
      </c>
      <c r="C31" s="10">
        <f>IF(OR(16461.89803="",16461.89803="***"),"-",16461.89803/599501.49446*100)</f>
        <v>2.7459311081164244</v>
      </c>
      <c r="D31" s="10">
        <f>IF(OR(28120.12196="",28120.12196="***"),"-",28120.12196/801858.14608*100)</f>
        <v>3.5068698993044221</v>
      </c>
      <c r="E31" s="10">
        <f>IF(OR(27285.71681="",27285.71681="***"),"-",27285.71681/831797.47999*100)</f>
        <v>3.2803317473777431</v>
      </c>
      <c r="F31" s="10">
        <f>IF(OR(33568.67074="",33568.67074="***"),"-",33568.67074/864624.24072*100)</f>
        <v>3.8824577381784144</v>
      </c>
      <c r="G31" s="114">
        <f>IF(OR(36932.2574="",36932.2574="***"),"-",36932.2574/923234.79735*100)</f>
        <v>4.0003103767327906</v>
      </c>
    </row>
    <row r="32" spans="1:9" x14ac:dyDescent="0.2">
      <c r="A32" s="71" t="s">
        <v>72</v>
      </c>
      <c r="B32" s="10">
        <f>IF(OR(9067.45457="",9067.45457="***"),"-",9067.45457/494274.03793*100)</f>
        <v>1.8344994626814992</v>
      </c>
      <c r="C32" s="10">
        <f>IF(OR(13512.17264="",13512.17264="***"),"-",13512.17264/599501.49446*100)</f>
        <v>2.2539014105663022</v>
      </c>
      <c r="D32" s="10">
        <f>IF(OR(21625.66642="",21625.66642="***"),"-",21625.66642/801858.14608*100)</f>
        <v>2.6969441572328239</v>
      </c>
      <c r="E32" s="10">
        <f>IF(OR(21836.85881="",21836.85881="***"),"-",21836.85881/831797.47999*100)</f>
        <v>2.6252614771401483</v>
      </c>
      <c r="F32" s="10">
        <f>IF(OR(21248.34128="",21248.34128="***"),"-",21248.34128/864624.24072*100)</f>
        <v>2.4575231967017062</v>
      </c>
      <c r="G32" s="114">
        <f>IF(OR(28268.8688="",28268.8688="***"),"-",28268.8688/923234.79735*100)</f>
        <v>3.0619371021479402</v>
      </c>
    </row>
    <row r="33" spans="1:7" x14ac:dyDescent="0.2">
      <c r="A33" s="73" t="s">
        <v>66</v>
      </c>
      <c r="B33" s="10">
        <f>IF(OR(8292.41083="",8292.41083="***"),"-",8292.41083/494274.03793*100)</f>
        <v>1.6776950018917214</v>
      </c>
      <c r="C33" s="10">
        <f>IF(OR(12488.69121="",12488.69121="***"),"-",12488.69121/599501.49446*100)</f>
        <v>2.083179329060584</v>
      </c>
      <c r="D33" s="10">
        <f>IF(OR(17901.4335="",17901.4335="***"),"-",17901.4335/801858.14608*100)</f>
        <v>2.2324938129660161</v>
      </c>
      <c r="E33" s="10">
        <f>IF(OR(16865.48477="",16865.48477="***"),"-",16865.48477/831797.47999*100)</f>
        <v>2.0275950788168724</v>
      </c>
      <c r="F33" s="10">
        <f>IF(OR(18753.81488="",18753.81488="***"),"-",18753.81488/864624.24072*100)</f>
        <v>2.1690133120004949</v>
      </c>
      <c r="G33" s="114">
        <f>IF(OR(20146.22985="",20146.22985="***"),"-",20146.22985/923234.79735*100)</f>
        <v>2.1821350221879179</v>
      </c>
    </row>
    <row r="34" spans="1:7" x14ac:dyDescent="0.2">
      <c r="A34" s="71" t="s">
        <v>65</v>
      </c>
      <c r="B34" s="10">
        <f>IF(OR(11501.31999="",11501.31999="***"),"-",11501.31999/494274.03793*100)</f>
        <v>2.3269116132757186</v>
      </c>
      <c r="C34" s="10">
        <f>IF(OR(16915.24902="",16915.24902="***"),"-",16915.24902/599501.49446*100)</f>
        <v>2.821552435867801</v>
      </c>
      <c r="D34" s="10">
        <f>IF(OR(11355.32414="",11355.32414="***"),"-",11355.32414/801858.14608*100)</f>
        <v>1.4161263055706488</v>
      </c>
      <c r="E34" s="10">
        <f>IF(OR(16080.80234="",16080.80234="***"),"-",16080.80234/831797.47999*100)</f>
        <v>1.9332593241558422</v>
      </c>
      <c r="F34" s="10">
        <f>IF(OR(14656.69517="",14656.69517="***"),"-",14656.69517/864624.24072*100)</f>
        <v>1.6951520070493176</v>
      </c>
      <c r="G34" s="114">
        <f>IF(OR(17629.07086="",17629.07086="***"),"-",17629.07086/923234.79735*100)</f>
        <v>1.9094894289731572</v>
      </c>
    </row>
    <row r="35" spans="1:7" x14ac:dyDescent="0.2">
      <c r="A35" s="118" t="s">
        <v>64</v>
      </c>
      <c r="B35" s="10">
        <f>IF(OR(7191.83387="",7191.83387="***"),"-",7191.83387/494274.03793*100)</f>
        <v>1.4550296633258575</v>
      </c>
      <c r="C35" s="10">
        <f>IF(OR(9551.92326="",9551.92326="***"),"-",9551.92326/599501.49446*100)</f>
        <v>1.5933110006012379</v>
      </c>
      <c r="D35" s="10">
        <f>IF(OR(11153.56591="",11153.56591="***"),"-",11153.56591/801858.14608*100)</f>
        <v>1.3909649686201764</v>
      </c>
      <c r="E35" s="10">
        <f>IF(OR(16522.44166="",16522.44166="***"),"-",16522.44166/831797.47999*100)</f>
        <v>1.986353897128738</v>
      </c>
      <c r="F35" s="10">
        <f>IF(OR(15185.75085="",15185.75085="***"),"-",15185.75085/864624.24072*100)</f>
        <v>1.7563410941791713</v>
      </c>
      <c r="G35" s="114">
        <f>IF(OR(16975.75084="",16975.75084="***"),"-",16975.75084/923234.79735*100)</f>
        <v>1.8387251963125975</v>
      </c>
    </row>
    <row r="36" spans="1:7" x14ac:dyDescent="0.2">
      <c r="A36" s="118" t="s">
        <v>68</v>
      </c>
      <c r="B36" s="10">
        <f>IF(OR(6679.27153="",6679.27153="***"),"-",6679.27153/494274.03793*100)</f>
        <v>1.3513296304156543</v>
      </c>
      <c r="C36" s="10">
        <f>IF(OR(6622.55364="",6622.55364="***"),"-",6622.55364/599501.49446*100)</f>
        <v>1.1046767524683578</v>
      </c>
      <c r="D36" s="10">
        <f>IF(OR(11822.15649="",11822.15649="***"),"-",11822.15649/801858.14608*100)</f>
        <v>1.4743451254806512</v>
      </c>
      <c r="E36" s="10">
        <f>IF(OR(11070.39357="",11070.39357="***"),"-",11070.39357/831797.47999*100)</f>
        <v>1.3309001092589376</v>
      </c>
      <c r="F36" s="10">
        <f>IF(OR(12231.45182="",12231.45182="***"),"-",12231.45182/864624.24072*100)</f>
        <v>1.4146552044174106</v>
      </c>
      <c r="G36" s="114">
        <f>IF(OR(12571.47304="",12571.47304="***"),"-",12571.47304/923234.79735*100)</f>
        <v>1.3616766911390723</v>
      </c>
    </row>
    <row r="37" spans="1:7" ht="15.75" customHeight="1" x14ac:dyDescent="0.2">
      <c r="A37" s="73" t="s">
        <v>106</v>
      </c>
      <c r="B37" s="10">
        <f>IF(OR(10641.9946="",10641.9946="***"),"-",10641.9946/494274.03793*100)</f>
        <v>2.1530555488142267</v>
      </c>
      <c r="C37" s="10">
        <f>IF(OR(8044.1312="",8044.1312="***"),"-",8044.1312/599501.49446*100)</f>
        <v>1.3418033606814839</v>
      </c>
      <c r="D37" s="10">
        <f>IF(OR(14689.33633="",14689.33633="***"),"-",14689.33633/801858.14608*100)</f>
        <v>1.8319120909117099</v>
      </c>
      <c r="E37" s="10">
        <f>IF(OR(13792.95707="",13792.95707="***"),"-",13792.95707/831797.47999*100)</f>
        <v>1.6582109710365822</v>
      </c>
      <c r="F37" s="10">
        <f>IF(OR(10139.14634="",10139.14634="***"),"-",10139.14634/864624.24072*100)</f>
        <v>1.1726650563899077</v>
      </c>
      <c r="G37" s="114">
        <f>IF(OR(12142.8972="",12142.8972="***"),"-",12142.8972/923234.79735*100)</f>
        <v>1.3152555812296365</v>
      </c>
    </row>
    <row r="38" spans="1:7" ht="15.75" customHeight="1" x14ac:dyDescent="0.2">
      <c r="A38" s="118" t="s">
        <v>107</v>
      </c>
      <c r="B38" s="10">
        <f>IF(OR(6059.62027="",6059.62027="***"),"-",6059.62027/494274.03793*100)</f>
        <v>1.2259636972594088</v>
      </c>
      <c r="C38" s="10">
        <f>IF(OR(15379.92177="",15379.92177="***"),"-",15379.92177/599501.49446*100)</f>
        <v>2.565451781542837</v>
      </c>
      <c r="D38" s="10">
        <f>IF(OR(11219.45494="",11219.45494="***"),"-",11219.45494/801858.14608*100)</f>
        <v>1.3991820117869893</v>
      </c>
      <c r="E38" s="10">
        <f>IF(OR(10565.62619="",10565.62619="***"),"-",10565.62619/831797.47999*100)</f>
        <v>1.2702161817233473</v>
      </c>
      <c r="F38" s="10">
        <f>IF(OR(10527.80221="",10527.80221="***"),"-",10527.80221/864624.24072*100)</f>
        <v>1.2176158976566704</v>
      </c>
      <c r="G38" s="114">
        <f>IF(OR(10208.36235="",10208.36235="***"),"-",10208.36235/923234.79735*100)</f>
        <v>1.1057168099925929</v>
      </c>
    </row>
    <row r="39" spans="1:7" x14ac:dyDescent="0.2">
      <c r="A39" s="119" t="s">
        <v>71</v>
      </c>
      <c r="B39" s="41">
        <f>IF(OR(5079.2992="",5079.2992="***"),"-",5079.2992/494274.03793*100)</f>
        <v>1.0276281597293484</v>
      </c>
      <c r="C39" s="41">
        <f>IF(OR(6278.47991="",6278.47991="***"),"-",6278.47991/599501.49446*100)</f>
        <v>1.0472834459996352</v>
      </c>
      <c r="D39" s="41">
        <f>IF(OR(8975.29304="",8975.29304="***"),"-",8975.29304/801858.14608*100)</f>
        <v>1.1193118239026472</v>
      </c>
      <c r="E39" s="41">
        <f>IF(OR(7324.83383="",7324.83383="***"),"-",7324.83383/831797.47999*100)</f>
        <v>0.88060303213326163</v>
      </c>
      <c r="F39" s="41">
        <f>IF(OR(9097.78512="",9097.78512="***"),"-",9097.78512/864624.24072*100)</f>
        <v>1.0522241560592827</v>
      </c>
      <c r="G39" s="106">
        <f>IF(OR(8929.07148="",8929.07148="***"),"-",8929.07148/923234.79735*100)</f>
        <v>0.96715066477449652</v>
      </c>
    </row>
  </sheetData>
  <mergeCells count="1">
    <mergeCell ref="A2:F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workbookViewId="0">
      <selection activeCell="A2" sqref="A2:D2"/>
    </sheetView>
  </sheetViews>
  <sheetFormatPr defaultRowHeight="12" x14ac:dyDescent="0.2"/>
  <cols>
    <col min="1" max="1" width="56.5703125" style="24" customWidth="1"/>
    <col min="2" max="2" width="18.42578125" style="24" customWidth="1"/>
    <col min="3" max="16384" width="9.140625" style="24"/>
  </cols>
  <sheetData>
    <row r="2" spans="1:6" x14ac:dyDescent="0.2">
      <c r="A2" s="141" t="s">
        <v>101</v>
      </c>
      <c r="B2" s="141"/>
      <c r="C2" s="141"/>
      <c r="D2" s="141"/>
      <c r="E2" s="45"/>
      <c r="F2" s="45"/>
    </row>
    <row r="3" spans="1:6" x14ac:dyDescent="0.2">
      <c r="A3" s="25"/>
      <c r="B3" s="25"/>
      <c r="C3" s="25"/>
      <c r="D3" s="25"/>
      <c r="E3" s="25"/>
      <c r="F3" s="25"/>
    </row>
    <row r="4" spans="1:6" x14ac:dyDescent="0.2">
      <c r="A4" s="25"/>
      <c r="B4" s="25"/>
      <c r="C4" s="25"/>
      <c r="D4" s="25"/>
      <c r="E4" s="25"/>
      <c r="F4" s="25"/>
    </row>
    <row r="5" spans="1:6" x14ac:dyDescent="0.2">
      <c r="A5" s="25"/>
      <c r="B5" s="25"/>
      <c r="C5" s="25"/>
      <c r="D5" s="25"/>
      <c r="E5" s="25"/>
      <c r="F5" s="25"/>
    </row>
    <row r="6" spans="1:6" x14ac:dyDescent="0.2">
      <c r="A6" s="25"/>
      <c r="B6" s="25"/>
      <c r="C6" s="25"/>
      <c r="D6" s="25"/>
      <c r="E6" s="25"/>
      <c r="F6" s="25"/>
    </row>
    <row r="7" spans="1:6" x14ac:dyDescent="0.2">
      <c r="A7" s="25"/>
      <c r="B7" s="25"/>
      <c r="C7" s="25"/>
      <c r="D7" s="25"/>
      <c r="E7" s="25"/>
      <c r="F7" s="25"/>
    </row>
    <row r="8" spans="1:6" x14ac:dyDescent="0.2">
      <c r="A8" s="25"/>
      <c r="B8" s="25"/>
      <c r="C8" s="25"/>
      <c r="D8" s="25"/>
      <c r="E8" s="25"/>
      <c r="F8" s="25"/>
    </row>
    <row r="9" spans="1:6" x14ac:dyDescent="0.2">
      <c r="A9" s="25"/>
      <c r="B9" s="25"/>
      <c r="C9" s="25"/>
      <c r="D9" s="25"/>
      <c r="E9" s="25"/>
      <c r="F9" s="25"/>
    </row>
    <row r="10" spans="1:6" x14ac:dyDescent="0.2">
      <c r="A10" s="25"/>
      <c r="B10" s="25"/>
      <c r="C10" s="25"/>
      <c r="D10" s="25"/>
      <c r="E10" s="25"/>
      <c r="F10" s="25"/>
    </row>
    <row r="11" spans="1:6" x14ac:dyDescent="0.2">
      <c r="A11" s="25"/>
      <c r="B11" s="25"/>
      <c r="C11" s="25"/>
      <c r="D11" s="25"/>
      <c r="E11" s="25"/>
      <c r="F11" s="25"/>
    </row>
    <row r="12" spans="1:6" x14ac:dyDescent="0.2">
      <c r="A12" s="25"/>
      <c r="B12" s="25"/>
      <c r="C12" s="25"/>
      <c r="D12" s="25"/>
      <c r="E12" s="25"/>
      <c r="F12" s="25"/>
    </row>
    <row r="13" spans="1:6" x14ac:dyDescent="0.2">
      <c r="A13" s="25"/>
      <c r="B13" s="25"/>
      <c r="C13" s="25"/>
      <c r="D13" s="25"/>
      <c r="E13" s="25"/>
      <c r="F13" s="25"/>
    </row>
    <row r="14" spans="1:6" x14ac:dyDescent="0.2">
      <c r="A14" s="25"/>
      <c r="B14" s="25"/>
      <c r="C14" s="25"/>
      <c r="D14" s="25"/>
      <c r="E14" s="25"/>
      <c r="F14" s="25"/>
    </row>
    <row r="15" spans="1:6" x14ac:dyDescent="0.2">
      <c r="A15" s="25"/>
      <c r="B15" s="25"/>
      <c r="C15" s="25"/>
      <c r="D15" s="25"/>
      <c r="E15" s="25"/>
      <c r="F15" s="25"/>
    </row>
    <row r="16" spans="1:6" x14ac:dyDescent="0.2">
      <c r="A16" s="25"/>
      <c r="B16" s="25"/>
      <c r="C16" s="25"/>
      <c r="D16" s="25"/>
      <c r="E16" s="25"/>
      <c r="F16" s="25"/>
    </row>
    <row r="17" spans="1:6" x14ac:dyDescent="0.2">
      <c r="A17" s="25"/>
      <c r="B17" s="25"/>
      <c r="C17" s="25"/>
      <c r="D17" s="25"/>
      <c r="E17" s="25"/>
      <c r="F17" s="25"/>
    </row>
    <row r="18" spans="1:6" x14ac:dyDescent="0.2">
      <c r="A18" s="25"/>
      <c r="B18" s="25"/>
      <c r="C18" s="25"/>
      <c r="D18" s="25"/>
      <c r="E18" s="25"/>
      <c r="F18" s="25"/>
    </row>
    <row r="19" spans="1:6" x14ac:dyDescent="0.2">
      <c r="A19" s="25"/>
      <c r="B19" s="25"/>
      <c r="C19" s="25"/>
      <c r="D19" s="25"/>
      <c r="E19" s="25"/>
      <c r="F19" s="25"/>
    </row>
    <row r="20" spans="1:6" x14ac:dyDescent="0.2">
      <c r="A20" s="26"/>
    </row>
    <row r="21" spans="1:6" x14ac:dyDescent="0.2">
      <c r="A21" s="115" t="s">
        <v>75</v>
      </c>
      <c r="B21" s="116" t="s">
        <v>76</v>
      </c>
    </row>
    <row r="22" spans="1:6" x14ac:dyDescent="0.2">
      <c r="A22" s="83" t="s">
        <v>77</v>
      </c>
      <c r="B22" s="113">
        <v>12.4</v>
      </c>
    </row>
    <row r="23" spans="1:6" x14ac:dyDescent="0.2">
      <c r="A23" s="72" t="s">
        <v>78</v>
      </c>
      <c r="B23" s="114">
        <v>1.8</v>
      </c>
    </row>
    <row r="24" spans="1:6" x14ac:dyDescent="0.2">
      <c r="A24" s="72" t="s">
        <v>79</v>
      </c>
      <c r="B24" s="114">
        <v>3.3</v>
      </c>
    </row>
    <row r="25" spans="1:6" x14ac:dyDescent="0.2">
      <c r="A25" s="72" t="s">
        <v>80</v>
      </c>
      <c r="B25" s="114">
        <v>17.2</v>
      </c>
    </row>
    <row r="26" spans="1:6" x14ac:dyDescent="0.2">
      <c r="A26" s="72" t="s">
        <v>102</v>
      </c>
      <c r="B26" s="114">
        <v>0.2</v>
      </c>
    </row>
    <row r="27" spans="1:6" x14ac:dyDescent="0.2">
      <c r="A27" s="72" t="s">
        <v>103</v>
      </c>
      <c r="B27" s="114">
        <v>14</v>
      </c>
    </row>
    <row r="28" spans="1:6" x14ac:dyDescent="0.2">
      <c r="A28" s="72" t="s">
        <v>83</v>
      </c>
      <c r="B28" s="114">
        <v>18.399999999999999</v>
      </c>
    </row>
    <row r="29" spans="1:6" ht="14.25" customHeight="1" x14ac:dyDescent="0.2">
      <c r="A29" s="72" t="s">
        <v>84</v>
      </c>
      <c r="B29" s="114">
        <v>22.2</v>
      </c>
    </row>
    <row r="30" spans="1:6" x14ac:dyDescent="0.2">
      <c r="A30" s="84" t="s">
        <v>85</v>
      </c>
      <c r="B30" s="106">
        <v>10.5</v>
      </c>
    </row>
    <row r="32" spans="1:6" x14ac:dyDescent="0.2">
      <c r="A32" s="115" t="s">
        <v>86</v>
      </c>
      <c r="B32" s="116" t="s">
        <v>76</v>
      </c>
    </row>
    <row r="33" spans="1:2" x14ac:dyDescent="0.2">
      <c r="A33" s="83" t="s">
        <v>77</v>
      </c>
      <c r="B33" s="113">
        <v>12.6</v>
      </c>
    </row>
    <row r="34" spans="1:2" x14ac:dyDescent="0.2">
      <c r="A34" s="72" t="s">
        <v>78</v>
      </c>
      <c r="B34" s="114">
        <v>1.6</v>
      </c>
    </row>
    <row r="35" spans="1:2" x14ac:dyDescent="0.2">
      <c r="A35" s="72" t="s">
        <v>79</v>
      </c>
      <c r="B35" s="114">
        <v>3.2</v>
      </c>
    </row>
    <row r="36" spans="1:2" x14ac:dyDescent="0.2">
      <c r="A36" s="72" t="s">
        <v>80</v>
      </c>
      <c r="B36" s="114">
        <v>13.6</v>
      </c>
    </row>
    <row r="37" spans="1:2" x14ac:dyDescent="0.2">
      <c r="A37" s="72" t="s">
        <v>81</v>
      </c>
      <c r="B37" s="114">
        <v>0.2</v>
      </c>
    </row>
    <row r="38" spans="1:2" x14ac:dyDescent="0.2">
      <c r="A38" s="72" t="s">
        <v>82</v>
      </c>
      <c r="B38" s="114">
        <v>14.6</v>
      </c>
    </row>
    <row r="39" spans="1:2" x14ac:dyDescent="0.2">
      <c r="A39" s="72" t="s">
        <v>83</v>
      </c>
      <c r="B39" s="114">
        <v>17.3</v>
      </c>
    </row>
    <row r="40" spans="1:2" x14ac:dyDescent="0.2">
      <c r="A40" s="72" t="s">
        <v>84</v>
      </c>
      <c r="B40" s="114">
        <v>25.6</v>
      </c>
    </row>
    <row r="41" spans="1:2" x14ac:dyDescent="0.2">
      <c r="A41" s="84" t="s">
        <v>85</v>
      </c>
      <c r="B41" s="106">
        <v>11.3</v>
      </c>
    </row>
  </sheetData>
  <mergeCells count="1">
    <mergeCell ref="A2:D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workbookViewId="0">
      <selection activeCell="A2" sqref="A2:J2"/>
    </sheetView>
  </sheetViews>
  <sheetFormatPr defaultRowHeight="12" x14ac:dyDescent="0.2"/>
  <cols>
    <col min="1" max="9" width="9.140625" style="24"/>
    <col min="10" max="10" width="11.42578125" style="24" customWidth="1"/>
    <col min="11" max="11" width="11.5703125" style="24" customWidth="1"/>
    <col min="12" max="12" width="11.28515625" style="24" customWidth="1"/>
    <col min="13" max="13" width="11.7109375" style="24" customWidth="1"/>
    <col min="14" max="16384" width="9.140625" style="24"/>
  </cols>
  <sheetData>
    <row r="2" spans="1:10" x14ac:dyDescent="0.2">
      <c r="A2" s="141" t="s">
        <v>108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2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x14ac:dyDescent="0.2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x14ac:dyDescent="0.2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3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3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3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1" spans="1:13" x14ac:dyDescent="0.2">
      <c r="A21" s="90" t="s">
        <v>0</v>
      </c>
      <c r="B21" s="120" t="s">
        <v>1</v>
      </c>
      <c r="C21" s="120" t="s">
        <v>2</v>
      </c>
      <c r="D21" s="120" t="s">
        <v>3</v>
      </c>
      <c r="E21" s="120" t="s">
        <v>4</v>
      </c>
      <c r="F21" s="120" t="s">
        <v>5</v>
      </c>
      <c r="G21" s="120" t="s">
        <v>6</v>
      </c>
      <c r="H21" s="120" t="s">
        <v>7</v>
      </c>
      <c r="I21" s="120" t="s">
        <v>8</v>
      </c>
      <c r="J21" s="120" t="s">
        <v>9</v>
      </c>
      <c r="K21" s="121" t="s">
        <v>10</v>
      </c>
      <c r="L21" s="120" t="s">
        <v>11</v>
      </c>
      <c r="M21" s="122" t="s">
        <v>12</v>
      </c>
    </row>
    <row r="22" spans="1:13" x14ac:dyDescent="0.2">
      <c r="A22" s="123">
        <v>2016</v>
      </c>
      <c r="B22" s="124">
        <v>-90.5</v>
      </c>
      <c r="C22" s="124">
        <v>-148.5</v>
      </c>
      <c r="D22" s="124">
        <v>-205.5</v>
      </c>
      <c r="E22" s="124">
        <v>-176.4</v>
      </c>
      <c r="F22" s="124">
        <v>-174.7</v>
      </c>
      <c r="G22" s="124">
        <v>-167.2</v>
      </c>
      <c r="H22" s="124">
        <v>-148.5</v>
      </c>
      <c r="I22" s="124">
        <v>-183.1</v>
      </c>
      <c r="J22" s="124">
        <v>-168</v>
      </c>
      <c r="K22" s="125">
        <v>-179.4</v>
      </c>
      <c r="L22" s="125">
        <v>-135.9</v>
      </c>
      <c r="M22" s="125">
        <v>-197.9</v>
      </c>
    </row>
    <row r="23" spans="1:13" x14ac:dyDescent="0.2">
      <c r="A23" s="126">
        <v>2017</v>
      </c>
      <c r="B23" s="127">
        <v>-127.3</v>
      </c>
      <c r="C23" s="127">
        <v>-156.1</v>
      </c>
      <c r="D23" s="127">
        <v>-219.1</v>
      </c>
      <c r="E23" s="127">
        <v>-207.3</v>
      </c>
      <c r="F23" s="127">
        <v>-225.7</v>
      </c>
      <c r="G23" s="127">
        <v>-217.7</v>
      </c>
      <c r="H23" s="127">
        <v>-205.3</v>
      </c>
      <c r="I23" s="127">
        <v>-221.8</v>
      </c>
      <c r="J23" s="127">
        <v>-206.9</v>
      </c>
      <c r="K23" s="128">
        <v>-197.7</v>
      </c>
      <c r="L23" s="128">
        <v>-183.2</v>
      </c>
      <c r="M23" s="128">
        <v>-238.3</v>
      </c>
    </row>
    <row r="24" spans="1:13" x14ac:dyDescent="0.2">
      <c r="A24" s="126">
        <v>2018</v>
      </c>
      <c r="B24" s="127">
        <v>-154</v>
      </c>
      <c r="C24" s="127">
        <v>-212.1</v>
      </c>
      <c r="D24" s="127">
        <v>-282</v>
      </c>
      <c r="E24" s="127">
        <v>-244.9</v>
      </c>
      <c r="F24" s="127">
        <v>-282.60000000000002</v>
      </c>
      <c r="G24" s="127">
        <v>-244.6</v>
      </c>
      <c r="H24" s="127">
        <v>-269.2</v>
      </c>
      <c r="I24" s="127">
        <v>-262.10000000000002</v>
      </c>
      <c r="J24" s="127">
        <v>-266.7</v>
      </c>
      <c r="K24" s="128">
        <v>-281.60000000000002</v>
      </c>
      <c r="L24" s="128">
        <v>-253.70000000000005</v>
      </c>
      <c r="M24" s="128">
        <v>-300.49999999999994</v>
      </c>
    </row>
    <row r="25" spans="1:13" x14ac:dyDescent="0.2">
      <c r="A25" s="129">
        <v>2019</v>
      </c>
      <c r="B25" s="130">
        <v>-138.30000000000001</v>
      </c>
      <c r="C25" s="130">
        <v>-217.9</v>
      </c>
      <c r="D25" s="130">
        <v>-276.60000000000002</v>
      </c>
      <c r="E25" s="130">
        <v>-300</v>
      </c>
      <c r="F25" s="130">
        <v>-271.10000000000002</v>
      </c>
      <c r="G25" s="130">
        <v>-243.2</v>
      </c>
      <c r="H25" s="130">
        <v>-278.89999999999998</v>
      </c>
      <c r="I25" s="130">
        <v>-258.5</v>
      </c>
      <c r="J25" s="130">
        <v>-262.89999999999998</v>
      </c>
      <c r="K25" s="131">
        <v>-257</v>
      </c>
      <c r="L25" s="131">
        <v>-237.5</v>
      </c>
      <c r="M25" s="131">
        <v>-321.39999999999998</v>
      </c>
    </row>
    <row r="26" spans="1:13" x14ac:dyDescent="0.2">
      <c r="A26" s="129">
        <v>2020</v>
      </c>
      <c r="B26" s="130">
        <v>-160.30000000000001</v>
      </c>
      <c r="C26" s="130">
        <v>-239.5</v>
      </c>
      <c r="D26" s="130">
        <v>-290.3</v>
      </c>
      <c r="E26" s="130">
        <v>-135.80000000000001</v>
      </c>
      <c r="F26" s="130">
        <v>-173.6</v>
      </c>
      <c r="G26" s="130">
        <v>-223.7</v>
      </c>
      <c r="H26" s="130">
        <v>-287.39999999999998</v>
      </c>
      <c r="I26" s="130">
        <v>-269.8</v>
      </c>
      <c r="J26" s="130">
        <v>-296.10000000000002</v>
      </c>
      <c r="K26" s="130">
        <v>-244.2</v>
      </c>
      <c r="L26" s="130">
        <v>-260.89999999999998</v>
      </c>
      <c r="M26" s="130">
        <v>-348.9</v>
      </c>
    </row>
    <row r="27" spans="1:13" x14ac:dyDescent="0.2">
      <c r="A27" s="129">
        <v>2021</v>
      </c>
      <c r="B27" s="130">
        <v>-203.1</v>
      </c>
      <c r="C27" s="130">
        <v>-294.5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</row>
  </sheetData>
  <mergeCells count="1">
    <mergeCell ref="A2:J2"/>
  </mergeCells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A2" sqref="A2:E2"/>
    </sheetView>
  </sheetViews>
  <sheetFormatPr defaultRowHeight="12" x14ac:dyDescent="0.2"/>
  <cols>
    <col min="1" max="1" width="31.5703125" style="24" customWidth="1"/>
    <col min="2" max="2" width="17.7109375" style="24" customWidth="1"/>
    <col min="3" max="3" width="18" style="24" customWidth="1"/>
    <col min="4" max="4" width="22.140625" style="24" customWidth="1"/>
    <col min="5" max="16384" width="9.140625" style="24"/>
  </cols>
  <sheetData>
    <row r="2" spans="1:6" x14ac:dyDescent="0.2">
      <c r="A2" s="147" t="s">
        <v>109</v>
      </c>
      <c r="B2" s="147"/>
      <c r="C2" s="147"/>
      <c r="D2" s="147"/>
      <c r="E2" s="147"/>
      <c r="F2" s="78"/>
    </row>
    <row r="3" spans="1:6" x14ac:dyDescent="0.2">
      <c r="A3" s="25"/>
      <c r="B3" s="25"/>
      <c r="C3" s="25"/>
      <c r="D3" s="25"/>
      <c r="E3" s="25"/>
      <c r="F3" s="25"/>
    </row>
    <row r="4" spans="1:6" x14ac:dyDescent="0.2">
      <c r="A4" s="25"/>
      <c r="B4" s="25"/>
      <c r="C4" s="25"/>
      <c r="D4" s="25"/>
      <c r="E4" s="25"/>
      <c r="F4" s="25"/>
    </row>
    <row r="5" spans="1:6" x14ac:dyDescent="0.2">
      <c r="A5" s="25"/>
      <c r="B5" s="25"/>
      <c r="C5" s="25"/>
      <c r="D5" s="25"/>
      <c r="E5" s="25"/>
      <c r="F5" s="25"/>
    </row>
    <row r="6" spans="1:6" x14ac:dyDescent="0.2">
      <c r="A6" s="25"/>
      <c r="B6" s="25"/>
      <c r="C6" s="25"/>
      <c r="D6" s="25"/>
      <c r="E6" s="25"/>
      <c r="F6" s="25"/>
    </row>
    <row r="7" spans="1:6" x14ac:dyDescent="0.2">
      <c r="A7" s="25"/>
      <c r="B7" s="25"/>
      <c r="C7" s="25"/>
      <c r="D7" s="25"/>
      <c r="E7" s="25"/>
      <c r="F7" s="25"/>
    </row>
    <row r="8" spans="1:6" x14ac:dyDescent="0.2">
      <c r="A8" s="25"/>
      <c r="B8" s="25"/>
      <c r="C8" s="25"/>
      <c r="D8" s="25"/>
      <c r="E8" s="25"/>
      <c r="F8" s="25"/>
    </row>
    <row r="9" spans="1:6" x14ac:dyDescent="0.2">
      <c r="A9" s="25"/>
      <c r="B9" s="25"/>
      <c r="C9" s="25"/>
      <c r="D9" s="25"/>
      <c r="E9" s="25"/>
      <c r="F9" s="25"/>
    </row>
    <row r="10" spans="1:6" x14ac:dyDescent="0.2">
      <c r="A10" s="25"/>
      <c r="B10" s="25"/>
      <c r="C10" s="25"/>
      <c r="D10" s="25"/>
      <c r="E10" s="25"/>
      <c r="F10" s="25"/>
    </row>
    <row r="11" spans="1:6" x14ac:dyDescent="0.2">
      <c r="A11" s="25"/>
      <c r="B11" s="25"/>
      <c r="C11" s="25"/>
      <c r="D11" s="25"/>
      <c r="E11" s="25"/>
      <c r="F11" s="25"/>
    </row>
    <row r="12" spans="1:6" x14ac:dyDescent="0.2">
      <c r="A12" s="25"/>
      <c r="B12" s="25"/>
      <c r="C12" s="25"/>
      <c r="D12" s="25"/>
      <c r="E12" s="25"/>
      <c r="F12" s="25"/>
    </row>
    <row r="13" spans="1:6" x14ac:dyDescent="0.2">
      <c r="A13" s="25"/>
      <c r="B13" s="25"/>
      <c r="C13" s="25"/>
      <c r="D13" s="25"/>
      <c r="E13" s="25"/>
      <c r="F13" s="25"/>
    </row>
    <row r="14" spans="1:6" x14ac:dyDescent="0.2">
      <c r="A14" s="25"/>
      <c r="B14" s="25"/>
      <c r="C14" s="25"/>
      <c r="D14" s="25"/>
      <c r="E14" s="25"/>
      <c r="F14" s="25"/>
    </row>
    <row r="15" spans="1:6" x14ac:dyDescent="0.2">
      <c r="A15" s="25"/>
      <c r="B15" s="25"/>
      <c r="C15" s="25"/>
      <c r="D15" s="25"/>
      <c r="E15" s="25"/>
      <c r="F15" s="25"/>
    </row>
    <row r="16" spans="1:6" x14ac:dyDescent="0.2">
      <c r="A16" s="25"/>
      <c r="B16" s="25"/>
      <c r="C16" s="25"/>
      <c r="D16" s="25"/>
      <c r="E16" s="25"/>
      <c r="F16" s="25"/>
    </row>
    <row r="17" spans="1:6" x14ac:dyDescent="0.2">
      <c r="A17" s="25"/>
      <c r="B17" s="25"/>
      <c r="C17" s="25"/>
      <c r="D17" s="25"/>
      <c r="E17" s="25"/>
      <c r="F17" s="25"/>
    </row>
    <row r="18" spans="1:6" x14ac:dyDescent="0.2">
      <c r="A18" s="25"/>
      <c r="B18" s="25"/>
      <c r="C18" s="25"/>
      <c r="D18" s="25"/>
      <c r="E18" s="25"/>
      <c r="F18" s="25"/>
    </row>
    <row r="19" spans="1:6" x14ac:dyDescent="0.2">
      <c r="A19" s="25"/>
      <c r="B19" s="25"/>
      <c r="C19" s="25"/>
      <c r="D19" s="25"/>
      <c r="E19" s="25"/>
      <c r="F19" s="25"/>
    </row>
    <row r="20" spans="1:6" x14ac:dyDescent="0.2">
      <c r="A20" s="25"/>
      <c r="B20" s="25"/>
      <c r="C20" s="25"/>
      <c r="D20" s="25"/>
      <c r="E20" s="25"/>
      <c r="F20" s="25"/>
    </row>
    <row r="21" spans="1:6" x14ac:dyDescent="0.2">
      <c r="A21" s="25"/>
      <c r="B21" s="25"/>
      <c r="C21" s="25"/>
      <c r="D21" s="25"/>
      <c r="E21" s="25"/>
      <c r="F21" s="25"/>
    </row>
    <row r="22" spans="1:6" x14ac:dyDescent="0.2">
      <c r="A22" s="25"/>
      <c r="B22" s="25"/>
      <c r="C22" s="25"/>
      <c r="D22" s="25"/>
      <c r="E22" s="25"/>
      <c r="F22" s="25"/>
    </row>
    <row r="24" spans="1:6" x14ac:dyDescent="0.2">
      <c r="A24" s="132" t="s">
        <v>110</v>
      </c>
      <c r="B24" s="133" t="s">
        <v>111</v>
      </c>
      <c r="C24" s="133" t="s">
        <v>112</v>
      </c>
      <c r="D24" s="134" t="s">
        <v>113</v>
      </c>
    </row>
    <row r="25" spans="1:6" x14ac:dyDescent="0.2">
      <c r="A25" s="135" t="s">
        <v>114</v>
      </c>
      <c r="B25" s="32">
        <v>255.2</v>
      </c>
      <c r="C25" s="32">
        <v>494.3</v>
      </c>
      <c r="D25" s="34">
        <v>-239.1</v>
      </c>
    </row>
    <row r="26" spans="1:6" x14ac:dyDescent="0.2">
      <c r="A26" s="136" t="s">
        <v>115</v>
      </c>
      <c r="B26" s="137">
        <v>316.10000000000002</v>
      </c>
      <c r="C26" s="137">
        <v>599.5</v>
      </c>
      <c r="D26" s="138">
        <v>-283.39999999999998</v>
      </c>
    </row>
    <row r="27" spans="1:6" x14ac:dyDescent="0.2">
      <c r="A27" s="136" t="s">
        <v>116</v>
      </c>
      <c r="B27" s="137">
        <v>435.8</v>
      </c>
      <c r="C27" s="137">
        <v>801.9</v>
      </c>
      <c r="D27" s="138">
        <v>-366.1</v>
      </c>
    </row>
    <row r="28" spans="1:6" x14ac:dyDescent="0.2">
      <c r="A28" s="136" t="s">
        <v>117</v>
      </c>
      <c r="B28" s="137">
        <v>475.7</v>
      </c>
      <c r="C28" s="137">
        <v>831.8</v>
      </c>
      <c r="D28" s="138">
        <v>-356.1</v>
      </c>
    </row>
    <row r="29" spans="1:6" x14ac:dyDescent="0.2">
      <c r="A29" s="136" t="s">
        <v>118</v>
      </c>
      <c r="B29" s="137">
        <v>464.8</v>
      </c>
      <c r="C29" s="137">
        <v>864.6</v>
      </c>
      <c r="D29" s="138">
        <v>-399.8</v>
      </c>
    </row>
    <row r="30" spans="1:6" x14ac:dyDescent="0.2">
      <c r="A30" s="136" t="s">
        <v>119</v>
      </c>
      <c r="B30" s="137">
        <v>425.6</v>
      </c>
      <c r="C30" s="137">
        <v>923.2</v>
      </c>
      <c r="D30" s="138">
        <v>-497.6</v>
      </c>
    </row>
  </sheetData>
  <mergeCells count="1">
    <mergeCell ref="A2:E2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4"/>
  <sheetViews>
    <sheetView workbookViewId="0">
      <selection activeCell="A2" sqref="A2:L2"/>
    </sheetView>
  </sheetViews>
  <sheetFormatPr defaultRowHeight="12" x14ac:dyDescent="0.2"/>
  <cols>
    <col min="1" max="1" width="17.7109375" style="24" customWidth="1"/>
    <col min="2" max="2" width="6.28515625" style="24" bestFit="1" customWidth="1"/>
    <col min="3" max="3" width="6.85546875" style="24" bestFit="1" customWidth="1"/>
    <col min="4" max="4" width="7.7109375" style="24" bestFit="1" customWidth="1"/>
    <col min="5" max="5" width="7.5703125" style="24" bestFit="1" customWidth="1"/>
    <col min="6" max="6" width="6.7109375" style="24" bestFit="1" customWidth="1"/>
    <col min="7" max="7" width="7.5703125" style="24" bestFit="1" customWidth="1"/>
    <col min="8" max="8" width="7.85546875" style="24" bestFit="1" customWidth="1"/>
    <col min="9" max="9" width="9.28515625" style="24" bestFit="1" customWidth="1"/>
    <col min="10" max="10" width="7.5703125" style="24" bestFit="1" customWidth="1"/>
    <col min="11" max="11" width="6.7109375" style="24" bestFit="1" customWidth="1"/>
    <col min="12" max="12" width="7.5703125" style="24" bestFit="1" customWidth="1"/>
    <col min="13" max="13" width="8.42578125" style="24" bestFit="1" customWidth="1"/>
    <col min="14" max="14" width="6.140625" style="24" bestFit="1" customWidth="1"/>
    <col min="15" max="15" width="6.85546875" style="24" bestFit="1" customWidth="1"/>
    <col min="16" max="16" width="7.7109375" style="24" bestFit="1" customWidth="1"/>
    <col min="17" max="17" width="7.5703125" style="24" bestFit="1" customWidth="1"/>
    <col min="18" max="18" width="9.28515625" style="24" customWidth="1"/>
    <col min="19" max="20" width="9.28515625" style="24" bestFit="1" customWidth="1"/>
    <col min="21" max="21" width="8.28515625" style="24" customWidth="1"/>
    <col min="22" max="22" width="9.140625" style="24" customWidth="1"/>
    <col min="23" max="23" width="8.42578125" style="24" customWidth="1"/>
    <col min="24" max="27" width="9.28515625" style="24" bestFit="1" customWidth="1"/>
    <col min="28" max="16384" width="9.140625" style="24"/>
  </cols>
  <sheetData>
    <row r="2" spans="1:12" x14ac:dyDescent="0.2">
      <c r="A2" s="141" t="s">
        <v>14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2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2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2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2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2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2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2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2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2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2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28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28" x14ac:dyDescent="0.2">
      <c r="A18" s="26"/>
    </row>
    <row r="19" spans="1:28" x14ac:dyDescent="0.2">
      <c r="A19" s="26"/>
    </row>
    <row r="20" spans="1:28" x14ac:dyDescent="0.2">
      <c r="A20" s="26"/>
    </row>
    <row r="21" spans="1:28" x14ac:dyDescent="0.2">
      <c r="A21" s="142"/>
      <c r="B21" s="144">
        <v>2019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>
        <v>2020</v>
      </c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>
        <v>2021</v>
      </c>
      <c r="AA21" s="145"/>
      <c r="AB21" s="27"/>
    </row>
    <row r="22" spans="1:28" x14ac:dyDescent="0.2">
      <c r="A22" s="143"/>
      <c r="B22" s="28" t="s">
        <v>15</v>
      </c>
      <c r="C22" s="28" t="s">
        <v>16</v>
      </c>
      <c r="D22" s="28" t="s">
        <v>17</v>
      </c>
      <c r="E22" s="28" t="s">
        <v>18</v>
      </c>
      <c r="F22" s="28" t="s">
        <v>19</v>
      </c>
      <c r="G22" s="28" t="s">
        <v>20</v>
      </c>
      <c r="H22" s="28" t="s">
        <v>21</v>
      </c>
      <c r="I22" s="28" t="s">
        <v>22</v>
      </c>
      <c r="J22" s="28" t="s">
        <v>23</v>
      </c>
      <c r="K22" s="28" t="s">
        <v>24</v>
      </c>
      <c r="L22" s="28" t="s">
        <v>25</v>
      </c>
      <c r="M22" s="28" t="s">
        <v>26</v>
      </c>
      <c r="N22" s="28" t="s">
        <v>15</v>
      </c>
      <c r="O22" s="28" t="s">
        <v>16</v>
      </c>
      <c r="P22" s="28" t="s">
        <v>17</v>
      </c>
      <c r="Q22" s="28" t="s">
        <v>18</v>
      </c>
      <c r="R22" s="28" t="s">
        <v>19</v>
      </c>
      <c r="S22" s="28" t="s">
        <v>27</v>
      </c>
      <c r="T22" s="28" t="s">
        <v>21</v>
      </c>
      <c r="U22" s="28" t="s">
        <v>28</v>
      </c>
      <c r="V22" s="28" t="s">
        <v>23</v>
      </c>
      <c r="W22" s="28" t="s">
        <v>29</v>
      </c>
      <c r="X22" s="28" t="s">
        <v>25</v>
      </c>
      <c r="Y22" s="28" t="s">
        <v>26</v>
      </c>
      <c r="Z22" s="28" t="s">
        <v>15</v>
      </c>
      <c r="AA22" s="29" t="s">
        <v>16</v>
      </c>
      <c r="AB22" s="27"/>
    </row>
    <row r="23" spans="1:28" ht="24" x14ac:dyDescent="0.2">
      <c r="A23" s="30" t="s">
        <v>30</v>
      </c>
      <c r="B23" s="31">
        <v>107.04955714362214</v>
      </c>
      <c r="C23" s="31">
        <v>103.05469693630643</v>
      </c>
      <c r="D23" s="31">
        <v>106.5540849399146</v>
      </c>
      <c r="E23" s="31">
        <v>83.804058120513616</v>
      </c>
      <c r="F23" s="31">
        <v>97.663587687631406</v>
      </c>
      <c r="G23" s="31">
        <v>96.047232355670943</v>
      </c>
      <c r="H23" s="31">
        <v>108.87893967295254</v>
      </c>
      <c r="I23" s="32">
        <v>93.476142278451405</v>
      </c>
      <c r="J23" s="31">
        <v>116.03027535062083</v>
      </c>
      <c r="K23" s="31">
        <v>112.37403253245004</v>
      </c>
      <c r="L23" s="31">
        <v>99.332915825323369</v>
      </c>
      <c r="M23" s="31">
        <v>81.894486392152885</v>
      </c>
      <c r="N23" s="33">
        <v>100.54069338788538</v>
      </c>
      <c r="O23" s="33">
        <v>111.77933359663091</v>
      </c>
      <c r="P23" s="33">
        <v>85.694935103741471</v>
      </c>
      <c r="Q23" s="32">
        <v>71.283537880135214</v>
      </c>
      <c r="R23" s="33">
        <v>103.90424682350312</v>
      </c>
      <c r="S23" s="33">
        <v>121.7567454858746</v>
      </c>
      <c r="T23" s="32">
        <v>110.31536699031417</v>
      </c>
      <c r="U23" s="32">
        <v>78.37124914745101</v>
      </c>
      <c r="V23" s="34">
        <v>129.49769240283013</v>
      </c>
      <c r="W23" s="34">
        <v>117.50528032013585</v>
      </c>
      <c r="X23" s="35">
        <v>105.05714898180969</v>
      </c>
      <c r="Y23" s="35">
        <v>83.30679503578223</v>
      </c>
      <c r="Z23" s="32">
        <v>90.984457285636111</v>
      </c>
      <c r="AA23" s="36">
        <v>114.31681535818758</v>
      </c>
      <c r="AB23" s="27"/>
    </row>
    <row r="24" spans="1:28" ht="36" x14ac:dyDescent="0.2">
      <c r="A24" s="37" t="s">
        <v>31</v>
      </c>
      <c r="B24" s="38">
        <f>IF(220321.7383="","-",234254.08835/220321.7383*100)</f>
        <v>106.32363840150403</v>
      </c>
      <c r="C24" s="39">
        <f>IF(215472.31369="","-",241409.84081/215472.31369*100)</f>
        <v>112.03752197942065</v>
      </c>
      <c r="D24" s="39">
        <f>IF(242121.38159="","-",257232.04683/242121.38159*100)</f>
        <v>106.24094623150131</v>
      </c>
      <c r="E24" s="39">
        <f>IF(199735.58403="","-",215570.89403/199735.58403*100)</f>
        <v>107.92813662968615</v>
      </c>
      <c r="F24" s="39">
        <f>IF(223023.34378="","-",210534.26912/223023.34378*100)</f>
        <v>94.400104290284631</v>
      </c>
      <c r="G24" s="39">
        <f>IF(214123.17565="","-",202212.33865/214123.17565*100)</f>
        <v>94.437390084542201</v>
      </c>
      <c r="H24" s="39">
        <f>IF(218832.76993="","-",220166.65021/218832.76993*100)</f>
        <v>100.6095432052643</v>
      </c>
      <c r="I24" s="39">
        <f>IF(218601.82808="","-",205803.2912/218601.82808*100)</f>
        <v>94.145274542115814</v>
      </c>
      <c r="J24" s="39">
        <f>IF(207304.07378="","-",238794.12546/207304.07378*100)</f>
        <v>115.19027152038439</v>
      </c>
      <c r="K24" s="39">
        <f>IF(258965.48256="","-",268342.58823/258965.48256*100)</f>
        <v>103.62098669571817</v>
      </c>
      <c r="L24" s="39">
        <f>IF(268843.90574="","-",266552.51729/268843.90574*100)</f>
        <v>99.147688156183818</v>
      </c>
      <c r="M24" s="39">
        <f>IF(218827.70429="","-",218291.815/218827.70429*100)</f>
        <v>99.755109028932736</v>
      </c>
      <c r="N24" s="40">
        <f>IF(234254.08835="","-",219472.10441/234254.08835*100)</f>
        <v>93.68976480021378</v>
      </c>
      <c r="O24" s="40">
        <f>IF(241409.84081="","-",245324.45574/241409.84081*100)</f>
        <v>101.62156394157972</v>
      </c>
      <c r="P24" s="40">
        <f>IF(257232.04683="","-",210230.63314/257232.04683*100)</f>
        <v>81.728010071364707</v>
      </c>
      <c r="Q24" s="40">
        <f>IF(215570.89403="","-",149859.83301/215570.89403*100)</f>
        <v>69.517656214361068</v>
      </c>
      <c r="R24" s="40">
        <f>IF(210534.26912="","-",155710.73078/210534.26912*100)</f>
        <v>73.959803043393492</v>
      </c>
      <c r="S24" s="40">
        <f>IF(202212.33865="","-",189588.31817/202212.33865*100)</f>
        <v>93.757047386781721</v>
      </c>
      <c r="T24" s="41">
        <f>IF(220166.65021="","-",209145.04896/220166.65021*100)</f>
        <v>94.993973319988584</v>
      </c>
      <c r="U24" s="41">
        <f>IF(205803.2912="","-",163909.5874/205803.2912*100)</f>
        <v>79.643812518387932</v>
      </c>
      <c r="V24" s="42">
        <f>IF(238794.12546="","-",212259.13331/238794.12546*100)</f>
        <v>88.887920882105263</v>
      </c>
      <c r="W24" s="43">
        <f>IF(268342.58823="","-",249415.68946/268342.58823*100)</f>
        <v>92.946740621813817</v>
      </c>
      <c r="X24" s="44">
        <f>IF(266552.51729="","-",262029.01246/266552.51729*100)</f>
        <v>98.302959253212165</v>
      </c>
      <c r="Y24" s="43">
        <f>IF(218291.815="","-",218283.24066/218291.815*100)</f>
        <v>99.99607207443853</v>
      </c>
      <c r="Z24" s="41">
        <f>IF(219472.10441="","-",198603.82213/219472.10441*100)</f>
        <v>90.49160150165801</v>
      </c>
      <c r="AA24" s="41">
        <f>IF(245324.45574="","-",227037.56433/245324.45574*100)</f>
        <v>92.545834309572115</v>
      </c>
      <c r="AB24" s="27"/>
    </row>
  </sheetData>
  <mergeCells count="5">
    <mergeCell ref="A2:L2"/>
    <mergeCell ref="A21:A22"/>
    <mergeCell ref="B21:M21"/>
    <mergeCell ref="N21:Y21"/>
    <mergeCell ref="Z21:AA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workbookViewId="0">
      <selection activeCell="A2" sqref="A2:F2"/>
    </sheetView>
  </sheetViews>
  <sheetFormatPr defaultRowHeight="12" x14ac:dyDescent="0.2"/>
  <cols>
    <col min="1" max="1" width="24.42578125" style="24" customWidth="1"/>
    <col min="2" max="2" width="13.5703125" style="24" customWidth="1"/>
    <col min="3" max="3" width="13.7109375" style="24" customWidth="1"/>
    <col min="4" max="4" width="13.5703125" style="24" customWidth="1"/>
    <col min="5" max="5" width="14" style="24" customWidth="1"/>
    <col min="6" max="6" width="13.5703125" style="24" customWidth="1"/>
    <col min="7" max="7" width="13.7109375" style="24" customWidth="1"/>
    <col min="8" max="16384" width="9.140625" style="24"/>
  </cols>
  <sheetData>
    <row r="2" spans="1:7" x14ac:dyDescent="0.2">
      <c r="A2" s="141" t="s">
        <v>32</v>
      </c>
      <c r="B2" s="141"/>
      <c r="C2" s="141"/>
      <c r="D2" s="141"/>
      <c r="E2" s="141"/>
      <c r="F2" s="141"/>
      <c r="G2" s="45"/>
    </row>
    <row r="3" spans="1:7" x14ac:dyDescent="0.2">
      <c r="A3" s="25"/>
      <c r="B3" s="25"/>
      <c r="C3" s="25"/>
      <c r="D3" s="25"/>
      <c r="E3" s="25"/>
      <c r="F3" s="25"/>
      <c r="G3" s="25"/>
    </row>
    <row r="4" spans="1:7" x14ac:dyDescent="0.2">
      <c r="A4" s="25"/>
      <c r="B4" s="25"/>
      <c r="C4" s="25"/>
      <c r="D4" s="25"/>
      <c r="E4" s="25"/>
      <c r="F4" s="25"/>
      <c r="G4" s="25"/>
    </row>
    <row r="5" spans="1:7" x14ac:dyDescent="0.2">
      <c r="A5" s="25"/>
      <c r="B5" s="25"/>
      <c r="C5" s="25"/>
      <c r="D5" s="25"/>
      <c r="E5" s="25"/>
      <c r="F5" s="25"/>
      <c r="G5" s="25"/>
    </row>
    <row r="6" spans="1:7" x14ac:dyDescent="0.2">
      <c r="A6" s="25"/>
      <c r="B6" s="25"/>
      <c r="C6" s="25"/>
      <c r="D6" s="25"/>
      <c r="E6" s="25"/>
      <c r="F6" s="25"/>
      <c r="G6" s="25"/>
    </row>
    <row r="7" spans="1:7" x14ac:dyDescent="0.2">
      <c r="A7" s="25"/>
      <c r="B7" s="25"/>
      <c r="C7" s="25"/>
      <c r="D7" s="25"/>
      <c r="E7" s="25"/>
      <c r="F7" s="25"/>
      <c r="G7" s="25"/>
    </row>
    <row r="8" spans="1:7" x14ac:dyDescent="0.2">
      <c r="A8" s="25"/>
      <c r="B8" s="25"/>
      <c r="C8" s="25"/>
      <c r="D8" s="25"/>
      <c r="E8" s="25"/>
      <c r="F8" s="25"/>
      <c r="G8" s="25"/>
    </row>
    <row r="9" spans="1:7" x14ac:dyDescent="0.2">
      <c r="A9" s="25"/>
      <c r="B9" s="25"/>
      <c r="C9" s="25"/>
      <c r="D9" s="25"/>
      <c r="E9" s="25"/>
      <c r="F9" s="25"/>
      <c r="G9" s="25"/>
    </row>
    <row r="10" spans="1:7" x14ac:dyDescent="0.2">
      <c r="A10" s="25"/>
      <c r="B10" s="25"/>
      <c r="C10" s="25"/>
      <c r="D10" s="25"/>
      <c r="E10" s="25"/>
      <c r="F10" s="25"/>
      <c r="G10" s="25"/>
    </row>
    <row r="11" spans="1:7" x14ac:dyDescent="0.2">
      <c r="A11" s="25"/>
      <c r="B11" s="25"/>
      <c r="C11" s="25"/>
      <c r="D11" s="25"/>
      <c r="E11" s="25"/>
      <c r="F11" s="25"/>
      <c r="G11" s="25"/>
    </row>
    <row r="12" spans="1:7" x14ac:dyDescent="0.2">
      <c r="A12" s="25"/>
      <c r="B12" s="25"/>
      <c r="C12" s="25"/>
      <c r="D12" s="25"/>
      <c r="E12" s="25"/>
      <c r="F12" s="25"/>
      <c r="G12" s="25"/>
    </row>
    <row r="13" spans="1:7" x14ac:dyDescent="0.2">
      <c r="A13" s="25"/>
      <c r="B13" s="25"/>
      <c r="C13" s="25"/>
      <c r="D13" s="25"/>
      <c r="E13" s="25"/>
      <c r="F13" s="25"/>
      <c r="G13" s="25"/>
    </row>
    <row r="14" spans="1:7" x14ac:dyDescent="0.2">
      <c r="A14" s="25"/>
      <c r="B14" s="25"/>
      <c r="C14" s="25"/>
      <c r="D14" s="25"/>
      <c r="E14" s="25"/>
      <c r="F14" s="25"/>
      <c r="G14" s="25"/>
    </row>
    <row r="15" spans="1:7" x14ac:dyDescent="0.2">
      <c r="A15" s="25"/>
      <c r="B15" s="25"/>
      <c r="C15" s="25"/>
      <c r="D15" s="25"/>
      <c r="E15" s="25"/>
      <c r="F15" s="25"/>
      <c r="G15" s="25"/>
    </row>
    <row r="16" spans="1:7" x14ac:dyDescent="0.2">
      <c r="A16" s="25"/>
      <c r="B16" s="25"/>
      <c r="C16" s="25"/>
      <c r="D16" s="25"/>
      <c r="E16" s="25"/>
      <c r="F16" s="25"/>
      <c r="G16" s="25"/>
    </row>
    <row r="17" spans="1:8" x14ac:dyDescent="0.2">
      <c r="A17" s="25"/>
      <c r="B17" s="25"/>
      <c r="C17" s="25"/>
      <c r="D17" s="25"/>
      <c r="E17" s="25"/>
      <c r="F17" s="25"/>
      <c r="G17" s="25"/>
    </row>
    <row r="18" spans="1:8" x14ac:dyDescent="0.2">
      <c r="A18" s="25"/>
      <c r="B18" s="25"/>
      <c r="C18" s="25"/>
      <c r="D18" s="25"/>
      <c r="E18" s="25"/>
      <c r="F18" s="25"/>
      <c r="G18" s="25"/>
    </row>
    <row r="19" spans="1:8" x14ac:dyDescent="0.2">
      <c r="A19" s="25"/>
      <c r="B19" s="25"/>
      <c r="C19" s="25"/>
      <c r="D19" s="25"/>
      <c r="E19" s="25"/>
      <c r="F19" s="25"/>
      <c r="G19" s="25"/>
    </row>
    <row r="20" spans="1:8" x14ac:dyDescent="0.2">
      <c r="A20" s="23"/>
      <c r="B20" s="23"/>
      <c r="C20" s="23"/>
      <c r="D20" s="23"/>
      <c r="E20" s="23"/>
      <c r="F20" s="23"/>
      <c r="G20" s="23"/>
    </row>
    <row r="21" spans="1:8" ht="24" x14ac:dyDescent="0.2">
      <c r="A21" s="46" t="s">
        <v>33</v>
      </c>
      <c r="B21" s="47" t="s">
        <v>34</v>
      </c>
      <c r="C21" s="47" t="s">
        <v>35</v>
      </c>
      <c r="D21" s="47" t="s">
        <v>36</v>
      </c>
      <c r="E21" s="47" t="s">
        <v>37</v>
      </c>
      <c r="F21" s="47" t="s">
        <v>38</v>
      </c>
      <c r="G21" s="48" t="s">
        <v>39</v>
      </c>
      <c r="H21" s="49"/>
    </row>
    <row r="22" spans="1:8" x14ac:dyDescent="0.2">
      <c r="A22" s="50" t="s">
        <v>40</v>
      </c>
      <c r="B22" s="51">
        <f>IF(18014.73407="","-",18014.73407/425641.38619*100)</f>
        <v>4.2323736963769987</v>
      </c>
      <c r="C22" s="32">
        <f>IF(46793.11118="","-",46793.11118/464796.56015*100)</f>
        <v>10.06743921790188</v>
      </c>
      <c r="D22" s="32">
        <f>IF(36803.32395="","-",36803.32395/475663.92916*100)</f>
        <v>7.7372534879810901</v>
      </c>
      <c r="E22" s="32">
        <f>IF(33903.84948="","-",33903.84948/435794.05199*100)</f>
        <v>7.7797871093426441</v>
      </c>
      <c r="F22" s="32">
        <f>IF(27135.48049="","-",27135.48049/316061.51949*100)</f>
        <v>8.5855059273859347</v>
      </c>
      <c r="G22" s="32">
        <f>IF(9683.41654="","-",9683.41654/255220.70381*100)</f>
        <v>3.7941344081586954</v>
      </c>
      <c r="H22" s="27"/>
    </row>
    <row r="23" spans="1:8" x14ac:dyDescent="0.2">
      <c r="A23" s="52" t="s">
        <v>41</v>
      </c>
      <c r="B23" s="53">
        <f>IF(4868.39175="","-",4868.39175/425641.38619*100)</f>
        <v>1.1437778157753724</v>
      </c>
      <c r="C23" s="10">
        <f>IF(26367.96597="","-",26367.96597/464796.56015*100)</f>
        <v>5.6730122876749531</v>
      </c>
      <c r="D23" s="10">
        <f>IF(29320.29306="","-",29320.29306/475663.92916*100)</f>
        <v>6.164077463636616</v>
      </c>
      <c r="E23" s="10">
        <f>IF(18767.25203="","-",18767.25203/435794.05199*100)</f>
        <v>4.3064497884497612</v>
      </c>
      <c r="F23" s="10">
        <f>IF(6556.83655="","-",6556.83655/316061.51949*100)</f>
        <v>2.0745443990081984</v>
      </c>
      <c r="G23" s="10">
        <f>IF(1378.02681="","-",1378.02681/255220.70381*100)</f>
        <v>0.53993535376576551</v>
      </c>
      <c r="H23" s="27"/>
    </row>
    <row r="24" spans="1:8" x14ac:dyDescent="0.2">
      <c r="A24" s="52" t="s">
        <v>42</v>
      </c>
      <c r="B24" s="53">
        <f>IF(398929.36479="","-",398929.36479/425641.38619*100)</f>
        <v>93.724289444899952</v>
      </c>
      <c r="C24" s="10">
        <f>IF(384828.07605="","-",384828.07605/464796.56015*100)</f>
        <v>82.794949240977076</v>
      </c>
      <c r="D24" s="10">
        <f>IF(401842.6547="","-",401842.6547/475663.92916*100)</f>
        <v>84.480371553427474</v>
      </c>
      <c r="E24" s="10">
        <f>IF(376088.54696="","-",376088.54696/435794.05199*100)</f>
        <v>86.299605339411556</v>
      </c>
      <c r="F24" s="10">
        <f>IF(277819.42412="","-",277819.42412/316061.51949*100)</f>
        <v>87.900426653738862</v>
      </c>
      <c r="G24" s="10">
        <f>IF(240875.5688="","-",240875.5688/255220.70381*100)</f>
        <v>94.379321584866688</v>
      </c>
      <c r="H24" s="27"/>
    </row>
    <row r="25" spans="1:8" x14ac:dyDescent="0.2">
      <c r="A25" s="52" t="s">
        <v>43</v>
      </c>
      <c r="B25" s="53">
        <f>IF(3705.53912="","-",3705.53912/425641.38619*100)</f>
        <v>0.87057773050901177</v>
      </c>
      <c r="C25" s="10">
        <f>IF(6644.76795="","-",6644.76795/464796.56015*100)</f>
        <v>1.4296078154828833</v>
      </c>
      <c r="D25" s="10">
        <f>IF(7106.98779="","-",7106.98779/475663.92916*100)</f>
        <v>1.494119556753148</v>
      </c>
      <c r="E25" s="10">
        <f>IF(6862.1718="","-",6862.1718/435794.05199*100)</f>
        <v>1.5746364065009</v>
      </c>
      <c r="F25" s="10">
        <f>IF(4411.71824="","-",4411.71824/316061.51949*100)</f>
        <v>1.3958416219471426</v>
      </c>
      <c r="G25" s="10">
        <f>IF(2780.20243="","-",2780.20243/255220.70381*100)</f>
        <v>1.0893326397492156</v>
      </c>
      <c r="H25" s="27"/>
    </row>
  </sheetData>
  <mergeCells count="1">
    <mergeCell ref="A2:F2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2" sqref="A2:E2"/>
    </sheetView>
  </sheetViews>
  <sheetFormatPr defaultRowHeight="12" x14ac:dyDescent="0.2"/>
  <cols>
    <col min="1" max="1" width="26.140625" style="24" customWidth="1"/>
    <col min="2" max="2" width="16.140625" style="24" customWidth="1"/>
    <col min="3" max="3" width="16" style="24" customWidth="1"/>
    <col min="4" max="4" width="16.85546875" style="24" customWidth="1"/>
    <col min="5" max="6" width="16.140625" style="24" customWidth="1"/>
    <col min="7" max="7" width="16" style="24" customWidth="1"/>
    <col min="8" max="16384" width="9.140625" style="24"/>
  </cols>
  <sheetData>
    <row r="2" spans="1:7" x14ac:dyDescent="0.2">
      <c r="A2" s="146" t="s">
        <v>44</v>
      </c>
      <c r="B2" s="146"/>
      <c r="C2" s="146"/>
      <c r="D2" s="146"/>
      <c r="E2" s="146"/>
      <c r="F2" s="54"/>
      <c r="G2" s="54"/>
    </row>
    <row r="3" spans="1:7" x14ac:dyDescent="0.2">
      <c r="A3" s="25"/>
      <c r="B3" s="25"/>
      <c r="C3" s="25"/>
      <c r="D3" s="25"/>
      <c r="E3" s="25"/>
      <c r="F3" s="25"/>
      <c r="G3" s="25"/>
    </row>
    <row r="4" spans="1:7" x14ac:dyDescent="0.2">
      <c r="A4" s="25"/>
      <c r="B4" s="25"/>
      <c r="C4" s="25"/>
      <c r="D4" s="25"/>
      <c r="E4" s="25"/>
      <c r="F4" s="25"/>
      <c r="G4" s="25"/>
    </row>
    <row r="5" spans="1:7" x14ac:dyDescent="0.2">
      <c r="A5" s="25"/>
      <c r="B5" s="25"/>
      <c r="C5" s="25"/>
      <c r="D5" s="25"/>
      <c r="E5" s="25"/>
      <c r="F5" s="25"/>
      <c r="G5" s="25"/>
    </row>
    <row r="6" spans="1:7" x14ac:dyDescent="0.2">
      <c r="A6" s="25"/>
      <c r="B6" s="25"/>
      <c r="C6" s="25"/>
      <c r="D6" s="25"/>
      <c r="E6" s="25"/>
      <c r="F6" s="25"/>
      <c r="G6" s="25"/>
    </row>
    <row r="7" spans="1:7" x14ac:dyDescent="0.2">
      <c r="A7" s="25"/>
      <c r="B7" s="25"/>
      <c r="C7" s="25"/>
      <c r="D7" s="25"/>
      <c r="E7" s="25"/>
      <c r="F7" s="25"/>
      <c r="G7" s="25"/>
    </row>
    <row r="8" spans="1:7" x14ac:dyDescent="0.2">
      <c r="A8" s="25"/>
      <c r="B8" s="25"/>
      <c r="C8" s="25"/>
      <c r="D8" s="25"/>
      <c r="E8" s="25"/>
      <c r="F8" s="25"/>
      <c r="G8" s="25"/>
    </row>
    <row r="9" spans="1:7" x14ac:dyDescent="0.2">
      <c r="A9" s="25"/>
      <c r="B9" s="25"/>
      <c r="C9" s="25"/>
      <c r="D9" s="25"/>
      <c r="E9" s="25"/>
      <c r="F9" s="25"/>
      <c r="G9" s="25"/>
    </row>
    <row r="10" spans="1:7" x14ac:dyDescent="0.2">
      <c r="A10" s="25"/>
      <c r="B10" s="25"/>
      <c r="C10" s="25"/>
      <c r="D10" s="25"/>
      <c r="E10" s="25"/>
      <c r="F10" s="25"/>
      <c r="G10" s="25"/>
    </row>
    <row r="11" spans="1:7" x14ac:dyDescent="0.2">
      <c r="A11" s="25"/>
      <c r="B11" s="25"/>
      <c r="C11" s="25"/>
      <c r="D11" s="25"/>
      <c r="E11" s="25"/>
      <c r="F11" s="25"/>
      <c r="G11" s="25"/>
    </row>
    <row r="12" spans="1:7" x14ac:dyDescent="0.2">
      <c r="A12" s="25"/>
      <c r="B12" s="25"/>
      <c r="C12" s="25"/>
      <c r="D12" s="25"/>
      <c r="E12" s="25"/>
      <c r="F12" s="25"/>
      <c r="G12" s="25"/>
    </row>
    <row r="13" spans="1:7" x14ac:dyDescent="0.2">
      <c r="A13" s="25"/>
      <c r="B13" s="25"/>
      <c r="C13" s="25"/>
      <c r="D13" s="25"/>
      <c r="E13" s="25"/>
      <c r="F13" s="25"/>
      <c r="G13" s="25"/>
    </row>
    <row r="14" spans="1:7" x14ac:dyDescent="0.2">
      <c r="A14" s="25"/>
      <c r="B14" s="25"/>
      <c r="C14" s="25"/>
      <c r="D14" s="25"/>
      <c r="E14" s="25"/>
      <c r="F14" s="25"/>
      <c r="G14" s="25"/>
    </row>
    <row r="15" spans="1:7" x14ac:dyDescent="0.2">
      <c r="A15" s="25"/>
      <c r="B15" s="25"/>
      <c r="C15" s="25"/>
      <c r="D15" s="25"/>
      <c r="E15" s="25"/>
      <c r="F15" s="25"/>
      <c r="G15" s="25"/>
    </row>
    <row r="16" spans="1:7" x14ac:dyDescent="0.2">
      <c r="A16" s="25"/>
      <c r="B16" s="25"/>
      <c r="C16" s="25"/>
      <c r="D16" s="25"/>
      <c r="E16" s="25"/>
      <c r="F16" s="25"/>
      <c r="G16" s="25"/>
    </row>
    <row r="17" spans="1:8" x14ac:dyDescent="0.2">
      <c r="A17" s="25"/>
      <c r="B17" s="25"/>
      <c r="C17" s="25"/>
      <c r="D17" s="25"/>
      <c r="E17" s="25"/>
      <c r="F17" s="25"/>
      <c r="G17" s="25"/>
    </row>
    <row r="18" spans="1:8" x14ac:dyDescent="0.2">
      <c r="A18" s="26"/>
    </row>
    <row r="19" spans="1:8" ht="24" x14ac:dyDescent="0.2">
      <c r="A19" s="55"/>
      <c r="B19" s="56" t="s">
        <v>45</v>
      </c>
      <c r="C19" s="56" t="s">
        <v>46</v>
      </c>
      <c r="D19" s="56" t="s">
        <v>47</v>
      </c>
      <c r="E19" s="57" t="s">
        <v>48</v>
      </c>
      <c r="F19" s="57" t="s">
        <v>49</v>
      </c>
      <c r="G19" s="58" t="s">
        <v>50</v>
      </c>
      <c r="H19" s="27"/>
    </row>
    <row r="20" spans="1:8" x14ac:dyDescent="0.2">
      <c r="A20" s="59" t="s">
        <v>51</v>
      </c>
      <c r="B20" s="60">
        <v>59.9</v>
      </c>
      <c r="C20" s="61">
        <v>60</v>
      </c>
      <c r="D20" s="61">
        <v>62.8</v>
      </c>
      <c r="E20" s="61">
        <v>62.9</v>
      </c>
      <c r="F20" s="61">
        <v>66.7</v>
      </c>
      <c r="G20" s="61">
        <v>63.5</v>
      </c>
      <c r="H20" s="62"/>
    </row>
    <row r="21" spans="1:8" x14ac:dyDescent="0.2">
      <c r="A21" s="63" t="s">
        <v>52</v>
      </c>
      <c r="B21" s="64">
        <v>18.899999999999999</v>
      </c>
      <c r="C21" s="65">
        <v>19.3</v>
      </c>
      <c r="D21" s="65">
        <v>16.2</v>
      </c>
      <c r="E21" s="65">
        <v>13.6</v>
      </c>
      <c r="F21" s="65">
        <v>12.9</v>
      </c>
      <c r="G21" s="65">
        <v>15.8</v>
      </c>
      <c r="H21" s="62"/>
    </row>
    <row r="22" spans="1:8" x14ac:dyDescent="0.2">
      <c r="A22" s="66" t="s">
        <v>53</v>
      </c>
      <c r="B22" s="67">
        <v>21.2</v>
      </c>
      <c r="C22" s="68">
        <v>20.7</v>
      </c>
      <c r="D22" s="68">
        <v>21</v>
      </c>
      <c r="E22" s="68">
        <v>23.5</v>
      </c>
      <c r="F22" s="68">
        <v>20.399999999999999</v>
      </c>
      <c r="G22" s="68">
        <v>20.7</v>
      </c>
      <c r="H22" s="62"/>
    </row>
  </sheetData>
  <mergeCells count="1">
    <mergeCell ref="A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A2" sqref="A2:F2"/>
    </sheetView>
  </sheetViews>
  <sheetFormatPr defaultRowHeight="12" x14ac:dyDescent="0.2"/>
  <cols>
    <col min="1" max="1" width="19.7109375" style="24" customWidth="1"/>
    <col min="2" max="2" width="15.28515625" style="24" customWidth="1"/>
    <col min="3" max="3" width="15.5703125" style="24" customWidth="1"/>
    <col min="4" max="4" width="15.42578125" style="24" customWidth="1"/>
    <col min="5" max="5" width="15.7109375" style="24" customWidth="1"/>
    <col min="6" max="7" width="15.5703125" style="24" customWidth="1"/>
    <col min="8" max="16384" width="9.140625" style="24"/>
  </cols>
  <sheetData>
    <row r="2" spans="1:9" x14ac:dyDescent="0.2">
      <c r="A2" s="147" t="s">
        <v>54</v>
      </c>
      <c r="B2" s="147"/>
      <c r="C2" s="147"/>
      <c r="D2" s="147"/>
      <c r="E2" s="147"/>
      <c r="F2" s="147"/>
      <c r="G2" s="69"/>
      <c r="H2" s="69"/>
      <c r="I2" s="69"/>
    </row>
    <row r="3" spans="1:9" x14ac:dyDescent="0.2">
      <c r="A3" s="25"/>
      <c r="B3" s="25"/>
      <c r="C3" s="25"/>
      <c r="D3" s="25"/>
      <c r="E3" s="25"/>
      <c r="F3" s="25"/>
      <c r="G3" s="25"/>
      <c r="H3" s="25"/>
      <c r="I3" s="25"/>
    </row>
    <row r="4" spans="1:9" x14ac:dyDescent="0.2">
      <c r="A4" s="25"/>
      <c r="B4" s="25"/>
      <c r="C4" s="25"/>
      <c r="D4" s="25"/>
      <c r="E4" s="25"/>
      <c r="F4" s="25"/>
      <c r="G4" s="25"/>
      <c r="H4" s="25"/>
      <c r="I4" s="25"/>
    </row>
    <row r="5" spans="1:9" x14ac:dyDescent="0.2">
      <c r="A5" s="25"/>
      <c r="B5" s="25"/>
      <c r="C5" s="25"/>
      <c r="D5" s="25"/>
      <c r="E5" s="25"/>
      <c r="F5" s="25"/>
      <c r="G5" s="25"/>
      <c r="H5" s="25"/>
      <c r="I5" s="25"/>
    </row>
    <row r="6" spans="1:9" x14ac:dyDescent="0.2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2">
      <c r="A7" s="25"/>
      <c r="B7" s="25"/>
      <c r="C7" s="25"/>
      <c r="D7" s="25"/>
      <c r="E7" s="25"/>
      <c r="F7" s="25"/>
      <c r="G7" s="25"/>
      <c r="H7" s="25"/>
      <c r="I7" s="25"/>
    </row>
    <row r="8" spans="1:9" x14ac:dyDescent="0.2">
      <c r="A8" s="25"/>
      <c r="B8" s="25"/>
      <c r="C8" s="25"/>
      <c r="D8" s="25"/>
      <c r="E8" s="25"/>
      <c r="F8" s="25"/>
      <c r="G8" s="25"/>
      <c r="H8" s="25"/>
      <c r="I8" s="25"/>
    </row>
    <row r="9" spans="1:9" x14ac:dyDescent="0.2">
      <c r="A9" s="25"/>
      <c r="B9" s="25"/>
      <c r="C9" s="25"/>
      <c r="D9" s="25"/>
      <c r="E9" s="25"/>
      <c r="F9" s="25"/>
      <c r="G9" s="25"/>
      <c r="H9" s="25"/>
      <c r="I9" s="25"/>
    </row>
    <row r="10" spans="1:9" x14ac:dyDescent="0.2">
      <c r="A10" s="25"/>
      <c r="B10" s="25"/>
      <c r="C10" s="25"/>
      <c r="D10" s="25"/>
      <c r="E10" s="25"/>
      <c r="F10" s="25"/>
      <c r="G10" s="25"/>
      <c r="H10" s="25"/>
      <c r="I10" s="25"/>
    </row>
    <row r="11" spans="1:9" x14ac:dyDescent="0.2">
      <c r="A11" s="25"/>
      <c r="B11" s="25"/>
      <c r="C11" s="25"/>
      <c r="D11" s="25"/>
      <c r="E11" s="25"/>
      <c r="F11" s="25"/>
      <c r="G11" s="25"/>
      <c r="H11" s="25"/>
      <c r="I11" s="25"/>
    </row>
    <row r="12" spans="1:9" x14ac:dyDescent="0.2">
      <c r="A12" s="25"/>
      <c r="B12" s="25"/>
      <c r="C12" s="25"/>
      <c r="D12" s="25"/>
      <c r="E12" s="25"/>
      <c r="F12" s="25"/>
      <c r="G12" s="25"/>
      <c r="H12" s="25"/>
      <c r="I12" s="25"/>
    </row>
    <row r="13" spans="1:9" x14ac:dyDescent="0.2">
      <c r="A13" s="25"/>
      <c r="B13" s="25"/>
      <c r="C13" s="25"/>
      <c r="D13" s="25"/>
      <c r="E13" s="25"/>
      <c r="F13" s="25"/>
      <c r="G13" s="25"/>
      <c r="H13" s="25"/>
      <c r="I13" s="25"/>
    </row>
    <row r="14" spans="1:9" x14ac:dyDescent="0.2">
      <c r="A14" s="25"/>
      <c r="B14" s="25"/>
      <c r="C14" s="25"/>
      <c r="D14" s="25"/>
      <c r="E14" s="25"/>
      <c r="F14" s="25"/>
      <c r="G14" s="25"/>
      <c r="H14" s="25"/>
      <c r="I14" s="25"/>
    </row>
    <row r="15" spans="1:9" x14ac:dyDescent="0.2">
      <c r="A15" s="25"/>
      <c r="B15" s="25"/>
      <c r="C15" s="25"/>
      <c r="D15" s="25"/>
      <c r="E15" s="25"/>
      <c r="F15" s="25"/>
      <c r="G15" s="25"/>
      <c r="H15" s="25"/>
      <c r="I15" s="25"/>
    </row>
    <row r="16" spans="1:9" x14ac:dyDescent="0.2">
      <c r="A16" s="25"/>
      <c r="B16" s="25"/>
      <c r="C16" s="25"/>
      <c r="D16" s="25"/>
      <c r="E16" s="25"/>
      <c r="F16" s="25"/>
      <c r="G16" s="25"/>
      <c r="H16" s="25"/>
      <c r="I16" s="25"/>
    </row>
    <row r="17" spans="1:9" x14ac:dyDescent="0.2">
      <c r="A17" s="25"/>
      <c r="B17" s="25"/>
      <c r="C17" s="25"/>
      <c r="D17" s="25"/>
      <c r="E17" s="25"/>
      <c r="F17" s="25"/>
      <c r="G17" s="25"/>
      <c r="H17" s="25"/>
      <c r="I17" s="25"/>
    </row>
    <row r="18" spans="1:9" x14ac:dyDescent="0.2">
      <c r="A18" s="25"/>
      <c r="B18" s="25"/>
      <c r="C18" s="25"/>
      <c r="D18" s="25"/>
      <c r="E18" s="25"/>
      <c r="F18" s="25"/>
      <c r="G18" s="25"/>
      <c r="H18" s="25"/>
      <c r="I18" s="25"/>
    </row>
    <row r="19" spans="1:9" x14ac:dyDescent="0.2">
      <c r="A19" s="25"/>
      <c r="B19" s="25"/>
      <c r="C19" s="25"/>
      <c r="D19" s="25"/>
      <c r="E19" s="25"/>
      <c r="F19" s="25"/>
      <c r="G19" s="25"/>
      <c r="H19" s="25"/>
      <c r="I19" s="25"/>
    </row>
    <row r="20" spans="1:9" x14ac:dyDescent="0.2">
      <c r="A20" s="25"/>
      <c r="B20" s="25"/>
      <c r="C20" s="25"/>
      <c r="D20" s="25"/>
      <c r="E20" s="25"/>
      <c r="F20" s="25"/>
      <c r="G20" s="25"/>
      <c r="H20" s="25"/>
      <c r="I20" s="25"/>
    </row>
    <row r="21" spans="1:9" x14ac:dyDescent="0.2">
      <c r="A21" s="26"/>
    </row>
    <row r="22" spans="1:9" ht="32.25" customHeight="1" x14ac:dyDescent="0.2">
      <c r="A22" s="1"/>
      <c r="B22" s="57" t="s">
        <v>55</v>
      </c>
      <c r="C22" s="57" t="s">
        <v>38</v>
      </c>
      <c r="D22" s="57" t="s">
        <v>37</v>
      </c>
      <c r="E22" s="57" t="s">
        <v>56</v>
      </c>
      <c r="F22" s="57" t="s">
        <v>35</v>
      </c>
      <c r="G22" s="58" t="s">
        <v>34</v>
      </c>
    </row>
    <row r="23" spans="1:9" x14ac:dyDescent="0.2">
      <c r="A23" s="70" t="s">
        <v>57</v>
      </c>
      <c r="B23" s="51">
        <f>IF(OR(59447.27971="",59447.27971="***"),"-",59447.27971/255220.70381*100)</f>
        <v>23.292498932318495</v>
      </c>
      <c r="C23" s="32">
        <f>IF(OR(75922.97854="",75922.97854="***"),"-",75922.97854/316061.51949*100)</f>
        <v>24.02158246360078</v>
      </c>
      <c r="D23" s="32">
        <f>IF(OR(104949.13186="",104949.13186="***"),"-",104949.13186/435794.05199*100)</f>
        <v>24.0822772547635</v>
      </c>
      <c r="E23" s="32">
        <f>IF(OR(122615.69329="",122615.69329="***"),"-",122615.69329/475663.92916*100)</f>
        <v>25.777799360681712</v>
      </c>
      <c r="F23" s="32">
        <f>IF(OR(116852.49484="",116852.49484="***"),"-",116852.49484/464796.56015*100)</f>
        <v>25.140567908310068</v>
      </c>
      <c r="G23" s="32">
        <f>IF(OR(112864.55979="",112864.55979="***"),"-",112864.55979/425641.38619*100)</f>
        <v>26.51635001950185</v>
      </c>
    </row>
    <row r="24" spans="1:9" x14ac:dyDescent="0.2">
      <c r="A24" s="71" t="s">
        <v>58</v>
      </c>
      <c r="B24" s="53">
        <f>IF(OR(19102.30256="",19102.30256="***"),"-",19102.30256/255220.70381*100)</f>
        <v>7.4846210651549576</v>
      </c>
      <c r="C24" s="10">
        <f>IF(OR(23222.9787="",23222.9787="***"),"-",23222.9787/316061.51949*100)</f>
        <v>7.3476134448359387</v>
      </c>
      <c r="D24" s="10">
        <f>IF(OR(39183.93116="",39183.93116="***"),"-",39183.93116/435794.05199*100)</f>
        <v>8.991387326438117</v>
      </c>
      <c r="E24" s="10">
        <f>IF(OR(41248.94533="",41248.94533="***"),"-",41248.94533/475663.92916*100)</f>
        <v>8.671867425987859</v>
      </c>
      <c r="F24" s="10">
        <f>IF(OR(45193.45809="",45193.45809="***"),"-",45193.45809/464796.56015*100)</f>
        <v>9.7232772280877224</v>
      </c>
      <c r="G24" s="10">
        <f>IF(OR(46805.82545="",46805.82545="***"),"-",46805.82545/425641.38619*100)</f>
        <v>10.996540037839877</v>
      </c>
    </row>
    <row r="25" spans="1:9" x14ac:dyDescent="0.2">
      <c r="A25" s="72" t="s">
        <v>59</v>
      </c>
      <c r="B25" s="53">
        <f>IF(OR(6290.82386="",6290.82386="***"),"-",6290.82386/255220.70381*100)</f>
        <v>2.4648564031400944</v>
      </c>
      <c r="C25" s="10">
        <f>IF(OR(14782.71369="",14782.71369="***"),"-",14782.71369/316061.51949*100)</f>
        <v>4.6771633933335304</v>
      </c>
      <c r="D25" s="10">
        <f>IF(OR(19142.23418="",19142.23418="***"),"-",19142.23418/435794.05199*100)</f>
        <v>4.3924955130959997</v>
      </c>
      <c r="E25" s="10">
        <f>IF(OR(47631.72599="",47631.72599="***"),"-",47631.72599/475663.92916*100)</f>
        <v>10.013735133146499</v>
      </c>
      <c r="F25" s="10">
        <f>IF(OR(33490.1862="",33490.1862="***"),"-",33490.1862/464796.56015*100)</f>
        <v>7.2053429546018979</v>
      </c>
      <c r="G25" s="10">
        <f>IF(OR(45627.42348="",45627.42348="***"),"-",45627.42348/425641.38619*100)</f>
        <v>10.719686797475232</v>
      </c>
    </row>
    <row r="26" spans="1:9" x14ac:dyDescent="0.2">
      <c r="A26" s="71" t="s">
        <v>60</v>
      </c>
      <c r="B26" s="53">
        <f>IF(OR(21626.54389="",21626.54389="***"),"-",21626.54389/255220.70381*100)</f>
        <v>8.4736636045404676</v>
      </c>
      <c r="C26" s="10">
        <f>IF(OR(36252.33483="",36252.33483="***"),"-",36252.33483/316061.51949*100)</f>
        <v>11.470024851015438</v>
      </c>
      <c r="D26" s="10">
        <f>IF(OR(40613.68444="",40613.68444="***"),"-",40613.68444/435794.05199*100)</f>
        <v>9.3194673618289627</v>
      </c>
      <c r="E26" s="10">
        <f>IF(OR(37637.32979="",37637.32979="***"),"-",37637.32979/475663.92916*100)</f>
        <v>7.9125885909544893</v>
      </c>
      <c r="F26" s="10">
        <f>IF(OR(33223.298="",33223.298="***"),"-",33223.298/464796.56015*100)</f>
        <v>7.1479225210440713</v>
      </c>
      <c r="G26" s="10">
        <f>IF(OR(39799.44428="",39799.44428="***"),"-",39799.44428/425641.38619*100)</f>
        <v>9.3504639283911466</v>
      </c>
    </row>
    <row r="27" spans="1:9" x14ac:dyDescent="0.2">
      <c r="A27" s="71" t="s">
        <v>61</v>
      </c>
      <c r="B27" s="53">
        <f>IF(OR(27286.5957="",27286.5957="***"),"-",27286.5957/255220.70381*100)</f>
        <v>10.69137232703253</v>
      </c>
      <c r="C27" s="10">
        <f>IF(OR(32210.94098="",32210.94098="***"),"-",32210.94098/316061.51949*100)</f>
        <v>10.191351681146093</v>
      </c>
      <c r="D27" s="10">
        <f>IF(OR(47689.46772="",47689.46772="***"),"-",47689.46772/435794.05199*100)</f>
        <v>10.943120380425549</v>
      </c>
      <c r="E27" s="10">
        <f>IF(OR(57991.42218="",57991.42218="***"),"-",57991.42218/475663.92916*100)</f>
        <v>12.191679592440426</v>
      </c>
      <c r="F27" s="10">
        <f>IF(OR(44883.52811="",44883.52811="***"),"-",44883.52811/464796.56015*100)</f>
        <v>9.656596446306553</v>
      </c>
      <c r="G27" s="10">
        <f>IF(OR(25935.12225="",25935.12225="***"),"-",25935.12225/425641.38619*100)</f>
        <v>6.09318621061509</v>
      </c>
    </row>
    <row r="28" spans="1:9" x14ac:dyDescent="0.2">
      <c r="A28" s="71" t="s">
        <v>62</v>
      </c>
      <c r="B28" s="53">
        <f>IF(OR(10492.4195="",10492.4195="***"),"-",10492.4195/255220.70381*100)</f>
        <v>4.1111161216023913</v>
      </c>
      <c r="C28" s="10">
        <f>IF(OR(9750.55717="",9750.55717="***"),"-",9750.55717/316061.51949*100)</f>
        <v>3.0850187601874457</v>
      </c>
      <c r="D28" s="10">
        <f>IF(OR(14146.86786="",14146.86786="***"),"-",14146.86786/435794.05199*100)</f>
        <v>3.2462278444141366</v>
      </c>
      <c r="E28" s="10">
        <f>IF(OR(16849.0360199999="",16849.0360199999="***"),"-",16849.0360199999/475663.92916*100)</f>
        <v>3.5422143633540815</v>
      </c>
      <c r="F28" s="10">
        <f>IF(OR(20320.25712="",20320.25712="***"),"-",20320.25712/464796.56015*100)</f>
        <v>4.3718604787957567</v>
      </c>
      <c r="G28" s="10">
        <f>IF(OR(17557.23737="",17557.23737="***"),"-",17557.23737/425641.38619*100)</f>
        <v>4.1248896229660126</v>
      </c>
    </row>
    <row r="29" spans="1:9" x14ac:dyDescent="0.2">
      <c r="A29" s="71" t="s">
        <v>63</v>
      </c>
      <c r="B29" s="53">
        <f>IF(OR(6760.78091="",6760.78091="***"),"-",6760.78091/255220.70381*100)</f>
        <v>2.6489939135318301</v>
      </c>
      <c r="C29" s="10">
        <f>IF(OR(7088.00633="",7088.00633="***"),"-",7088.00633/316061.51949*100)</f>
        <v>2.2426033834923271</v>
      </c>
      <c r="D29" s="10">
        <f>IF(OR(11039.44837="",11039.44837="***"),"-",11039.44837/435794.05199*100)</f>
        <v>2.5331801385516197</v>
      </c>
      <c r="E29" s="10">
        <f>IF(OR(10834.85249="",10834.85249="***"),"-",10834.85249/475663.92916*100)</f>
        <v>2.2778377391646738</v>
      </c>
      <c r="F29" s="10">
        <f>IF(OR(12112.66909="",12112.66909="***"),"-",12112.66909/464796.56015*100)</f>
        <v>2.6060152179463154</v>
      </c>
      <c r="G29" s="10">
        <f>IF(OR(13708.26465="",13708.26465="***"),"-",13708.26465/425641.38619*100)</f>
        <v>3.220613665580168</v>
      </c>
    </row>
    <row r="30" spans="1:9" x14ac:dyDescent="0.2">
      <c r="A30" s="73" t="s">
        <v>64</v>
      </c>
      <c r="B30" s="53">
        <f>IF(OR(4786.32381="",4786.32381="***"),"-",4786.32381/255220.70381*100)</f>
        <v>1.8753665899938887</v>
      </c>
      <c r="C30" s="10">
        <f>IF(OR(4328.45071="",4328.45071="***"),"-",4328.45071/316061.51949*100)</f>
        <v>1.3694962667345367</v>
      </c>
      <c r="D30" s="10">
        <f>IF(OR(6236.84933="",6236.84933="***"),"-",6236.84933/435794.05199*100)</f>
        <v>1.4311460428429883</v>
      </c>
      <c r="E30" s="10">
        <f>IF(OR(7978.21117="",7978.21117="***"),"-",7978.21117/475663.92916*100)</f>
        <v>1.6772789948754665</v>
      </c>
      <c r="F30" s="10">
        <f>IF(OR(16109.71497="",16109.71497="***"),"-",16109.71497/464796.56015*100)</f>
        <v>3.4659712121795923</v>
      </c>
      <c r="G30" s="10">
        <f>IF(OR(13033.75345="",13033.75345="***"),"-",13033.75345/425641.38619*100)</f>
        <v>3.0621443010200906</v>
      </c>
    </row>
    <row r="31" spans="1:9" x14ac:dyDescent="0.2">
      <c r="A31" s="71" t="s">
        <v>65</v>
      </c>
      <c r="B31" s="53">
        <f>IF(OR(17603.77638="",17603.77638="***"),"-",17603.77638/255220.70381*100)</f>
        <v>6.8974719202659962</v>
      </c>
      <c r="C31" s="10">
        <f>IF(OR(15271.35763="",15271.35763="***"),"-",15271.35763/316061.51949*100)</f>
        <v>4.8317674529446091</v>
      </c>
      <c r="D31" s="10">
        <f>IF(OR(15720.23514="",15720.23514="***"),"-",15720.23514/435794.05199*100)</f>
        <v>3.607262436973492</v>
      </c>
      <c r="E31" s="10">
        <f>IF(OR(14286.81155="",14286.81155="***"),"-",14286.81155/475663.92916*100)</f>
        <v>3.0035515989681691</v>
      </c>
      <c r="F31" s="10">
        <f>IF(OR(10739.30441="",10739.30441="***"),"-",10739.30441/464796.56015*100)</f>
        <v>2.3105387024667725</v>
      </c>
      <c r="G31" s="10">
        <f>IF(OR(11109.47398="",11109.47398="***"),"-",11109.47398/425641.38619*100)</f>
        <v>2.6100549289727422</v>
      </c>
    </row>
    <row r="32" spans="1:9" x14ac:dyDescent="0.2">
      <c r="A32" s="73" t="s">
        <v>66</v>
      </c>
      <c r="B32" s="53">
        <f>IF(OR(644.27968="",644.27968="***"),"-",644.27968/255220.70381*100)</f>
        <v>0.25244020974083531</v>
      </c>
      <c r="C32" s="10">
        <f>IF(OR(792.66167="",792.66167="***"),"-",792.66167/316061.51949*100)</f>
        <v>0.25079347567494037</v>
      </c>
      <c r="D32" s="10">
        <f>IF(OR(1182.22269="",1182.22269="***"),"-",1182.22269/435794.05199*100)</f>
        <v>0.27128013441246512</v>
      </c>
      <c r="E32" s="10">
        <f>IF(OR(1018.59827="",1018.59827="***"),"-",1018.59827/475663.92916*100)</f>
        <v>0.21414242442112361</v>
      </c>
      <c r="F32" s="10">
        <f>IF(OR(3184.15928="",3184.15928="***"),"-",3184.15928/464796.56015*100)</f>
        <v>0.68506515602705886</v>
      </c>
      <c r="G32" s="10">
        <f>IF(OR(7236.94171="",7236.94171="***"),"-",7236.94171/425641.38619*100)</f>
        <v>1.7002439012755062</v>
      </c>
    </row>
    <row r="33" spans="1:7" x14ac:dyDescent="0.2">
      <c r="A33" s="72" t="s">
        <v>67</v>
      </c>
      <c r="B33" s="53">
        <f>IF(OR(2294.69536="",2294.69536="***"),"-",2294.69536/255220.70381*100)</f>
        <v>0.89910235562562135</v>
      </c>
      <c r="C33" s="10">
        <f>IF(OR(4866.04872="",4866.04872="***"),"-",4866.04872/316061.51949*100)</f>
        <v>1.5395891052640336</v>
      </c>
      <c r="D33" s="10">
        <f>IF(OR(15076.10028="",15076.10028="***"),"-",15076.10028/435794.05199*100)</f>
        <v>3.4594552658892059</v>
      </c>
      <c r="E33" s="10">
        <f>IF(OR(15991.42065="",15991.42065="***"),"-",15991.42065/475663.92916*100)</f>
        <v>3.3619157707081326</v>
      </c>
      <c r="F33" s="10">
        <f>IF(OR(18384.2484="",18384.2484="***"),"-",18384.2484/464796.56015*100)</f>
        <v>3.9553322843153147</v>
      </c>
      <c r="G33" s="10">
        <f>IF(OR(7085.55532="",7085.55532="***"),"-",7085.55532/425641.38619*100)</f>
        <v>1.6646772494151012</v>
      </c>
    </row>
    <row r="34" spans="1:7" x14ac:dyDescent="0.2">
      <c r="A34" s="73" t="s">
        <v>68</v>
      </c>
      <c r="B34" s="53">
        <f>IF(OR(565.75532="",565.75532="***"),"-",565.75532/255220.70381*100)</f>
        <v>0.22167297227625335</v>
      </c>
      <c r="C34" s="10">
        <f>IF(OR(5696.82174="",5696.82174="***"),"-",5696.82174/316061.51949*100)</f>
        <v>1.8024407872215664</v>
      </c>
      <c r="D34" s="10">
        <f>IF(OR(10242.00963="",10242.00963="***"),"-",10242.00963/435794.05199*100)</f>
        <v>2.3501949104700079</v>
      </c>
      <c r="E34" s="10">
        <f>IF(OR(6725.0276="",6725.0276="***"),"-",6725.0276/475663.92916*100)</f>
        <v>1.4138191247497116</v>
      </c>
      <c r="F34" s="10">
        <f>IF(OR(9901.15886="",9901.15886="***"),"-",9901.15886/464796.56015*100)</f>
        <v>2.130213454420721</v>
      </c>
      <c r="G34" s="10">
        <f>IF(OR(6940.03151="",6940.03151="***"),"-",6940.03151/425641.38619*100)</f>
        <v>1.6304879495205087</v>
      </c>
    </row>
    <row r="35" spans="1:7" ht="17.100000000000001" customHeight="1" x14ac:dyDescent="0.2">
      <c r="A35" s="71" t="s">
        <v>69</v>
      </c>
      <c r="B35" s="53">
        <f>IF(OR(5400.0238="",5400.0238="***"),"-",5400.0238/255220.70381*100)</f>
        <v>2.1158251346333046</v>
      </c>
      <c r="C35" s="10">
        <f>IF(OR(9191.56261="",9191.56261="***"),"-",9191.56261/316061.51949*100)</f>
        <v>2.9081561794778428</v>
      </c>
      <c r="D35" s="10">
        <f>IF(OR(9343.96284="",9343.96284="***"),"-",9343.96284/435794.05199*100)</f>
        <v>2.1441235366412048</v>
      </c>
      <c r="E35" s="10">
        <f>IF(OR(6247.67522="",6247.67522="***"),"-",6247.67522/475663.92916*100)</f>
        <v>1.31346415756879</v>
      </c>
      <c r="F35" s="10">
        <f>IF(OR(10354.20923="",10354.20923="***"),"-",10354.20923/464796.56015*100)</f>
        <v>2.2276862863740798</v>
      </c>
      <c r="G35" s="10">
        <f>IF(OR(6925.35482="",6925.35482="***"),"-",6925.35482/425641.38619*100)</f>
        <v>1.6270398144292819</v>
      </c>
    </row>
    <row r="36" spans="1:7" ht="17.100000000000001" customHeight="1" x14ac:dyDescent="0.2">
      <c r="A36" s="73" t="s">
        <v>70</v>
      </c>
      <c r="B36" s="53">
        <f>IF(OR(3523.10125="",3523.10125="***"),"-",3523.10125/255220.70381*100)</f>
        <v>1.3804135782897873</v>
      </c>
      <c r="C36" s="10">
        <f>IF(OR(3794.25994="",3794.25994="***"),"-",3794.25994/316061.51949*100)</f>
        <v>1.2004814588382844</v>
      </c>
      <c r="D36" s="10">
        <f>IF(OR(8192.50424="",8192.50424="***"),"-",8192.50424/435794.05199*100)</f>
        <v>1.8799027206979846</v>
      </c>
      <c r="E36" s="10">
        <f>IF(OR(6194.48905="",6194.48905="***"),"-",6194.48905/475663.92916*100)</f>
        <v>1.3022826979836741</v>
      </c>
      <c r="F36" s="10">
        <f>IF(OR(8039.18712="",8039.18712="***"),"-",8039.18712/464796.56015*100)</f>
        <v>1.7296141600973938</v>
      </c>
      <c r="G36" s="10">
        <f>IF(OR(6872.27905="",6872.27905="***"),"-",6872.27905/425641.38619*100)</f>
        <v>1.6145702163774829</v>
      </c>
    </row>
    <row r="37" spans="1:7" x14ac:dyDescent="0.2">
      <c r="A37" s="73" t="s">
        <v>71</v>
      </c>
      <c r="B37" s="53">
        <f>IF(OR(3385.14338="",3385.14338="***"),"-",3385.14338/255220.70381*100)</f>
        <v>1.3263592371095734</v>
      </c>
      <c r="C37" s="10">
        <f>IF(OR(4363.2437="",4363.2437="***"),"-",4363.2437/316061.51949*100)</f>
        <v>1.3805045634914916</v>
      </c>
      <c r="D37" s="10">
        <f>IF(OR(7372.49789="",7372.49789="***"),"-",7372.49789/435794.05199*100)</f>
        <v>1.691738989170319</v>
      </c>
      <c r="E37" s="10">
        <f>IF(OR(6809.35646="",6809.35646="***"),"-",6809.35646/475663.92916*100)</f>
        <v>1.4315477887980705</v>
      </c>
      <c r="F37" s="10">
        <f>IF(OR(5609.82176="",5609.82176="***"),"-",5609.82176/464796.56015*100)</f>
        <v>1.2069413246495602</v>
      </c>
      <c r="G37" s="10">
        <f>IF(OR(6801.47913="",6801.47913="***"),"-",6801.47913/425641.38619*100)</f>
        <v>1.5979365143228625</v>
      </c>
    </row>
    <row r="38" spans="1:7" ht="17.100000000000001" customHeight="1" x14ac:dyDescent="0.2">
      <c r="A38" s="71" t="s">
        <v>72</v>
      </c>
      <c r="B38" s="53">
        <f>IF(OR(9618.78414="",9618.78414="***"),"-",9618.78414/255220.70381*100)</f>
        <v>3.7688102870998814</v>
      </c>
      <c r="C38" s="10">
        <f>IF(OR(7572.6442="",7572.6442="***"),"-",7572.6442/316061.51949*100)</f>
        <v>2.3959399461912652</v>
      </c>
      <c r="D38" s="10">
        <f>IF(OR(9012.11748="",9012.11748="***"),"-",9012.11748/435794.05199*100)</f>
        <v>2.0679762467723624</v>
      </c>
      <c r="E38" s="10">
        <f>IF(OR(7456.19019="",7456.19019="***"),"-",7456.19019/475663.92916*100)</f>
        <v>1.5675332378402709</v>
      </c>
      <c r="F38" s="10">
        <f>IF(OR(9241.62246="",9241.62246="***"),"-",9241.62246/464796.56015*100)</f>
        <v>1.9883155884410004</v>
      </c>
      <c r="G38" s="10">
        <f>IF(OR(6193.49374="",6193.49374="***"),"-",6193.49374/425641.38619*100)</f>
        <v>1.4550966942945056</v>
      </c>
    </row>
    <row r="39" spans="1:7" ht="17.100000000000001" customHeight="1" x14ac:dyDescent="0.2">
      <c r="A39" s="74" t="s">
        <v>73</v>
      </c>
      <c r="B39" s="75">
        <f>IF(OR(14880.28511="",14880.28511="***"),"-",14880.28511/255220.70381*100)</f>
        <v>5.8303597192011836</v>
      </c>
      <c r="C39" s="41">
        <f>IF(OR(19743.98593="",19743.98593="***"),"-",19743.98593/316061.51949*100)</f>
        <v>6.2468806585056891</v>
      </c>
      <c r="D39" s="41">
        <f>IF(OR(19406.63131="",19406.63131="***"),"-",19406.63131/435794.05199*100)</f>
        <v>4.4531657147182262</v>
      </c>
      <c r="E39" s="41">
        <f>IF(OR(7607.37641="",7607.37641="***"),"-",7607.37641/475663.92916*100)</f>
        <v>1.5993174894371889</v>
      </c>
      <c r="F39" s="41">
        <f>IF(OR(8220.90733="",8220.90733="***"),"-",8220.90733/464796.56015*100)</f>
        <v>1.7687108801637719</v>
      </c>
      <c r="G39" s="41">
        <f>IF(OR(6068.26328="",6068.26328="***"),"-",6068.26328/425641.38619*100)</f>
        <v>1.4256751051203507</v>
      </c>
    </row>
    <row r="40" spans="1:7" ht="17.100000000000001" customHeight="1" x14ac:dyDescent="0.2">
      <c r="B40" s="76"/>
      <c r="C40" s="77"/>
      <c r="D40" s="77"/>
      <c r="G40" s="76"/>
    </row>
  </sheetData>
  <mergeCells count="1">
    <mergeCell ref="A2:F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workbookViewId="0">
      <selection activeCell="A2" sqref="A2:D2"/>
    </sheetView>
  </sheetViews>
  <sheetFormatPr defaultRowHeight="12" x14ac:dyDescent="0.2"/>
  <cols>
    <col min="1" max="1" width="57.140625" style="24" customWidth="1"/>
    <col min="2" max="2" width="18.140625" style="24" customWidth="1"/>
    <col min="3" max="16384" width="9.140625" style="24"/>
  </cols>
  <sheetData>
    <row r="2" spans="1:6" x14ac:dyDescent="0.2">
      <c r="A2" s="139" t="s">
        <v>74</v>
      </c>
      <c r="B2" s="139"/>
      <c r="C2" s="139"/>
      <c r="D2" s="139"/>
      <c r="E2" s="78"/>
      <c r="F2" s="78"/>
    </row>
    <row r="3" spans="1:6" x14ac:dyDescent="0.2">
      <c r="A3" s="79"/>
      <c r="B3" s="25"/>
      <c r="C3" s="25"/>
      <c r="D3" s="25"/>
      <c r="E3" s="25"/>
      <c r="F3" s="25"/>
    </row>
    <row r="4" spans="1:6" x14ac:dyDescent="0.2">
      <c r="A4" s="79"/>
      <c r="B4" s="25"/>
      <c r="C4" s="25"/>
      <c r="D4" s="25"/>
      <c r="E4" s="25"/>
      <c r="F4" s="25"/>
    </row>
    <row r="5" spans="1:6" x14ac:dyDescent="0.2">
      <c r="A5" s="79"/>
      <c r="B5" s="25"/>
      <c r="C5" s="25"/>
      <c r="D5" s="25"/>
      <c r="E5" s="25"/>
      <c r="F5" s="25"/>
    </row>
    <row r="6" spans="1:6" x14ac:dyDescent="0.2">
      <c r="A6" s="79"/>
      <c r="B6" s="25"/>
      <c r="C6" s="25"/>
      <c r="D6" s="25"/>
      <c r="E6" s="25"/>
      <c r="F6" s="25"/>
    </row>
    <row r="7" spans="1:6" x14ac:dyDescent="0.2">
      <c r="A7" s="79"/>
      <c r="B7" s="25"/>
      <c r="C7" s="25"/>
      <c r="D7" s="25"/>
      <c r="E7" s="25"/>
      <c r="F7" s="25"/>
    </row>
    <row r="8" spans="1:6" x14ac:dyDescent="0.2">
      <c r="A8" s="25"/>
      <c r="B8" s="25"/>
      <c r="C8" s="25"/>
      <c r="D8" s="25"/>
      <c r="E8" s="25"/>
      <c r="F8" s="25"/>
    </row>
    <row r="9" spans="1:6" x14ac:dyDescent="0.2">
      <c r="A9" s="25"/>
      <c r="B9" s="25"/>
      <c r="C9" s="25"/>
      <c r="D9" s="25"/>
      <c r="E9" s="25"/>
      <c r="F9" s="25"/>
    </row>
    <row r="10" spans="1:6" x14ac:dyDescent="0.2">
      <c r="A10" s="25"/>
      <c r="B10" s="25"/>
      <c r="C10" s="25"/>
      <c r="D10" s="25"/>
      <c r="E10" s="25"/>
      <c r="F10" s="25"/>
    </row>
    <row r="11" spans="1:6" x14ac:dyDescent="0.2">
      <c r="A11" s="25"/>
      <c r="B11" s="25"/>
      <c r="C11" s="25"/>
      <c r="D11" s="25"/>
      <c r="E11" s="25"/>
      <c r="F11" s="25"/>
    </row>
    <row r="12" spans="1:6" x14ac:dyDescent="0.2">
      <c r="A12" s="25"/>
      <c r="B12" s="25"/>
      <c r="C12" s="25"/>
      <c r="D12" s="25"/>
      <c r="E12" s="25"/>
      <c r="F12" s="25"/>
    </row>
    <row r="13" spans="1:6" x14ac:dyDescent="0.2">
      <c r="A13" s="25"/>
      <c r="B13" s="25"/>
      <c r="C13" s="25"/>
      <c r="D13" s="25"/>
      <c r="E13" s="25"/>
      <c r="F13" s="25"/>
    </row>
    <row r="14" spans="1:6" x14ac:dyDescent="0.2">
      <c r="A14" s="25"/>
      <c r="B14" s="25"/>
      <c r="C14" s="25"/>
      <c r="D14" s="25"/>
      <c r="E14" s="25"/>
      <c r="F14" s="25"/>
    </row>
    <row r="15" spans="1:6" x14ac:dyDescent="0.2">
      <c r="A15" s="25"/>
      <c r="B15" s="25"/>
      <c r="C15" s="25"/>
      <c r="D15" s="25"/>
      <c r="E15" s="25"/>
      <c r="F15" s="25"/>
    </row>
    <row r="16" spans="1:6" x14ac:dyDescent="0.2">
      <c r="A16" s="25"/>
      <c r="B16" s="25"/>
      <c r="C16" s="25"/>
      <c r="D16" s="25"/>
      <c r="E16" s="25"/>
      <c r="F16" s="25"/>
    </row>
    <row r="17" spans="1:6" x14ac:dyDescent="0.2">
      <c r="A17" s="25"/>
      <c r="B17" s="25"/>
      <c r="C17" s="25"/>
      <c r="D17" s="25"/>
      <c r="E17" s="25"/>
      <c r="F17" s="25"/>
    </row>
    <row r="18" spans="1:6" x14ac:dyDescent="0.2">
      <c r="A18" s="25"/>
      <c r="B18" s="25"/>
      <c r="C18" s="25"/>
      <c r="D18" s="25"/>
      <c r="E18" s="25"/>
      <c r="F18" s="25"/>
    </row>
    <row r="19" spans="1:6" x14ac:dyDescent="0.2">
      <c r="A19" s="25"/>
      <c r="B19" s="25"/>
      <c r="C19" s="25"/>
      <c r="D19" s="25"/>
      <c r="E19" s="25"/>
      <c r="F19" s="25"/>
    </row>
    <row r="20" spans="1:6" x14ac:dyDescent="0.2">
      <c r="A20" s="25"/>
      <c r="B20" s="25"/>
      <c r="C20" s="25"/>
      <c r="D20" s="25"/>
      <c r="E20" s="25"/>
      <c r="F20" s="25"/>
    </row>
    <row r="21" spans="1:6" x14ac:dyDescent="0.2">
      <c r="A21" s="25"/>
      <c r="B21" s="25"/>
      <c r="C21" s="25"/>
      <c r="D21" s="25"/>
      <c r="E21" s="25"/>
      <c r="F21" s="25"/>
    </row>
    <row r="22" spans="1:6" x14ac:dyDescent="0.2">
      <c r="A22" s="80" t="s">
        <v>75</v>
      </c>
      <c r="B22" s="81" t="s">
        <v>76</v>
      </c>
      <c r="C22" s="82"/>
    </row>
    <row r="23" spans="1:6" x14ac:dyDescent="0.2">
      <c r="A23" s="83" t="s">
        <v>77</v>
      </c>
      <c r="B23" s="51">
        <v>28.5</v>
      </c>
      <c r="C23" s="27"/>
    </row>
    <row r="24" spans="1:6" x14ac:dyDescent="0.2">
      <c r="A24" s="72" t="s">
        <v>78</v>
      </c>
      <c r="B24" s="53">
        <v>6.5</v>
      </c>
      <c r="C24" s="27"/>
    </row>
    <row r="25" spans="1:6" x14ac:dyDescent="0.2">
      <c r="A25" s="72" t="s">
        <v>79</v>
      </c>
      <c r="B25" s="53">
        <v>9.8000000000000007</v>
      </c>
      <c r="C25" s="27"/>
    </row>
    <row r="26" spans="1:6" x14ac:dyDescent="0.2">
      <c r="A26" s="72" t="s">
        <v>80</v>
      </c>
      <c r="B26" s="53">
        <v>0.3</v>
      </c>
      <c r="C26" s="27"/>
    </row>
    <row r="27" spans="1:6" x14ac:dyDescent="0.2">
      <c r="A27" s="72" t="s">
        <v>81</v>
      </c>
      <c r="B27" s="53">
        <v>4.8</v>
      </c>
      <c r="C27" s="27"/>
    </row>
    <row r="28" spans="1:6" x14ac:dyDescent="0.2">
      <c r="A28" s="72" t="s">
        <v>82</v>
      </c>
      <c r="B28" s="53">
        <v>3.1</v>
      </c>
      <c r="C28" s="27"/>
    </row>
    <row r="29" spans="1:6" x14ac:dyDescent="0.2">
      <c r="A29" s="72" t="s">
        <v>83</v>
      </c>
      <c r="B29" s="53">
        <v>5.8</v>
      </c>
      <c r="C29" s="27"/>
    </row>
    <row r="30" spans="1:6" x14ac:dyDescent="0.2">
      <c r="A30" s="72" t="s">
        <v>84</v>
      </c>
      <c r="B30" s="53">
        <v>21.3</v>
      </c>
      <c r="C30" s="27"/>
    </row>
    <row r="31" spans="1:6" x14ac:dyDescent="0.2">
      <c r="A31" s="84" t="s">
        <v>85</v>
      </c>
      <c r="B31" s="75">
        <v>19.899999999999999</v>
      </c>
      <c r="C31" s="27"/>
    </row>
    <row r="32" spans="1:6" x14ac:dyDescent="0.2">
      <c r="B32" s="85"/>
      <c r="C32" s="27"/>
    </row>
    <row r="33" spans="1:3" x14ac:dyDescent="0.2">
      <c r="A33" s="86" t="s">
        <v>86</v>
      </c>
      <c r="B33" s="87" t="s">
        <v>76</v>
      </c>
      <c r="C33" s="27"/>
    </row>
    <row r="34" spans="1:3" x14ac:dyDescent="0.2">
      <c r="A34" s="88" t="s">
        <v>77</v>
      </c>
      <c r="B34" s="51">
        <v>19.5</v>
      </c>
      <c r="C34" s="27"/>
    </row>
    <row r="35" spans="1:3" x14ac:dyDescent="0.2">
      <c r="A35" s="89" t="s">
        <v>78</v>
      </c>
      <c r="B35" s="53">
        <v>6.9</v>
      </c>
      <c r="C35" s="27"/>
    </row>
    <row r="36" spans="1:3" x14ac:dyDescent="0.2">
      <c r="A36" s="89" t="s">
        <v>79</v>
      </c>
      <c r="B36" s="53">
        <v>12.1</v>
      </c>
      <c r="C36" s="27"/>
    </row>
    <row r="37" spans="1:3" x14ac:dyDescent="0.2">
      <c r="A37" s="89" t="s">
        <v>80</v>
      </c>
      <c r="B37" s="53">
        <v>2.2000000000000002</v>
      </c>
      <c r="C37" s="27"/>
    </row>
    <row r="38" spans="1:3" x14ac:dyDescent="0.2">
      <c r="A38" s="89" t="s">
        <v>81</v>
      </c>
      <c r="B38" s="53">
        <v>1.8</v>
      </c>
      <c r="C38" s="27"/>
    </row>
    <row r="39" spans="1:3" x14ac:dyDescent="0.2">
      <c r="A39" s="89" t="s">
        <v>82</v>
      </c>
      <c r="B39" s="53">
        <v>4.0999999999999996</v>
      </c>
      <c r="C39" s="27"/>
    </row>
    <row r="40" spans="1:3" x14ac:dyDescent="0.2">
      <c r="A40" s="89" t="s">
        <v>83</v>
      </c>
      <c r="B40" s="53">
        <v>7.2</v>
      </c>
      <c r="C40" s="27"/>
    </row>
    <row r="41" spans="1:3" x14ac:dyDescent="0.2">
      <c r="A41" s="89" t="s">
        <v>84</v>
      </c>
      <c r="B41" s="53">
        <v>25.3</v>
      </c>
      <c r="C41" s="27"/>
    </row>
    <row r="42" spans="1:3" x14ac:dyDescent="0.2">
      <c r="A42" s="89" t="s">
        <v>85</v>
      </c>
      <c r="B42" s="53">
        <v>20.9</v>
      </c>
      <c r="C42" s="27"/>
    </row>
  </sheetData>
  <mergeCells count="1">
    <mergeCell ref="A2:D2"/>
  </mergeCell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workbookViewId="0">
      <selection activeCell="A2" sqref="A2:J2"/>
    </sheetView>
  </sheetViews>
  <sheetFormatPr defaultRowHeight="12" x14ac:dyDescent="0.2"/>
  <cols>
    <col min="1" max="1" width="10" style="24" customWidth="1"/>
    <col min="2" max="2" width="9.140625" style="24"/>
    <col min="3" max="3" width="10" style="24" customWidth="1"/>
    <col min="4" max="9" width="9.140625" style="24"/>
    <col min="10" max="10" width="11.7109375" style="24" bestFit="1" customWidth="1"/>
    <col min="11" max="11" width="11" style="24" bestFit="1" customWidth="1"/>
    <col min="12" max="12" width="10.85546875" style="24" bestFit="1" customWidth="1"/>
    <col min="13" max="13" width="11.28515625" style="24" bestFit="1" customWidth="1"/>
    <col min="14" max="16384" width="9.140625" style="24"/>
  </cols>
  <sheetData>
    <row r="2" spans="1:10" x14ac:dyDescent="0.2">
      <c r="A2" s="147" t="s">
        <v>87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2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x14ac:dyDescent="0.2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x14ac:dyDescent="0.2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3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3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3" x14ac:dyDescent="0.2">
      <c r="A19" s="26"/>
    </row>
    <row r="20" spans="1:13" x14ac:dyDescent="0.2">
      <c r="A20" s="90" t="s">
        <v>0</v>
      </c>
      <c r="B20" s="91" t="s">
        <v>1</v>
      </c>
      <c r="C20" s="91" t="s">
        <v>2</v>
      </c>
      <c r="D20" s="91" t="s">
        <v>3</v>
      </c>
      <c r="E20" s="91" t="s">
        <v>4</v>
      </c>
      <c r="F20" s="91" t="s">
        <v>5</v>
      </c>
      <c r="G20" s="91" t="s">
        <v>6</v>
      </c>
      <c r="H20" s="91" t="s">
        <v>7</v>
      </c>
      <c r="I20" s="91" t="s">
        <v>8</v>
      </c>
      <c r="J20" s="91" t="s">
        <v>9</v>
      </c>
      <c r="K20" s="92" t="s">
        <v>10</v>
      </c>
      <c r="L20" s="91" t="s">
        <v>11</v>
      </c>
      <c r="M20" s="93" t="s">
        <v>12</v>
      </c>
    </row>
    <row r="21" spans="1:13" x14ac:dyDescent="0.2">
      <c r="A21" s="16">
        <v>2016</v>
      </c>
      <c r="B21" s="94">
        <v>207.3</v>
      </c>
      <c r="C21" s="95">
        <v>287</v>
      </c>
      <c r="D21" s="95">
        <v>366.8</v>
      </c>
      <c r="E21" s="95">
        <v>354.9</v>
      </c>
      <c r="F21" s="95">
        <v>327.7</v>
      </c>
      <c r="G21" s="95">
        <v>324.60000000000002</v>
      </c>
      <c r="H21" s="95">
        <v>314.10000000000002</v>
      </c>
      <c r="I21" s="95">
        <v>351.1</v>
      </c>
      <c r="J21" s="95">
        <v>361.6</v>
      </c>
      <c r="K21" s="96">
        <v>380.2</v>
      </c>
      <c r="L21" s="96">
        <v>353.5</v>
      </c>
      <c r="M21" s="96">
        <v>391.4</v>
      </c>
    </row>
    <row r="22" spans="1:13" x14ac:dyDescent="0.2">
      <c r="A22" s="17">
        <v>2017</v>
      </c>
      <c r="B22" s="97">
        <v>266.8</v>
      </c>
      <c r="C22" s="98">
        <v>332.7</v>
      </c>
      <c r="D22" s="98">
        <v>431.2</v>
      </c>
      <c r="E22" s="98">
        <v>361.5</v>
      </c>
      <c r="F22" s="98">
        <v>400.4</v>
      </c>
      <c r="G22" s="98">
        <v>388.8</v>
      </c>
      <c r="H22" s="98">
        <v>396.9</v>
      </c>
      <c r="I22" s="98">
        <v>429.7</v>
      </c>
      <c r="J22" s="98">
        <v>430.8</v>
      </c>
      <c r="K22" s="99">
        <v>465.9</v>
      </c>
      <c r="L22" s="99">
        <v>455.3</v>
      </c>
      <c r="M22" s="99">
        <v>471.4</v>
      </c>
    </row>
    <row r="23" spans="1:13" x14ac:dyDescent="0.2">
      <c r="A23" s="17">
        <v>2018</v>
      </c>
      <c r="B23" s="97">
        <v>374.3</v>
      </c>
      <c r="C23" s="98">
        <v>427.6</v>
      </c>
      <c r="D23" s="98">
        <v>524.1</v>
      </c>
      <c r="E23" s="98">
        <v>444.6</v>
      </c>
      <c r="F23" s="98">
        <v>505.6</v>
      </c>
      <c r="G23" s="98">
        <v>458.7</v>
      </c>
      <c r="H23" s="98">
        <v>488</v>
      </c>
      <c r="I23" s="98">
        <v>480.7</v>
      </c>
      <c r="J23" s="98">
        <v>474</v>
      </c>
      <c r="K23" s="99">
        <v>540.6</v>
      </c>
      <c r="L23" s="99">
        <v>522.6</v>
      </c>
      <c r="M23" s="99">
        <v>519.29999999999995</v>
      </c>
    </row>
    <row r="24" spans="1:13" x14ac:dyDescent="0.2">
      <c r="A24" s="18">
        <v>2019</v>
      </c>
      <c r="B24" s="100">
        <v>372.6</v>
      </c>
      <c r="C24" s="101">
        <v>459.3</v>
      </c>
      <c r="D24" s="101">
        <v>533.79999999999995</v>
      </c>
      <c r="E24" s="101">
        <v>515.6</v>
      </c>
      <c r="F24" s="101">
        <v>481.6</v>
      </c>
      <c r="G24" s="101">
        <v>445.4</v>
      </c>
      <c r="H24" s="101">
        <v>499.1</v>
      </c>
      <c r="I24" s="101">
        <v>464.3</v>
      </c>
      <c r="J24" s="101">
        <v>501.7</v>
      </c>
      <c r="K24" s="102">
        <v>525.29999999999995</v>
      </c>
      <c r="L24" s="102">
        <v>504.1</v>
      </c>
      <c r="M24" s="102">
        <v>539.70000000000005</v>
      </c>
    </row>
    <row r="25" spans="1:13" x14ac:dyDescent="0.2">
      <c r="A25" s="18">
        <v>2020</v>
      </c>
      <c r="B25" s="100">
        <v>379.8</v>
      </c>
      <c r="C25" s="101">
        <v>484.8</v>
      </c>
      <c r="D25" s="101">
        <v>500.5</v>
      </c>
      <c r="E25" s="101">
        <v>285.7</v>
      </c>
      <c r="F25" s="101">
        <v>329.3</v>
      </c>
      <c r="G25" s="101">
        <v>413.3</v>
      </c>
      <c r="H25" s="101">
        <v>496.5</v>
      </c>
      <c r="I25" s="101">
        <v>433.7</v>
      </c>
      <c r="J25" s="101">
        <v>508.4</v>
      </c>
      <c r="K25" s="102">
        <v>493.6</v>
      </c>
      <c r="L25" s="102">
        <v>522.9</v>
      </c>
      <c r="M25" s="102">
        <v>567.20000000000005</v>
      </c>
    </row>
    <row r="26" spans="1:13" x14ac:dyDescent="0.2">
      <c r="A26" s="18">
        <v>2021</v>
      </c>
      <c r="B26" s="100">
        <v>401.7</v>
      </c>
      <c r="C26" s="101">
        <v>521.5</v>
      </c>
      <c r="D26" s="101"/>
      <c r="E26" s="101"/>
      <c r="F26" s="101"/>
      <c r="G26" s="101"/>
      <c r="H26" s="101"/>
      <c r="I26" s="101"/>
      <c r="J26" s="101"/>
      <c r="K26" s="102"/>
      <c r="L26" s="102"/>
      <c r="M26" s="102"/>
    </row>
  </sheetData>
  <mergeCells count="1">
    <mergeCell ref="A2:J2"/>
  </mergeCell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9"/>
  <sheetViews>
    <sheetView workbookViewId="0">
      <selection activeCell="A2" sqref="A2:L2"/>
    </sheetView>
  </sheetViews>
  <sheetFormatPr defaultRowHeight="12" x14ac:dyDescent="0.2"/>
  <cols>
    <col min="1" max="1" width="17.7109375" style="24" customWidth="1"/>
    <col min="2" max="2" width="6.28515625" style="24" bestFit="1" customWidth="1"/>
    <col min="3" max="3" width="6.85546875" style="24" bestFit="1" customWidth="1"/>
    <col min="4" max="4" width="7.7109375" style="24" bestFit="1" customWidth="1"/>
    <col min="5" max="5" width="7.5703125" style="24" bestFit="1" customWidth="1"/>
    <col min="6" max="6" width="6.7109375" style="24" bestFit="1" customWidth="1"/>
    <col min="7" max="7" width="7.5703125" style="24" bestFit="1" customWidth="1"/>
    <col min="8" max="8" width="7.85546875" style="24" bestFit="1" customWidth="1"/>
    <col min="9" max="9" width="9.28515625" style="24" bestFit="1" customWidth="1"/>
    <col min="10" max="10" width="7.5703125" style="24" bestFit="1" customWidth="1"/>
    <col min="11" max="11" width="6.7109375" style="24" bestFit="1" customWidth="1"/>
    <col min="12" max="12" width="7.5703125" style="24" bestFit="1" customWidth="1"/>
    <col min="13" max="13" width="8.42578125" style="24" bestFit="1" customWidth="1"/>
    <col min="14" max="14" width="6.140625" style="24" bestFit="1" customWidth="1"/>
    <col min="15" max="15" width="6.85546875" style="24" bestFit="1" customWidth="1"/>
    <col min="16" max="16" width="7.7109375" style="24" bestFit="1" customWidth="1"/>
    <col min="17" max="17" width="7.5703125" style="24" bestFit="1" customWidth="1"/>
    <col min="18" max="18" width="7.28515625" style="24" customWidth="1"/>
    <col min="19" max="21" width="9.28515625" style="24" bestFit="1" customWidth="1"/>
    <col min="22" max="22" width="8.5703125" style="24" customWidth="1"/>
    <col min="23" max="23" width="9.28515625" style="24" bestFit="1" customWidth="1"/>
    <col min="24" max="24" width="9.28515625" style="24" customWidth="1"/>
    <col min="25" max="27" width="9.28515625" style="24" bestFit="1" customWidth="1"/>
    <col min="28" max="16384" width="9.140625" style="24"/>
  </cols>
  <sheetData>
    <row r="2" spans="1:12" x14ac:dyDescent="0.2">
      <c r="A2" s="141" t="s">
        <v>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2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2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2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2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2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2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2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2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2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2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27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27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27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27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27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27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27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27" x14ac:dyDescent="0.2">
      <c r="A24" s="149"/>
      <c r="B24" s="144">
        <v>2019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>
        <v>2020</v>
      </c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>
        <v>2021</v>
      </c>
      <c r="AA24" s="144"/>
    </row>
    <row r="25" spans="1:27" x14ac:dyDescent="0.2">
      <c r="A25" s="150"/>
      <c r="B25" s="28" t="s">
        <v>15</v>
      </c>
      <c r="C25" s="28" t="s">
        <v>16</v>
      </c>
      <c r="D25" s="28" t="s">
        <v>17</v>
      </c>
      <c r="E25" s="28" t="s">
        <v>18</v>
      </c>
      <c r="F25" s="28" t="s">
        <v>19</v>
      </c>
      <c r="G25" s="28" t="s">
        <v>20</v>
      </c>
      <c r="H25" s="28" t="s">
        <v>21</v>
      </c>
      <c r="I25" s="28" t="s">
        <v>22</v>
      </c>
      <c r="J25" s="28" t="s">
        <v>23</v>
      </c>
      <c r="K25" s="28" t="s">
        <v>24</v>
      </c>
      <c r="L25" s="28" t="s">
        <v>25</v>
      </c>
      <c r="M25" s="28" t="s">
        <v>26</v>
      </c>
      <c r="N25" s="28" t="s">
        <v>15</v>
      </c>
      <c r="O25" s="28" t="s">
        <v>16</v>
      </c>
      <c r="P25" s="28" t="s">
        <v>17</v>
      </c>
      <c r="Q25" s="28" t="s">
        <v>18</v>
      </c>
      <c r="R25" s="28" t="s">
        <v>19</v>
      </c>
      <c r="S25" s="28" t="s">
        <v>27</v>
      </c>
      <c r="T25" s="28" t="s">
        <v>21</v>
      </c>
      <c r="U25" s="28" t="s">
        <v>28</v>
      </c>
      <c r="V25" s="28" t="s">
        <v>23</v>
      </c>
      <c r="W25" s="28" t="s">
        <v>29</v>
      </c>
      <c r="X25" s="28" t="s">
        <v>25</v>
      </c>
      <c r="Y25" s="28" t="s">
        <v>26</v>
      </c>
      <c r="Z25" s="28" t="s">
        <v>15</v>
      </c>
      <c r="AA25" s="28" t="s">
        <v>16</v>
      </c>
    </row>
    <row r="26" spans="1:27" ht="24" x14ac:dyDescent="0.2">
      <c r="A26" s="103" t="s">
        <v>30</v>
      </c>
      <c r="B26" s="104">
        <v>71.738158213015794</v>
      </c>
      <c r="C26" s="31">
        <v>123.27227087030982</v>
      </c>
      <c r="D26" s="31">
        <v>116.24365644398502</v>
      </c>
      <c r="E26" s="31">
        <v>96.580225893758936</v>
      </c>
      <c r="F26" s="31">
        <v>93.408604141465986</v>
      </c>
      <c r="G26" s="31">
        <v>92.490171422142794</v>
      </c>
      <c r="H26" s="31">
        <v>112.04816621722891</v>
      </c>
      <c r="I26" s="31">
        <v>93.020207912369386</v>
      </c>
      <c r="J26" s="31">
        <v>108.06099409813686</v>
      </c>
      <c r="K26" s="31">
        <v>104.71321760096355</v>
      </c>
      <c r="L26" s="31">
        <v>95.961007942682357</v>
      </c>
      <c r="M26" s="31">
        <v>107.05149255623367</v>
      </c>
      <c r="N26" s="33">
        <v>70.382003770665676</v>
      </c>
      <c r="O26" s="33">
        <v>127.63423451925213</v>
      </c>
      <c r="P26" s="32">
        <v>103.23912793888927</v>
      </c>
      <c r="Q26" s="33">
        <v>57.078690511307506</v>
      </c>
      <c r="R26" s="33">
        <v>115.28014011401433</v>
      </c>
      <c r="S26" s="32">
        <v>125.49226317448301</v>
      </c>
      <c r="T26" s="32">
        <v>120.12587844202298</v>
      </c>
      <c r="U26" s="32">
        <v>87.365815836450849</v>
      </c>
      <c r="V26" s="34">
        <v>117.22820986033366</v>
      </c>
      <c r="W26" s="34">
        <v>97.068845638383863</v>
      </c>
      <c r="X26" s="34">
        <v>105.94920392874525</v>
      </c>
      <c r="Y26" s="34">
        <v>108.47425306036291</v>
      </c>
      <c r="Z26" s="36">
        <v>70.828322892530892</v>
      </c>
      <c r="AA26" s="105">
        <v>129.79977188418411</v>
      </c>
    </row>
    <row r="27" spans="1:27" ht="36" x14ac:dyDescent="0.2">
      <c r="A27" s="37" t="s">
        <v>31</v>
      </c>
      <c r="B27" s="38">
        <f>IF(374257.25828="","-",372548.49281/374257.25828*100)</f>
        <v>99.543424894989869</v>
      </c>
      <c r="C27" s="39">
        <f>IF(427600.8878="","-",459248.98718/427600.8878*100)</f>
        <v>107.40131750961253</v>
      </c>
      <c r="D27" s="39">
        <f>IF(524151.65323="","-",533847.81488/524151.65323*100)</f>
        <v>101.84987714724333</v>
      </c>
      <c r="E27" s="39">
        <f>IF(444601.83252="","-",515591.42554/444601.83252*100)</f>
        <v>115.96700414337735</v>
      </c>
      <c r="F27" s="39">
        <f>IF(505594.98812="","-",481606.75367/505594.98812*100)</f>
        <v>95.255444572503052</v>
      </c>
      <c r="G27" s="39">
        <f>IF(458682.35918="","-",445438.91205/458682.35918*100)</f>
        <v>97.112719321999705</v>
      </c>
      <c r="H27" s="39">
        <f>IF(488041.26888="","-",499106.13257/488041.26888*100)</f>
        <v>102.26719836939048</v>
      </c>
      <c r="I27" s="39">
        <f>IF(480650.77296="","-",464269.56222/480650.77296*100)</f>
        <v>96.591868428897087</v>
      </c>
      <c r="J27" s="39">
        <f>IF(473973.76404="","-",501694.30423/473973.76404*100)</f>
        <v>105.84853894732886</v>
      </c>
      <c r="K27" s="39">
        <f>IF(540614.13985="","-",525340.24848/540614.13985*100)</f>
        <v>97.174714783775727</v>
      </c>
      <c r="L27" s="39">
        <f>IF(522571.0681="","-",504121.79757/522571.0681*100)</f>
        <v>96.469519333115954</v>
      </c>
      <c r="M27" s="39">
        <f>IF(519317.05816="","-",539669.9086/519317.05816*100)</f>
        <v>103.91915692353963</v>
      </c>
      <c r="N27" s="40">
        <f>IF(372548.49281="","-",379830.49542/372548.49281*100)</f>
        <v>101.95464556978192</v>
      </c>
      <c r="O27" s="40">
        <f>IF(459248.98718="","-",484793.7453/459248.98718*100)</f>
        <v>105.56228948415468</v>
      </c>
      <c r="P27" s="40">
        <f>IF(533847.81488="","-",500496.83495/533847.81488*100)</f>
        <v>93.752717722091504</v>
      </c>
      <c r="Q27" s="40">
        <f>IF(515591.42554="","-",285677.03944/515591.42554*100)</f>
        <v>55.407639710221858</v>
      </c>
      <c r="R27" s="40">
        <f>IF(481606.75367="","-",329328.89134/481606.75367*100)</f>
        <v>68.381285941363316</v>
      </c>
      <c r="S27" s="40">
        <f>IF(445438.91205="","-",413282.27903/445438.91205*100)</f>
        <v>92.780910659105047</v>
      </c>
      <c r="T27" s="41">
        <f>IF(499106.13257="","-",496458.96813/499106.13257*100)</f>
        <v>99.469618931274354</v>
      </c>
      <c r="U27" s="41">
        <f>IF(464269.56222="","-",433735.4278/464269.56222*100)</f>
        <v>93.423188400722452</v>
      </c>
      <c r="V27" s="42">
        <f>IF(501694.30423="","-",508460.27754/501694.30423*100)</f>
        <v>101.34862470092907</v>
      </c>
      <c r="W27" s="40">
        <f>IF(525340.24848="","-",493551.84999/525340.24848*100)</f>
        <v>93.948988568461047</v>
      </c>
      <c r="X27" s="40">
        <f>IF(504121.79757="","-",522941.6373/504121.79757*100)</f>
        <v>103.73319301421135</v>
      </c>
      <c r="Y27" s="41">
        <f>IF(539669.9086="","-",567225.32582/539669.9086*100)</f>
        <v>105.10597622377793</v>
      </c>
      <c r="Z27" s="41">
        <f>IF(379830.49542="","-",401756.1853/379830.49542*100)</f>
        <v>105.77249329487238</v>
      </c>
      <c r="AA27" s="106">
        <f>IF(484793.7453="","-",521478.61205/484793.7453*100)</f>
        <v>107.56710809610357</v>
      </c>
    </row>
    <row r="28" spans="1:27" x14ac:dyDescent="0.2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9"/>
      <c r="O28" s="109"/>
      <c r="P28" s="109"/>
      <c r="Q28" s="109"/>
      <c r="R28" s="109"/>
      <c r="S28" s="109"/>
      <c r="T28" s="109"/>
    </row>
    <row r="29" spans="1:27" x14ac:dyDescent="0.2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9"/>
      <c r="O29" s="109"/>
      <c r="P29" s="109"/>
      <c r="Q29" s="109"/>
      <c r="R29" s="109"/>
      <c r="S29" s="109"/>
      <c r="T29" s="109"/>
    </row>
  </sheetData>
  <mergeCells count="5">
    <mergeCell ref="A2:L2"/>
    <mergeCell ref="A24:A25"/>
    <mergeCell ref="B24:M24"/>
    <mergeCell ref="N24:Y24"/>
    <mergeCell ref="Z24:AA2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workbookViewId="0">
      <selection activeCell="A2" sqref="A2:G2"/>
    </sheetView>
  </sheetViews>
  <sheetFormatPr defaultRowHeight="12" x14ac:dyDescent="0.2"/>
  <cols>
    <col min="1" max="1" width="24" style="24" customWidth="1"/>
    <col min="2" max="7" width="14.85546875" style="24" bestFit="1" customWidth="1"/>
    <col min="8" max="16384" width="9.140625" style="24"/>
  </cols>
  <sheetData>
    <row r="2" spans="1:7" x14ac:dyDescent="0.2">
      <c r="A2" s="141" t="s">
        <v>89</v>
      </c>
      <c r="B2" s="141"/>
      <c r="C2" s="141"/>
      <c r="D2" s="141"/>
      <c r="E2" s="141"/>
      <c r="F2" s="141"/>
      <c r="G2" s="141"/>
    </row>
    <row r="3" spans="1:7" x14ac:dyDescent="0.2">
      <c r="A3" s="25"/>
      <c r="B3" s="25"/>
      <c r="C3" s="25"/>
      <c r="D3" s="25"/>
      <c r="E3" s="25"/>
      <c r="F3" s="25"/>
      <c r="G3" s="25"/>
    </row>
    <row r="4" spans="1:7" x14ac:dyDescent="0.2">
      <c r="A4" s="25"/>
      <c r="B4" s="25"/>
      <c r="C4" s="25"/>
      <c r="D4" s="25"/>
      <c r="E4" s="25"/>
      <c r="F4" s="25"/>
      <c r="G4" s="25"/>
    </row>
    <row r="5" spans="1:7" x14ac:dyDescent="0.2">
      <c r="A5" s="25"/>
      <c r="B5" s="25"/>
      <c r="C5" s="25"/>
      <c r="D5" s="25"/>
      <c r="E5" s="25"/>
      <c r="F5" s="25"/>
      <c r="G5" s="25"/>
    </row>
    <row r="6" spans="1:7" x14ac:dyDescent="0.2">
      <c r="A6" s="25"/>
      <c r="B6" s="25"/>
      <c r="C6" s="25"/>
      <c r="D6" s="25"/>
      <c r="E6" s="25"/>
      <c r="F6" s="25"/>
      <c r="G6" s="25"/>
    </row>
    <row r="7" spans="1:7" x14ac:dyDescent="0.2">
      <c r="A7" s="25"/>
      <c r="B7" s="25"/>
      <c r="C7" s="25"/>
      <c r="D7" s="25"/>
      <c r="E7" s="25"/>
      <c r="F7" s="25"/>
      <c r="G7" s="25"/>
    </row>
    <row r="8" spans="1:7" x14ac:dyDescent="0.2">
      <c r="A8" s="25"/>
      <c r="B8" s="25"/>
      <c r="C8" s="25"/>
      <c r="D8" s="25"/>
      <c r="E8" s="25"/>
      <c r="F8" s="25"/>
      <c r="G8" s="25"/>
    </row>
    <row r="9" spans="1:7" x14ac:dyDescent="0.2">
      <c r="A9" s="25"/>
      <c r="B9" s="25"/>
      <c r="C9" s="25"/>
      <c r="D9" s="25"/>
      <c r="E9" s="25"/>
      <c r="F9" s="25"/>
      <c r="G9" s="25"/>
    </row>
    <row r="10" spans="1:7" x14ac:dyDescent="0.2">
      <c r="A10" s="25"/>
      <c r="B10" s="25"/>
      <c r="C10" s="25"/>
      <c r="D10" s="25"/>
      <c r="E10" s="25"/>
      <c r="F10" s="25"/>
      <c r="G10" s="25"/>
    </row>
    <row r="11" spans="1:7" x14ac:dyDescent="0.2">
      <c r="A11" s="25"/>
      <c r="B11" s="25"/>
      <c r="C11" s="25"/>
      <c r="D11" s="25"/>
      <c r="E11" s="25"/>
      <c r="F11" s="25"/>
      <c r="G11" s="25"/>
    </row>
    <row r="12" spans="1:7" x14ac:dyDescent="0.2">
      <c r="A12" s="25"/>
      <c r="B12" s="25"/>
      <c r="C12" s="25"/>
      <c r="D12" s="25"/>
      <c r="E12" s="25"/>
      <c r="F12" s="25"/>
      <c r="G12" s="25"/>
    </row>
    <row r="13" spans="1:7" x14ac:dyDescent="0.2">
      <c r="A13" s="25"/>
      <c r="B13" s="25"/>
      <c r="C13" s="25"/>
      <c r="D13" s="25"/>
      <c r="E13" s="25"/>
      <c r="F13" s="25"/>
      <c r="G13" s="25"/>
    </row>
    <row r="14" spans="1:7" x14ac:dyDescent="0.2">
      <c r="A14" s="25"/>
      <c r="B14" s="25"/>
      <c r="C14" s="25"/>
      <c r="D14" s="25"/>
      <c r="E14" s="25"/>
      <c r="F14" s="25"/>
      <c r="G14" s="25"/>
    </row>
    <row r="15" spans="1:7" x14ac:dyDescent="0.2">
      <c r="A15" s="25"/>
      <c r="B15" s="25"/>
      <c r="C15" s="25"/>
      <c r="D15" s="25"/>
      <c r="E15" s="25"/>
      <c r="F15" s="25"/>
      <c r="G15" s="25"/>
    </row>
    <row r="16" spans="1:7" x14ac:dyDescent="0.2">
      <c r="A16" s="25"/>
      <c r="B16" s="25"/>
      <c r="C16" s="25"/>
      <c r="D16" s="25"/>
      <c r="E16" s="25"/>
      <c r="F16" s="25"/>
      <c r="G16" s="25"/>
    </row>
    <row r="17" spans="1:8" x14ac:dyDescent="0.2">
      <c r="A17" s="25"/>
      <c r="B17" s="25"/>
      <c r="C17" s="25"/>
      <c r="D17" s="25"/>
      <c r="E17" s="25"/>
      <c r="F17" s="25"/>
      <c r="G17" s="25"/>
    </row>
    <row r="18" spans="1:8" x14ac:dyDescent="0.2">
      <c r="A18" s="25"/>
      <c r="B18" s="25"/>
      <c r="C18" s="25"/>
      <c r="D18" s="25"/>
      <c r="E18" s="25"/>
      <c r="F18" s="25"/>
      <c r="G18" s="25"/>
    </row>
    <row r="19" spans="1:8" x14ac:dyDescent="0.2">
      <c r="A19" s="25"/>
      <c r="B19" s="25"/>
      <c r="C19" s="25"/>
      <c r="D19" s="25"/>
      <c r="E19" s="25"/>
      <c r="F19" s="25"/>
      <c r="G19" s="25"/>
    </row>
    <row r="20" spans="1:8" x14ac:dyDescent="0.2">
      <c r="A20" s="25"/>
      <c r="B20" s="25"/>
      <c r="C20" s="25"/>
      <c r="D20" s="25"/>
      <c r="E20" s="25"/>
      <c r="F20" s="25"/>
      <c r="G20" s="25"/>
    </row>
    <row r="21" spans="1:8" x14ac:dyDescent="0.2">
      <c r="A21" s="23"/>
      <c r="B21" s="23"/>
      <c r="C21" s="23"/>
      <c r="D21" s="23"/>
      <c r="E21" s="23"/>
      <c r="F21" s="23"/>
      <c r="G21" s="23"/>
    </row>
    <row r="22" spans="1:8" ht="24" x14ac:dyDescent="0.2">
      <c r="A22" s="46" t="s">
        <v>33</v>
      </c>
      <c r="B22" s="47" t="s">
        <v>34</v>
      </c>
      <c r="C22" s="47" t="s">
        <v>35</v>
      </c>
      <c r="D22" s="47" t="s">
        <v>36</v>
      </c>
      <c r="E22" s="47" t="s">
        <v>37</v>
      </c>
      <c r="F22" s="47" t="s">
        <v>38</v>
      </c>
      <c r="G22" s="48" t="s">
        <v>39</v>
      </c>
      <c r="H22" s="110"/>
    </row>
    <row r="23" spans="1:8" x14ac:dyDescent="0.2">
      <c r="A23" s="111" t="s">
        <v>90</v>
      </c>
      <c r="B23" s="32">
        <f>IF(18782.74342="","-",18782.74342/923234.79735*100)</f>
        <v>2.0344492510369956</v>
      </c>
      <c r="C23" s="32">
        <f>IF(14060.75183="","-",14060.75183/864624.24072*100)</f>
        <v>1.626226881898565</v>
      </c>
      <c r="D23" s="32">
        <f>IF(10685.19185="","-",10685.19185/831797.47999*100)</f>
        <v>1.2845905532352007</v>
      </c>
      <c r="E23" s="32">
        <f>IF(22024.98695="","-",22024.98695/801858.14608*100)</f>
        <v>2.7467435552874715</v>
      </c>
      <c r="F23" s="32">
        <f>IF(11460.76221="","-",11460.76221/599501.49446*100)</f>
        <v>1.9117153695043354</v>
      </c>
      <c r="G23" s="32">
        <f>IF(3913.43613="","-",3913.43613/494274.03793*100)</f>
        <v>0.79175433660026229</v>
      </c>
    </row>
    <row r="24" spans="1:8" x14ac:dyDescent="0.2">
      <c r="A24" s="112" t="s">
        <v>91</v>
      </c>
      <c r="B24" s="10">
        <f>IF(46896.76742="","-",46896.76742/923234.79735*100)</f>
        <v>5.0796143683719226</v>
      </c>
      <c r="C24" s="10">
        <f>IF(43592.44843="","-",43592.44843/864624.24072*100)</f>
        <v>5.0417795820412321</v>
      </c>
      <c r="D24" s="10">
        <f>IF(27652.12105="","-",27652.12105/831797.47999*100)</f>
        <v>3.3243814408204795</v>
      </c>
      <c r="E24" s="10">
        <f>IF(47088.08315="","-",47088.08315/801858.14608*100)</f>
        <v>5.8723707404104992</v>
      </c>
      <c r="F24" s="10">
        <f>IF(42246.77553="","-",42246.77553/599501.49446*100)</f>
        <v>7.0469841894312077</v>
      </c>
      <c r="G24" s="10">
        <f>IF(29832.60092="","-",29832.60092/494274.03793*100)</f>
        <v>6.035639873973099</v>
      </c>
    </row>
    <row r="25" spans="1:8" x14ac:dyDescent="0.2">
      <c r="A25" s="112" t="s">
        <v>92</v>
      </c>
      <c r="B25" s="10">
        <f>IF(781473.3969="","-",781473.3969/923234.79735*100)</f>
        <v>84.645141099869321</v>
      </c>
      <c r="C25" s="10">
        <f>IF(716286.31499="","-",716286.31499/864624.24072*100)</f>
        <v>82.843654070295983</v>
      </c>
      <c r="D25" s="10">
        <f>IF(669094.86685="","-",669094.86685/831797.47999*100)</f>
        <v>80.439636203038745</v>
      </c>
      <c r="E25" s="10">
        <f>IF(633886.65908="","-",633886.65908/801858.14608*100)</f>
        <v>79.052219171040036</v>
      </c>
      <c r="F25" s="10">
        <f>IF(469599.724="","-",469599.724/599501.49446*100)</f>
        <v>78.331701978990267</v>
      </c>
      <c r="G25" s="10">
        <f>IF(373914.45206="","-",373914.45206/494274.03793*100)</f>
        <v>75.649219535369255</v>
      </c>
    </row>
    <row r="26" spans="1:8" x14ac:dyDescent="0.2">
      <c r="A26" s="112" t="s">
        <v>93</v>
      </c>
      <c r="B26" s="10">
        <f>IF(20982.39019="","-",20982.39019/923234.79735*100)</f>
        <v>2.2727035690407944</v>
      </c>
      <c r="C26" s="10">
        <f>IF(20567.46271="","-",20567.46271/864624.24072*100)</f>
        <v>2.3787747025080885</v>
      </c>
      <c r="D26" s="10">
        <f>IF(23352.29794="","-",23352.29794/831797.47999*100)</f>
        <v>2.8074499504712067</v>
      </c>
      <c r="E26" s="10">
        <f>IF(22134.2861="","-",22134.2861/801858.14608*100)</f>
        <v>2.7603742891690599</v>
      </c>
      <c r="F26" s="10">
        <f>IF(17196.82662="","-",17196.82662/599501.49446*100)</f>
        <v>2.8685210593995292</v>
      </c>
      <c r="G26" s="10">
        <f>IF(8761.87251="","-",8761.87251/494274.03793*100)</f>
        <v>1.7726750421070814</v>
      </c>
    </row>
    <row r="27" spans="1:8" x14ac:dyDescent="0.2">
      <c r="A27" s="112" t="s">
        <v>94</v>
      </c>
      <c r="B27" s="10">
        <f>IF(1453.02804="","-",1453.02804/923234.79735*100)</f>
        <v>0.15738445346413371</v>
      </c>
      <c r="C27" s="10">
        <f>IF(1401.84218="","-",1401.84218/864624.24072*100)</f>
        <v>0.16213311100700134</v>
      </c>
      <c r="D27" s="10">
        <f>IF(1444.37273="","-",1444.37273/831797.47999*100)</f>
        <v>0.17364475906050647</v>
      </c>
      <c r="E27" s="10">
        <f>IF(2322.23152="","-",2322.23152/801858.14608*100)</f>
        <v>0.28960627654062826</v>
      </c>
      <c r="F27" s="10">
        <f>IF(1427.61554="","-",1427.61554/599501.49446*100)</f>
        <v>0.23813377501017285</v>
      </c>
      <c r="G27" s="10">
        <f>IF(4464.72327="","-",4464.72327/494274.03793*100)</f>
        <v>0.90328905169652118</v>
      </c>
    </row>
    <row r="28" spans="1:8" x14ac:dyDescent="0.2">
      <c r="A28" s="112" t="s">
        <v>95</v>
      </c>
      <c r="B28" s="10">
        <f>IF(49189.24444="","-",49189.24444/923234.79735*100)</f>
        <v>5.327923577099777</v>
      </c>
      <c r="C28" s="10">
        <f>IF(64166.29536="","-",64166.29536/864624.24072*100)</f>
        <v>7.4212926654203786</v>
      </c>
      <c r="D28" s="10">
        <f>IF(93122.19497="","-",93122.19497/831797.47999*100)</f>
        <v>11.195296596849454</v>
      </c>
      <c r="E28" s="10">
        <f>IF(69484.92679="","-",69484.92679/801858.14608*100)</f>
        <v>8.6654886689980213</v>
      </c>
      <c r="F28" s="10">
        <f>IF(54081.23456="","-",54081.23456/599501.49446*100)</f>
        <v>9.0210341525025868</v>
      </c>
      <c r="G28" s="10">
        <f>IF(71216.2047="","-",71216.2047/494274.03793*100)</f>
        <v>14.408243046357569</v>
      </c>
    </row>
    <row r="29" spans="1:8" x14ac:dyDescent="0.2">
      <c r="A29" s="112" t="s">
        <v>96</v>
      </c>
      <c r="B29" s="10">
        <f>IF(4457.22694="","-",4457.22694/923234.79735*100)</f>
        <v>0.48278368111706438</v>
      </c>
      <c r="C29" s="10">
        <f>IF(4549.12522="","-",4549.12522/864624.24072*100)</f>
        <v>0.52613898682875226</v>
      </c>
      <c r="D29" s="10">
        <f>IF(6446.4346="","-",6446.4346/831797.47999*100)</f>
        <v>0.77500049652440628</v>
      </c>
      <c r="E29" s="10">
        <f>IF(4916.97249="","-",4916.97249/801858.14608*100)</f>
        <v>0.61319729855428096</v>
      </c>
      <c r="F29" s="10">
        <f>IF(3488.556="","-",3488.556/599501.49446*100)</f>
        <v>0.58190947516191116</v>
      </c>
      <c r="G29" s="10">
        <f>IF(2170.74834="","-",2170.74834/494274.03793*100)</f>
        <v>0.43917911389621189</v>
      </c>
    </row>
  </sheetData>
  <mergeCells count="1">
    <mergeCell ref="A2:G2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Petrusca</dc:creator>
  <cp:lastModifiedBy>Doina Vudvud</cp:lastModifiedBy>
  <dcterms:created xsi:type="dcterms:W3CDTF">2017-02-13T11:50:10Z</dcterms:created>
  <dcterms:modified xsi:type="dcterms:W3CDTF">2021-04-16T09:47:11Z</dcterms:modified>
</cp:coreProperties>
</file>