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2_2022_REV.1\"/>
    </mc:Choice>
  </mc:AlternateContent>
  <bookViews>
    <workbookView xWindow="0" yWindow="0" windowWidth="28800" windowHeight="1219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  <sheet name="Лист1" sheetId="9" r:id="rId9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 iterate="1"/>
</workbook>
</file>

<file path=xl/calcChain.xml><?xml version="1.0" encoding="utf-8"?>
<calcChain xmlns="http://schemas.openxmlformats.org/spreadsheetml/2006/main">
  <c r="C15" i="7" l="1"/>
  <c r="E53" i="4" l="1"/>
  <c r="D72" i="3" l="1"/>
  <c r="D55" i="3"/>
  <c r="D49" i="3"/>
  <c r="D48" i="3"/>
  <c r="D11" i="3"/>
  <c r="D52" i="6" l="1"/>
  <c r="D43" i="6"/>
  <c r="C84" i="2" l="1"/>
  <c r="C81" i="2"/>
  <c r="C61" i="2"/>
  <c r="C51" i="2"/>
  <c r="C14" i="2"/>
  <c r="D42" i="5" l="1"/>
  <c r="C17" i="1" l="1"/>
  <c r="C16" i="1"/>
  <c r="C8" i="1"/>
  <c r="D14" i="7" l="1"/>
  <c r="D13" i="7"/>
  <c r="D12" i="7"/>
  <c r="D11" i="7"/>
  <c r="D10" i="7"/>
  <c r="D9" i="7"/>
  <c r="D8" i="7"/>
  <c r="E81" i="4" l="1"/>
  <c r="E79" i="4"/>
  <c r="E78" i="4"/>
  <c r="E77" i="4"/>
  <c r="E75" i="4"/>
  <c r="E73" i="4"/>
  <c r="E72" i="4"/>
  <c r="E71" i="4"/>
  <c r="E69" i="4"/>
  <c r="E68" i="4"/>
  <c r="E67" i="4"/>
  <c r="E66" i="4"/>
  <c r="E65" i="4"/>
  <c r="E62" i="4"/>
  <c r="E61" i="4"/>
  <c r="E60" i="4"/>
  <c r="E59" i="4"/>
  <c r="E58" i="4"/>
  <c r="E57" i="4"/>
  <c r="E56" i="4"/>
  <c r="E55" i="4"/>
  <c r="E54" i="4"/>
  <c r="E52" i="4"/>
  <c r="E51" i="4"/>
  <c r="E50" i="4"/>
  <c r="E49" i="4"/>
  <c r="E46" i="4"/>
  <c r="E45" i="4"/>
  <c r="E44" i="4"/>
  <c r="E43" i="4"/>
  <c r="E41" i="4"/>
  <c r="E40" i="4"/>
  <c r="E38" i="4"/>
  <c r="E31" i="4"/>
  <c r="E30" i="4"/>
  <c r="E29" i="4"/>
  <c r="E28" i="4"/>
  <c r="E23" i="4"/>
  <c r="E21" i="4"/>
  <c r="E20" i="4"/>
  <c r="E19" i="4"/>
  <c r="E18" i="4"/>
  <c r="E16" i="4"/>
  <c r="E12" i="4"/>
  <c r="E11" i="4"/>
  <c r="E6" i="4"/>
  <c r="H81" i="6" l="1"/>
  <c r="G81" i="6"/>
  <c r="F81" i="6"/>
  <c r="E81" i="6"/>
  <c r="H80" i="6"/>
  <c r="G80" i="6"/>
  <c r="F80" i="6"/>
  <c r="E80" i="6"/>
  <c r="D80" i="6"/>
  <c r="H79" i="6"/>
  <c r="G79" i="6"/>
  <c r="F79" i="6"/>
  <c r="E79" i="6"/>
  <c r="H78" i="6"/>
  <c r="G78" i="6"/>
  <c r="F78" i="6"/>
  <c r="E78" i="6"/>
  <c r="D78" i="6"/>
  <c r="H77" i="6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H61" i="6"/>
  <c r="G61" i="6"/>
  <c r="F61" i="6"/>
  <c r="E61" i="6"/>
  <c r="D61" i="6"/>
  <c r="H60" i="6"/>
  <c r="G60" i="6"/>
  <c r="F60" i="6"/>
  <c r="E60" i="6"/>
  <c r="D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H46" i="6"/>
  <c r="G46" i="6"/>
  <c r="F46" i="6"/>
  <c r="E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H42" i="6"/>
  <c r="G42" i="6"/>
  <c r="F42" i="6"/>
  <c r="E42" i="6"/>
  <c r="D42" i="6"/>
  <c r="H41" i="6"/>
  <c r="G41" i="6"/>
  <c r="F41" i="6"/>
  <c r="E41" i="6"/>
  <c r="H40" i="6"/>
  <c r="G40" i="6"/>
  <c r="F40" i="6"/>
  <c r="E40" i="6"/>
  <c r="D40" i="6"/>
  <c r="H39" i="6"/>
  <c r="G39" i="6"/>
  <c r="F39" i="6"/>
  <c r="E39" i="6"/>
  <c r="D39" i="6"/>
  <c r="H38" i="6"/>
  <c r="G38" i="6"/>
  <c r="F38" i="6"/>
  <c r="E38" i="6"/>
  <c r="D38" i="6"/>
  <c r="H37" i="6"/>
  <c r="G37" i="6"/>
  <c r="F37" i="6"/>
  <c r="E37" i="6"/>
  <c r="D37" i="6"/>
  <c r="H36" i="6"/>
  <c r="G36" i="6"/>
  <c r="F36" i="6"/>
  <c r="E36" i="6"/>
  <c r="D36" i="6"/>
  <c r="H35" i="6"/>
  <c r="G35" i="6"/>
  <c r="F35" i="6"/>
  <c r="E35" i="6"/>
  <c r="H34" i="6"/>
  <c r="G34" i="6"/>
  <c r="F34" i="6"/>
  <c r="E34" i="6"/>
  <c r="H33" i="6"/>
  <c r="G33" i="6"/>
  <c r="F33" i="6"/>
  <c r="E33" i="6"/>
  <c r="H32" i="6"/>
  <c r="G32" i="6"/>
  <c r="F32" i="6"/>
  <c r="E32" i="6"/>
  <c r="H31" i="6"/>
  <c r="G31" i="6"/>
  <c r="F31" i="6"/>
  <c r="E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H24" i="6"/>
  <c r="G24" i="6"/>
  <c r="F24" i="6"/>
  <c r="E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H9" i="6"/>
  <c r="G9" i="6"/>
  <c r="F9" i="6"/>
  <c r="E9" i="6"/>
  <c r="H8" i="6"/>
  <c r="G8" i="6"/>
  <c r="F8" i="6"/>
  <c r="E8" i="6"/>
  <c r="D8" i="6"/>
  <c r="H7" i="6"/>
  <c r="G7" i="6"/>
  <c r="D7" i="6"/>
  <c r="H78" i="5" l="1"/>
  <c r="G78" i="5"/>
  <c r="F78" i="5"/>
  <c r="E78" i="5"/>
  <c r="D78" i="5"/>
  <c r="F77" i="5"/>
  <c r="E77" i="5"/>
  <c r="D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D70" i="5"/>
  <c r="H69" i="5"/>
  <c r="G69" i="5"/>
  <c r="F69" i="5"/>
  <c r="E69" i="5"/>
  <c r="D69" i="5"/>
  <c r="H68" i="5"/>
  <c r="G68" i="5"/>
  <c r="F68" i="5"/>
  <c r="E68" i="5"/>
  <c r="D68" i="5"/>
  <c r="H67" i="5"/>
  <c r="G67" i="5"/>
  <c r="F67" i="5"/>
  <c r="E67" i="5"/>
  <c r="D67" i="5"/>
  <c r="H66" i="5"/>
  <c r="G66" i="5"/>
  <c r="F66" i="5"/>
  <c r="E66" i="5"/>
  <c r="H65" i="5"/>
  <c r="G65" i="5"/>
  <c r="F65" i="5"/>
  <c r="E65" i="5"/>
  <c r="D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D62" i="5"/>
  <c r="H61" i="5"/>
  <c r="G61" i="5"/>
  <c r="F61" i="5"/>
  <c r="E61" i="5"/>
  <c r="D61" i="5"/>
  <c r="H60" i="5"/>
  <c r="G60" i="5"/>
  <c r="F60" i="5"/>
  <c r="E60" i="5"/>
  <c r="D60" i="5"/>
  <c r="H59" i="5"/>
  <c r="G59" i="5"/>
  <c r="F59" i="5"/>
  <c r="E59" i="5"/>
  <c r="H58" i="5"/>
  <c r="G58" i="5"/>
  <c r="F58" i="5"/>
  <c r="E58" i="5"/>
  <c r="D58" i="5"/>
  <c r="H57" i="5"/>
  <c r="G57" i="5"/>
  <c r="F57" i="5"/>
  <c r="E57" i="5"/>
  <c r="D57" i="5"/>
  <c r="H56" i="5"/>
  <c r="G56" i="5"/>
  <c r="F56" i="5"/>
  <c r="E56" i="5"/>
  <c r="H55" i="5"/>
  <c r="G55" i="5"/>
  <c r="F55" i="5"/>
  <c r="E55" i="5"/>
  <c r="H54" i="5"/>
  <c r="G54" i="5"/>
  <c r="F54" i="5"/>
  <c r="E54" i="5"/>
  <c r="H53" i="5"/>
  <c r="G53" i="5"/>
  <c r="F53" i="5"/>
  <c r="E53" i="5"/>
  <c r="D53" i="5"/>
  <c r="H52" i="5"/>
  <c r="G52" i="5"/>
  <c r="F52" i="5"/>
  <c r="E52" i="5"/>
  <c r="H51" i="5"/>
  <c r="G51" i="5"/>
  <c r="F51" i="5"/>
  <c r="E51" i="5"/>
  <c r="D51" i="5"/>
  <c r="H50" i="5"/>
  <c r="G50" i="5"/>
  <c r="F50" i="5"/>
  <c r="E50" i="5"/>
  <c r="D50" i="5"/>
  <c r="H49" i="5"/>
  <c r="G49" i="5"/>
  <c r="F49" i="5"/>
  <c r="E49" i="5"/>
  <c r="D49" i="5"/>
  <c r="H48" i="5"/>
  <c r="G48" i="5"/>
  <c r="F48" i="5"/>
  <c r="E48" i="5"/>
  <c r="D48" i="5"/>
  <c r="H47" i="5"/>
  <c r="G47" i="5"/>
  <c r="F47" i="5"/>
  <c r="E47" i="5"/>
  <c r="H46" i="5"/>
  <c r="G46" i="5"/>
  <c r="F46" i="5"/>
  <c r="E46" i="5"/>
  <c r="H45" i="5"/>
  <c r="G45" i="5"/>
  <c r="F45" i="5"/>
  <c r="E45" i="5"/>
  <c r="H44" i="5"/>
  <c r="G44" i="5"/>
  <c r="F44" i="5"/>
  <c r="E44" i="5"/>
  <c r="D44" i="5"/>
  <c r="H43" i="5"/>
  <c r="G43" i="5"/>
  <c r="F43" i="5"/>
  <c r="E43" i="5"/>
  <c r="H42" i="5"/>
  <c r="G42" i="5"/>
  <c r="F42" i="5"/>
  <c r="E42" i="5"/>
  <c r="H41" i="5"/>
  <c r="G41" i="5"/>
  <c r="F41" i="5"/>
  <c r="E41" i="5"/>
  <c r="H40" i="5"/>
  <c r="G40" i="5"/>
  <c r="F40" i="5"/>
  <c r="E40" i="5"/>
  <c r="H39" i="5"/>
  <c r="G39" i="5"/>
  <c r="F39" i="5"/>
  <c r="E39" i="5"/>
  <c r="H38" i="5"/>
  <c r="G38" i="5"/>
  <c r="F38" i="5"/>
  <c r="E38" i="5"/>
  <c r="H37" i="5"/>
  <c r="G37" i="5"/>
  <c r="F37" i="5"/>
  <c r="E37" i="5"/>
  <c r="H36" i="5"/>
  <c r="G36" i="5"/>
  <c r="F36" i="5"/>
  <c r="E36" i="5"/>
  <c r="H35" i="5"/>
  <c r="G35" i="5"/>
  <c r="F35" i="5"/>
  <c r="E35" i="5"/>
  <c r="H34" i="5"/>
  <c r="G34" i="5"/>
  <c r="F34" i="5"/>
  <c r="E34" i="5"/>
  <c r="D34" i="5"/>
  <c r="H33" i="5"/>
  <c r="G33" i="5"/>
  <c r="F33" i="5"/>
  <c r="E33" i="5"/>
  <c r="D33" i="5"/>
  <c r="H32" i="5"/>
  <c r="G32" i="5"/>
  <c r="F32" i="5"/>
  <c r="E32" i="5"/>
  <c r="D32" i="5"/>
  <c r="H31" i="5"/>
  <c r="G31" i="5"/>
  <c r="F31" i="5"/>
  <c r="E31" i="5"/>
  <c r="D31" i="5"/>
  <c r="H30" i="5"/>
  <c r="G30" i="5"/>
  <c r="F30" i="5"/>
  <c r="E30" i="5"/>
  <c r="H29" i="5"/>
  <c r="G29" i="5"/>
  <c r="F29" i="5"/>
  <c r="E29" i="5"/>
  <c r="D29" i="5"/>
  <c r="H28" i="5"/>
  <c r="G28" i="5"/>
  <c r="F28" i="5"/>
  <c r="E28" i="5"/>
  <c r="H27" i="5"/>
  <c r="G27" i="5"/>
  <c r="F27" i="5"/>
  <c r="E27" i="5"/>
  <c r="H26" i="5"/>
  <c r="G26" i="5"/>
  <c r="F26" i="5"/>
  <c r="E26" i="5"/>
  <c r="H25" i="5"/>
  <c r="G25" i="5"/>
  <c r="F25" i="5"/>
  <c r="E25" i="5"/>
  <c r="H24" i="5"/>
  <c r="G24" i="5"/>
  <c r="F24" i="5"/>
  <c r="E24" i="5"/>
  <c r="H23" i="5"/>
  <c r="G23" i="5"/>
  <c r="F23" i="5"/>
  <c r="E23" i="5"/>
  <c r="D23" i="5"/>
  <c r="H22" i="5"/>
  <c r="G22" i="5"/>
  <c r="F22" i="5"/>
  <c r="E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H17" i="5"/>
  <c r="G17" i="5"/>
  <c r="F17" i="5"/>
  <c r="E17" i="5"/>
  <c r="H16" i="5"/>
  <c r="G16" i="5"/>
  <c r="F16" i="5"/>
  <c r="E16" i="5"/>
  <c r="D16" i="5"/>
  <c r="H15" i="5"/>
  <c r="G15" i="5"/>
  <c r="F15" i="5"/>
  <c r="E15" i="5"/>
  <c r="H14" i="5"/>
  <c r="G14" i="5"/>
  <c r="F14" i="5"/>
  <c r="E14" i="5"/>
  <c r="D14" i="5"/>
  <c r="H13" i="5"/>
  <c r="G13" i="5"/>
  <c r="F13" i="5"/>
  <c r="E13" i="5"/>
  <c r="H12" i="5"/>
  <c r="G12" i="5"/>
  <c r="F12" i="5"/>
  <c r="E12" i="5"/>
  <c r="D12" i="5"/>
  <c r="H11" i="5"/>
  <c r="G11" i="5"/>
  <c r="F11" i="5"/>
  <c r="E11" i="5"/>
  <c r="D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H7" i="5"/>
  <c r="G7" i="5"/>
  <c r="E38" i="8" l="1"/>
  <c r="D38" i="8"/>
  <c r="E37" i="8"/>
  <c r="D37" i="8"/>
  <c r="E36" i="8"/>
  <c r="D36" i="8"/>
  <c r="E35" i="8"/>
  <c r="D35" i="8"/>
  <c r="E34" i="8"/>
  <c r="D34" i="8"/>
  <c r="E32" i="8"/>
  <c r="D32" i="8"/>
  <c r="E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37" i="7" l="1"/>
  <c r="D37" i="7"/>
  <c r="E36" i="7"/>
  <c r="D36" i="7"/>
  <c r="E35" i="7"/>
  <c r="D35" i="7"/>
  <c r="E34" i="7"/>
  <c r="D34" i="7"/>
  <c r="E33" i="7"/>
  <c r="D33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E13" i="7"/>
  <c r="E12" i="7"/>
  <c r="E11" i="7"/>
  <c r="E10" i="7"/>
  <c r="E9" i="7"/>
  <c r="E8" i="7"/>
  <c r="D113" i="3" l="1"/>
  <c r="D112" i="3"/>
  <c r="D101" i="3"/>
  <c r="D100" i="3"/>
  <c r="D98" i="3"/>
  <c r="D96" i="3"/>
  <c r="D95" i="3"/>
  <c r="D93" i="3"/>
  <c r="D92" i="3"/>
  <c r="D91" i="3"/>
  <c r="D90" i="3"/>
  <c r="D89" i="3"/>
  <c r="D86" i="3"/>
  <c r="D83" i="3"/>
  <c r="D81" i="3"/>
  <c r="D80" i="3"/>
  <c r="D78" i="3"/>
  <c r="D76" i="3"/>
  <c r="D75" i="3"/>
  <c r="D73" i="3"/>
  <c r="D70" i="3"/>
  <c r="D67" i="3"/>
  <c r="D66" i="3"/>
  <c r="D65" i="3"/>
  <c r="D63" i="3"/>
  <c r="D62" i="3"/>
  <c r="D60" i="3"/>
  <c r="D59" i="3"/>
  <c r="D57" i="3"/>
  <c r="D56" i="3"/>
  <c r="D54" i="3"/>
  <c r="D53" i="3"/>
  <c r="D52" i="3"/>
  <c r="D51" i="3"/>
  <c r="D47" i="3"/>
  <c r="D46" i="3"/>
  <c r="D45" i="3"/>
  <c r="B45" i="3"/>
  <c r="B44" i="3"/>
  <c r="B43" i="3"/>
  <c r="B42" i="3"/>
  <c r="B41" i="3"/>
  <c r="B40" i="3"/>
  <c r="B39" i="3"/>
  <c r="B38" i="3"/>
  <c r="D37" i="3"/>
  <c r="B37" i="3"/>
  <c r="B36" i="3"/>
  <c r="B35" i="3"/>
  <c r="D29" i="3"/>
  <c r="D28" i="3"/>
  <c r="D27" i="3"/>
  <c r="D26" i="3"/>
  <c r="D23" i="3"/>
  <c r="D22" i="3"/>
  <c r="D21" i="3"/>
  <c r="D20" i="3"/>
  <c r="D19" i="3"/>
  <c r="D18" i="3"/>
  <c r="D17" i="3"/>
  <c r="D15" i="3"/>
  <c r="D13" i="3"/>
  <c r="D12" i="3"/>
  <c r="D10" i="3"/>
  <c r="D9" i="3"/>
  <c r="D7" i="3"/>
  <c r="D5" i="3"/>
  <c r="G106" i="2" l="1"/>
  <c r="F106" i="2"/>
  <c r="E106" i="2"/>
  <c r="D106" i="2"/>
  <c r="B106" i="2"/>
  <c r="G105" i="2"/>
  <c r="F105" i="2"/>
  <c r="E105" i="2"/>
  <c r="D105" i="2"/>
  <c r="C105" i="2"/>
  <c r="B105" i="2"/>
  <c r="G104" i="2"/>
  <c r="F104" i="2"/>
  <c r="E104" i="2"/>
  <c r="D104" i="2"/>
  <c r="C104" i="2"/>
  <c r="B104" i="2"/>
  <c r="G103" i="2"/>
  <c r="F103" i="2"/>
  <c r="E103" i="2"/>
  <c r="D103" i="2"/>
  <c r="B103" i="2"/>
  <c r="G102" i="2"/>
  <c r="F102" i="2"/>
  <c r="E102" i="2"/>
  <c r="D102" i="2"/>
  <c r="C102" i="2"/>
  <c r="B102" i="2"/>
  <c r="G101" i="2"/>
  <c r="F101" i="2"/>
  <c r="E101" i="2"/>
  <c r="D101" i="2"/>
  <c r="C101" i="2"/>
  <c r="B101" i="2"/>
  <c r="G100" i="2"/>
  <c r="F100" i="2"/>
  <c r="E100" i="2"/>
  <c r="D100" i="2"/>
  <c r="C100" i="2"/>
  <c r="B100" i="2"/>
  <c r="G99" i="2"/>
  <c r="F99" i="2"/>
  <c r="E99" i="2"/>
  <c r="D99" i="2"/>
  <c r="C99" i="2"/>
  <c r="B99" i="2"/>
  <c r="G98" i="2"/>
  <c r="F98" i="2"/>
  <c r="E98" i="2"/>
  <c r="D98" i="2"/>
  <c r="C98" i="2"/>
  <c r="B98" i="2"/>
  <c r="G97" i="2"/>
  <c r="F97" i="2"/>
  <c r="E97" i="2"/>
  <c r="D97" i="2"/>
  <c r="C97" i="2"/>
  <c r="B97" i="2"/>
  <c r="G96" i="2"/>
  <c r="F96" i="2"/>
  <c r="E96" i="2"/>
  <c r="D96" i="2"/>
  <c r="B96" i="2"/>
  <c r="G95" i="2"/>
  <c r="F95" i="2"/>
  <c r="E95" i="2"/>
  <c r="D95" i="2"/>
  <c r="C95" i="2"/>
  <c r="B95" i="2"/>
  <c r="G94" i="2"/>
  <c r="F94" i="2"/>
  <c r="E94" i="2"/>
  <c r="D94" i="2"/>
  <c r="C94" i="2"/>
  <c r="B94" i="2"/>
  <c r="G93" i="2"/>
  <c r="F93" i="2"/>
  <c r="E93" i="2"/>
  <c r="D93" i="2"/>
  <c r="B93" i="2"/>
  <c r="G92" i="2"/>
  <c r="F92" i="2"/>
  <c r="E92" i="2"/>
  <c r="D92" i="2"/>
  <c r="C92" i="2"/>
  <c r="B92" i="2"/>
  <c r="G91" i="2"/>
  <c r="F91" i="2"/>
  <c r="E91" i="2"/>
  <c r="D91" i="2"/>
  <c r="C91" i="2"/>
  <c r="B91" i="2"/>
  <c r="G90" i="2"/>
  <c r="F90" i="2"/>
  <c r="E90" i="2"/>
  <c r="D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C86" i="2"/>
  <c r="B86" i="2"/>
  <c r="G85" i="2"/>
  <c r="F85" i="2"/>
  <c r="E85" i="2"/>
  <c r="D85" i="2"/>
  <c r="B85" i="2"/>
  <c r="G84" i="2"/>
  <c r="F84" i="2"/>
  <c r="E84" i="2"/>
  <c r="D84" i="2"/>
  <c r="B84" i="2"/>
  <c r="G83" i="2"/>
  <c r="F83" i="2"/>
  <c r="E83" i="2"/>
  <c r="D83" i="2"/>
  <c r="C83" i="2"/>
  <c r="B83" i="2"/>
  <c r="G82" i="2"/>
  <c r="F82" i="2"/>
  <c r="E82" i="2"/>
  <c r="D82" i="2"/>
  <c r="B82" i="2"/>
  <c r="G81" i="2"/>
  <c r="F81" i="2"/>
  <c r="E81" i="2"/>
  <c r="D81" i="2"/>
  <c r="B81" i="2"/>
  <c r="G80" i="2"/>
  <c r="F80" i="2"/>
  <c r="E80" i="2"/>
  <c r="D80" i="2"/>
  <c r="B80" i="2"/>
  <c r="G79" i="2"/>
  <c r="F79" i="2"/>
  <c r="E79" i="2"/>
  <c r="D79" i="2"/>
  <c r="C79" i="2"/>
  <c r="B79" i="2"/>
  <c r="G78" i="2"/>
  <c r="F78" i="2"/>
  <c r="E78" i="2"/>
  <c r="D78" i="2"/>
  <c r="B78" i="2"/>
  <c r="G77" i="2"/>
  <c r="F77" i="2"/>
  <c r="E77" i="2"/>
  <c r="D77" i="2"/>
  <c r="C77" i="2"/>
  <c r="B77" i="2"/>
  <c r="G76" i="2"/>
  <c r="F76" i="2"/>
  <c r="E76" i="2"/>
  <c r="D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C72" i="2"/>
  <c r="B72" i="2"/>
  <c r="G71" i="2"/>
  <c r="F71" i="2"/>
  <c r="E71" i="2"/>
  <c r="D71" i="2"/>
  <c r="C71" i="2"/>
  <c r="B71" i="2"/>
  <c r="G70" i="2"/>
  <c r="F70" i="2"/>
  <c r="E70" i="2"/>
  <c r="D70" i="2"/>
  <c r="B70" i="2"/>
  <c r="G69" i="2"/>
  <c r="F69" i="2"/>
  <c r="E69" i="2"/>
  <c r="D69" i="2"/>
  <c r="C69" i="2"/>
  <c r="B69" i="2"/>
  <c r="G68" i="2"/>
  <c r="F68" i="2"/>
  <c r="E68" i="2"/>
  <c r="D68" i="2"/>
  <c r="C68" i="2"/>
  <c r="B68" i="2"/>
  <c r="G67" i="2"/>
  <c r="F67" i="2"/>
  <c r="E67" i="2"/>
  <c r="D67" i="2"/>
  <c r="C67" i="2"/>
  <c r="B67" i="2"/>
  <c r="G66" i="2"/>
  <c r="F66" i="2"/>
  <c r="E66" i="2"/>
  <c r="D66" i="2"/>
  <c r="B66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B63" i="2"/>
  <c r="G62" i="2"/>
  <c r="F62" i="2"/>
  <c r="E62" i="2"/>
  <c r="D62" i="2"/>
  <c r="C62" i="2"/>
  <c r="B62" i="2"/>
  <c r="G61" i="2"/>
  <c r="F61" i="2"/>
  <c r="E61" i="2"/>
  <c r="D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B52" i="2"/>
  <c r="G51" i="2"/>
  <c r="F51" i="2"/>
  <c r="E51" i="2"/>
  <c r="D51" i="2"/>
  <c r="B51" i="2"/>
  <c r="G50" i="2"/>
  <c r="F50" i="2"/>
  <c r="E50" i="2"/>
  <c r="D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G41" i="2"/>
  <c r="F41" i="2"/>
  <c r="E41" i="2"/>
  <c r="D41" i="2"/>
  <c r="C41" i="2"/>
  <c r="G40" i="2"/>
  <c r="F40" i="2"/>
  <c r="E40" i="2"/>
  <c r="D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G36" i="2"/>
  <c r="F36" i="2"/>
  <c r="E36" i="2"/>
  <c r="D36" i="2"/>
  <c r="G35" i="2"/>
  <c r="F35" i="2"/>
  <c r="E35" i="2"/>
  <c r="D35" i="2"/>
  <c r="G34" i="2"/>
  <c r="F34" i="2"/>
  <c r="E34" i="2"/>
  <c r="D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6" i="2"/>
  <c r="F6" i="2"/>
  <c r="C6" i="2"/>
  <c r="G95" i="1" l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G81" i="1"/>
  <c r="F81" i="1"/>
  <c r="E81" i="1"/>
  <c r="D81" i="1"/>
  <c r="C81" i="1"/>
  <c r="G80" i="1"/>
  <c r="F80" i="1"/>
  <c r="E80" i="1"/>
  <c r="D80" i="1"/>
  <c r="G79" i="1"/>
  <c r="F79" i="1"/>
  <c r="E79" i="1"/>
  <c r="D79" i="1"/>
  <c r="G78" i="1"/>
  <c r="F78" i="1"/>
  <c r="E78" i="1"/>
  <c r="D78" i="1"/>
  <c r="G77" i="1"/>
  <c r="F77" i="1"/>
  <c r="E77" i="1"/>
  <c r="D77" i="1"/>
  <c r="G76" i="1"/>
  <c r="F76" i="1"/>
  <c r="E76" i="1"/>
  <c r="D76" i="1"/>
  <c r="C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G67" i="1"/>
  <c r="F67" i="1"/>
  <c r="E67" i="1"/>
  <c r="D67" i="1"/>
  <c r="G66" i="1"/>
  <c r="F66" i="1"/>
  <c r="E66" i="1"/>
  <c r="D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G59" i="1"/>
  <c r="F59" i="1"/>
  <c r="E59" i="1"/>
  <c r="D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G55" i="1"/>
  <c r="F55" i="1"/>
  <c r="E55" i="1"/>
  <c r="D55" i="1"/>
  <c r="C55" i="1"/>
  <c r="G54" i="1"/>
  <c r="F54" i="1"/>
  <c r="E54" i="1"/>
  <c r="D54" i="1"/>
  <c r="G53" i="1"/>
  <c r="F53" i="1"/>
  <c r="E53" i="1"/>
  <c r="D53" i="1"/>
  <c r="C53" i="1"/>
  <c r="G52" i="1"/>
  <c r="F52" i="1"/>
  <c r="E52" i="1"/>
  <c r="D52" i="1"/>
  <c r="G51" i="1"/>
  <c r="F51" i="1"/>
  <c r="E51" i="1"/>
  <c r="D51" i="1"/>
  <c r="C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G32" i="1"/>
  <c r="F32" i="1"/>
  <c r="E32" i="1"/>
  <c r="D32" i="1"/>
  <c r="C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G18" i="1"/>
  <c r="F18" i="1"/>
  <c r="E18" i="1"/>
  <c r="D18" i="1"/>
  <c r="C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G11" i="1"/>
  <c r="F11" i="1"/>
  <c r="E11" i="1"/>
  <c r="D11" i="1"/>
  <c r="C11" i="1"/>
  <c r="G10" i="1"/>
  <c r="F10" i="1"/>
  <c r="E10" i="1"/>
  <c r="D10" i="1"/>
  <c r="G9" i="1"/>
  <c r="F9" i="1"/>
  <c r="E9" i="1"/>
  <c r="D9" i="1"/>
  <c r="G8" i="1"/>
  <c r="F8" i="1"/>
  <c r="E8" i="1"/>
  <c r="D8" i="1"/>
  <c r="G6" i="1"/>
  <c r="F6" i="1"/>
</calcChain>
</file>

<file path=xl/sharedStrings.xml><?xml version="1.0" encoding="utf-8"?>
<sst xmlns="http://schemas.openxmlformats.org/spreadsheetml/2006/main" count="1122" uniqueCount="398">
  <si>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</si>
  <si>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</si>
  <si>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</si>
  <si>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</si>
  <si>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</si>
  <si>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</si>
  <si>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</si>
  <si>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</si>
  <si>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</si>
  <si>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</si>
  <si>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</si>
  <si>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</si>
  <si>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</si>
  <si>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</si>
  <si>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</si>
  <si>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</si>
  <si>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</si>
  <si>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</si>
  <si>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</si>
  <si>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</si>
  <si>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</si>
  <si>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</si>
  <si>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</si>
  <si>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</si>
  <si>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</si>
  <si>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</si>
  <si>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</si>
  <si>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</si>
  <si>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</si>
  <si>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</si>
  <si>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</si>
  <si>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</si>
  <si>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</si>
  <si>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</si>
  <si>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</si>
  <si>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</si>
  <si>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</si>
  <si>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</si>
  <si>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</si>
  <si>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</si>
  <si>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</si>
  <si>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</si>
  <si>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</si>
  <si>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</si>
  <si>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</si>
  <si>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</si>
  <si>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</si>
  <si>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</si>
  <si>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</si>
  <si>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</si>
  <si>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</si>
  <si>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</si>
  <si>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</si>
  <si>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</si>
  <si>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</si>
  <si>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</si>
  <si>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</si>
  <si>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</si>
  <si>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</si>
  <si>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</si>
  <si>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</si>
  <si>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</si>
  <si>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</si>
  <si>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</si>
  <si>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</si>
  <si>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</si>
  <si>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</si>
  <si>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</si>
  <si>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</si>
  <si>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</si>
  <si>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</si>
  <si>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</si>
  <si>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</si>
  <si>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</si>
  <si>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</si>
  <si>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</si>
  <si>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</si>
  <si>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</si>
  <si>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</si>
  <si>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</si>
  <si>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</si>
  <si>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</si>
  <si>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</si>
  <si>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</si>
  <si>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</si>
  <si>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</si>
  <si>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</si>
  <si>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</si>
  <si>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</si>
  <si>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</si>
  <si>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</si>
  <si>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</si>
  <si>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</si>
  <si>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</si>
  <si>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</si>
  <si>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</si>
  <si>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</si>
  <si>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</si>
  <si>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</si>
  <si>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</si>
  <si>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</si>
  <si>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</si>
  <si>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</si>
  <si>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</si>
  <si>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</si>
  <si>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</si>
  <si>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mii dolari         SUA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</si>
  <si>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</si>
  <si>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</si>
  <si>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</si>
  <si>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</si>
  <si>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</si>
  <si>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</si>
  <si>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</si>
  <si>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</si>
  <si>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</si>
  <si>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</si>
  <si>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</si>
  <si>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</si>
  <si>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</si>
  <si>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</si>
  <si>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 xml:space="preserve">   din care:</t>
  </si>
  <si>
    <t xml:space="preserve">IMPORT - total      </t>
  </si>
  <si>
    <t>Macedonia de Nord</t>
  </si>
  <si>
    <t>Cote D'Ivoire</t>
  </si>
  <si>
    <t xml:space="preserve">     din care:</t>
  </si>
  <si>
    <t>Zimbabwe</t>
  </si>
  <si>
    <t>Camerun</t>
  </si>
  <si>
    <t xml:space="preserve">EXPORT - total      </t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</si>
  <si>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</si>
  <si>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</si>
  <si>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</si>
  <si>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</si>
  <si>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</si>
  <si>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</si>
  <si>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</si>
  <si>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</si>
  <si>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</si>
  <si>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</si>
  <si>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</si>
  <si>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</si>
  <si>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</si>
  <si>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</si>
  <si>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</si>
  <si>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</si>
  <si>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</si>
  <si>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</si>
  <si>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</si>
  <si>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</si>
  <si>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</si>
  <si>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</si>
  <si>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</si>
  <si>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</si>
  <si>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</si>
  <si>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</si>
  <si>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</si>
  <si>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</si>
  <si>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</si>
  <si>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</si>
  <si>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</si>
  <si>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</si>
  <si>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</si>
  <si>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</si>
  <si>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</si>
  <si>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</si>
  <si>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</si>
  <si>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</si>
  <si>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</si>
  <si>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</si>
  <si>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</si>
  <si>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</si>
  <si>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</si>
  <si>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</si>
  <si>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</si>
  <si>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</si>
  <si>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</si>
  <si>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</si>
  <si>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</si>
  <si>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</si>
  <si>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</si>
  <si>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</si>
  <si>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</si>
  <si>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</si>
  <si>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</si>
  <si>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</si>
  <si>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</si>
  <si>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</si>
  <si>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</si>
  <si>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</si>
  <si>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</si>
  <si>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</si>
  <si>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</si>
  <si>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</si>
  <si>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</si>
  <si>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</si>
  <si>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</si>
  <si>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</si>
  <si>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</si>
  <si>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</si>
  <si>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</si>
  <si>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</si>
  <si>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</si>
  <si>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</si>
  <si>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</si>
  <si>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BALANŢA COMERCIALĂ – total, mii dolari SUA</t>
  </si>
  <si>
    <t>de 2,5 ori</t>
  </si>
  <si>
    <t>Libia</t>
  </si>
  <si>
    <t>de 2,3 ori</t>
  </si>
  <si>
    <t>Afganistan</t>
  </si>
  <si>
    <t>Tanzania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</si>
  <si>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</si>
  <si>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</si>
  <si>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</si>
  <si>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</si>
  <si>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</si>
  <si>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</si>
  <si>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</si>
  <si>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</si>
  <si>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</si>
  <si>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</si>
  <si>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</si>
  <si>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</si>
  <si>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</si>
  <si>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</si>
  <si>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</si>
  <si>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</si>
  <si>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</si>
  <si>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</si>
  <si>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</si>
  <si>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</si>
  <si>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</si>
  <si>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</si>
  <si>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</si>
  <si>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</si>
  <si>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</si>
  <si>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</si>
  <si>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</si>
  <si>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</si>
  <si>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</si>
  <si>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</si>
  <si>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</si>
  <si>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</si>
  <si>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</si>
  <si>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</si>
  <si>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</si>
  <si>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</si>
  <si>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</si>
  <si>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</si>
  <si>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</si>
  <si>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</si>
  <si>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</si>
  <si>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</si>
  <si>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</si>
  <si>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</si>
  <si>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</si>
  <si>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</si>
  <si>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</si>
  <si>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</si>
  <si>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</si>
  <si>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</si>
  <si>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</si>
  <si>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</si>
  <si>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</si>
  <si>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</si>
  <si>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</si>
  <si>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</si>
  <si>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</si>
  <si>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</si>
  <si>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</si>
  <si>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</si>
  <si>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</si>
  <si>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</si>
  <si>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</si>
  <si>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</si>
  <si>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</si>
  <si>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</si>
  <si>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</si>
  <si>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</si>
  <si>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</si>
  <si>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</si>
  <si>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de 2,6 ori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</si>
  <si>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</si>
  <si>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</si>
  <si>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</si>
  <si>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</si>
  <si>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</si>
  <si>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</si>
  <si>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-</t>
  </si>
  <si>
    <t>de 2,7 ori</t>
  </si>
  <si>
    <t>de 2,4 ori</t>
  </si>
  <si>
    <t>35</t>
  </si>
  <si>
    <t>Energie electrica</t>
  </si>
  <si>
    <t>Energie electrică</t>
  </si>
  <si>
    <t>BALANŢA COMERCIALĂ - total, mii dolari SUA</t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</si>
  <si>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după modul de transport al mărfurilor 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</si>
  <si>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după modul de transport al mărfurilor </t>
    </r>
  </si>
  <si>
    <t>de 4,2 ori</t>
  </si>
  <si>
    <t>de 3,0 ori</t>
  </si>
  <si>
    <t>de 5,8 ori</t>
  </si>
  <si>
    <t>Celelalte țări ale lumii</t>
  </si>
  <si>
    <t>Madagascar</t>
  </si>
  <si>
    <t>Malawi</t>
  </si>
  <si>
    <t>Coreea de Nord</t>
  </si>
  <si>
    <t>de 5,2 ori</t>
  </si>
  <si>
    <t>de 3,3 ori</t>
  </si>
  <si>
    <t>de 3,7 ori</t>
  </si>
  <si>
    <t>Republica Yemen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</si>
  <si>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pe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</si>
  <si>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pe grupe de ţări</t>
    </r>
  </si>
  <si>
    <r>
      <t xml:space="preserve">  </t>
    </r>
    <r>
      <rPr>
        <b/>
        <vertAlign val="super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 xml:space="preserve"> Faţă de perioada corespunzătoare din anul precedent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</si>
  <si>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pe grupe de ţări</t>
    </r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</si>
  <si>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</si>
  <si>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</si>
  <si>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</si>
  <si>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</si>
  <si>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</si>
  <si>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</si>
  <si>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de 3,2 ori</t>
  </si>
  <si>
    <t>de 2,8 ori</t>
  </si>
  <si>
    <t>Șri Lanka</t>
  </si>
  <si>
    <t>de 4,8 ori</t>
  </si>
  <si>
    <t>de 4,7 ori</t>
  </si>
  <si>
    <t>de 4,1 ori</t>
  </si>
  <si>
    <t>de 3,4 ori</t>
  </si>
  <si>
    <t>Mărfuri manufacturate, clasificate noiembrie ales după materia primă</t>
  </si>
  <si>
    <t>de 6,7 ori</t>
  </si>
  <si>
    <t>de 19,5 ori</t>
  </si>
  <si>
    <t>de 4,0 ori</t>
  </si>
  <si>
    <t>de 3,6 ori</t>
  </si>
  <si>
    <t>de 3,1 ori</t>
  </si>
  <si>
    <t>ianuarie - februarie</t>
  </si>
  <si>
    <r>
      <t xml:space="preserve">ianuarie - februarie </t>
    </r>
    <r>
      <rPr>
        <b/>
        <vertAlign val="superscript"/>
        <sz val="10"/>
        <rFont val="Times New Roman"/>
        <family val="1"/>
        <charset val="204"/>
      </rPr>
      <t>1,2</t>
    </r>
  </si>
  <si>
    <t>Ianuarie - februarie 2022</t>
  </si>
  <si>
    <t>în % faţă de ianuarie - februarie 2021 ¹</t>
  </si>
  <si>
    <t>2021</t>
  </si>
  <si>
    <t>2022</t>
  </si>
  <si>
    <t>Ianuarie - februarie</t>
  </si>
  <si>
    <t>Ianuarie - februarie 2022 în % faţă de ianuarie - februarie 2021 ¹</t>
  </si>
  <si>
    <r>
      <t xml:space="preserve">ianuarie - februarie </t>
    </r>
    <r>
      <rPr>
        <b/>
        <vertAlign val="superscript"/>
        <sz val="10"/>
        <color indexed="8"/>
        <rFont val="Times New Roman"/>
        <family val="1"/>
        <charset val="204"/>
      </rPr>
      <t>1,2</t>
    </r>
  </si>
  <si>
    <t>Ianuarie - februarie 2022 în % faţă de            ianuarie - februarie 2021 ¹</t>
  </si>
  <si>
    <t>Cehia</t>
  </si>
  <si>
    <t>Kârgâzstan</t>
  </si>
  <si>
    <t>Panama</t>
  </si>
  <si>
    <t>Taiwan, provincie a Chinei</t>
  </si>
  <si>
    <t>Sudan</t>
  </si>
  <si>
    <t>Insulele Georgia și Sandwich de Sud</t>
  </si>
  <si>
    <t>de 6,4 ori</t>
  </si>
  <si>
    <t>de 27,5 ori</t>
  </si>
  <si>
    <t>de 3,8 ori</t>
  </si>
  <si>
    <t>de 3162,8 ori</t>
  </si>
  <si>
    <t>de 8,0 ori</t>
  </si>
  <si>
    <t>de 5,5 ori</t>
  </si>
  <si>
    <t>de 76,2 ori</t>
  </si>
  <si>
    <t>de 5,1 ori</t>
  </si>
  <si>
    <t>de 21,0 ori</t>
  </si>
  <si>
    <t>de 43,9 ori</t>
  </si>
  <si>
    <t>de 7,3 ori</t>
  </si>
  <si>
    <t>de 439,8 ori</t>
  </si>
  <si>
    <t>de 2,9 ori</t>
  </si>
  <si>
    <t>Insulele Feroe</t>
  </si>
  <si>
    <t>de 5,4 ori</t>
  </si>
  <si>
    <t>de 87,9 ori</t>
  </si>
  <si>
    <t>de 44,8 ori</t>
  </si>
  <si>
    <t>de 13,1 ori</t>
  </si>
  <si>
    <t>de 3,9 ori</t>
  </si>
  <si>
    <t>de 40,7 ori</t>
  </si>
  <si>
    <t>de 22719,8</t>
  </si>
  <si>
    <t>de 31,1 ori</t>
  </si>
  <si>
    <t>de 156,5 ori</t>
  </si>
  <si>
    <t>Ţările Uniunii Europene - total</t>
  </si>
  <si>
    <t xml:space="preserve">x </t>
  </si>
  <si>
    <t>Insulele Folkland</t>
  </si>
  <si>
    <t>de 32,2 ori</t>
  </si>
  <si>
    <t>de 69,7 ori</t>
  </si>
  <si>
    <t>de 13,4 ori</t>
  </si>
  <si>
    <t>de 22719,8 ori</t>
  </si>
  <si>
    <t>de 23,2 ori</t>
  </si>
  <si>
    <t>de 14,6 ori</t>
  </si>
  <si>
    <t>97</t>
  </si>
  <si>
    <t>Aur nemonetar</t>
  </si>
  <si>
    <t>de 12,5 ori</t>
  </si>
  <si>
    <t>de 12,7 ori</t>
  </si>
  <si>
    <t>de 6,5 ori</t>
  </si>
  <si>
    <t>de 53,1 ori</t>
  </si>
  <si>
    <t>de 17,9 ori</t>
  </si>
  <si>
    <t>de 4,4 ori</t>
  </si>
  <si>
    <t>de 5,3 ori</t>
  </si>
  <si>
    <t>de 4,9 ori</t>
  </si>
  <si>
    <t>de 137,6 ori</t>
  </si>
  <si>
    <t>de 7,0 ori</t>
  </si>
  <si>
    <t>99</t>
  </si>
  <si>
    <t>Operatiuni neidentificate (ajutor umanitar)</t>
  </si>
  <si>
    <t>de 18,1 ori</t>
  </si>
  <si>
    <t>de 53,8 ori</t>
  </si>
  <si>
    <t>de 8,7 ori</t>
  </si>
  <si>
    <t>de 8,1 ori</t>
  </si>
  <si>
    <t xml:space="preserve"> -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</si>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</sst>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b/>
      <vertAlign val="superscript"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49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4" fontId="0" fillId="0" borderId="0" xfId="0" applyNumberFormat="1"/>
    <xf numFmtId="0" fontId="0" fillId="0" borderId="0" xfId="0" applyFill="1"/>
    <xf numFmtId="4" fontId="23" fillId="0" borderId="0" xfId="0" applyNumberFormat="1" applyFont="1" applyFill="1" applyBorder="1" applyAlignment="1" applyProtection="1">
      <alignment horizontal="right" vertical="top" wrapText="1" indent="1"/>
    </xf>
    <xf numFmtId="4" fontId="11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/>
    </xf>
    <xf numFmtId="38" fontId="11" fillId="0" borderId="0" xfId="0" applyNumberFormat="1" applyFont="1" applyFill="1" applyAlignment="1" applyProtection="1">
      <alignment horizontal="center" vertical="top"/>
    </xf>
    <xf numFmtId="38" fontId="11" fillId="0" borderId="0" xfId="0" applyNumberFormat="1" applyFont="1" applyFill="1" applyAlignment="1" applyProtection="1">
      <alignment horizontal="left" vertical="top" wrapText="1"/>
    </xf>
    <xf numFmtId="38" fontId="9" fillId="0" borderId="0" xfId="0" applyNumberFormat="1" applyFont="1" applyFill="1" applyAlignment="1" applyProtection="1">
      <alignment horizontal="center" vertical="top"/>
    </xf>
    <xf numFmtId="38" fontId="9" fillId="0" borderId="0" xfId="0" applyNumberFormat="1" applyFont="1" applyFill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/>
    </xf>
    <xf numFmtId="4" fontId="27" fillId="0" borderId="5" xfId="0" applyNumberFormat="1" applyFont="1" applyFill="1" applyBorder="1" applyAlignment="1" applyProtection="1">
      <alignment horizontal="right" vertical="top" indent="1"/>
    </xf>
    <xf numFmtId="0" fontId="11" fillId="0" borderId="0" xfId="0" applyNumberFormat="1" applyFont="1" applyFill="1" applyAlignment="1" applyProtection="1">
      <alignment horizontal="left" vertical="top" wrapText="1" indent="1"/>
    </xf>
    <xf numFmtId="4" fontId="11" fillId="0" borderId="0" xfId="0" applyNumberFormat="1" applyFont="1" applyFill="1" applyAlignment="1" applyProtection="1">
      <alignment horizontal="right" vertical="top" indent="1"/>
    </xf>
    <xf numFmtId="38" fontId="9" fillId="0" borderId="0" xfId="0" applyNumberFormat="1" applyFont="1" applyFill="1" applyAlignment="1" applyProtection="1">
      <alignment horizontal="left" vertical="top" wrapText="1" indent="1"/>
    </xf>
    <xf numFmtId="4" fontId="9" fillId="0" borderId="0" xfId="0" applyNumberFormat="1" applyFont="1" applyFill="1" applyAlignment="1" applyProtection="1">
      <alignment horizontal="right" vertical="top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0" fontId="27" fillId="0" borderId="5" xfId="0" applyNumberFormat="1" applyFont="1" applyFill="1" applyBorder="1" applyAlignment="1" applyProtection="1">
      <alignment horizontal="left" vertical="top" wrapText="1" indent="1"/>
    </xf>
    <xf numFmtId="0" fontId="9" fillId="0" borderId="0" xfId="0" applyNumberFormat="1" applyFont="1" applyFill="1" applyBorder="1" applyAlignment="1" applyProtection="1">
      <alignment horizontal="left" vertical="top" wrapText="1" inden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29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indent="1"/>
    </xf>
    <xf numFmtId="4" fontId="9" fillId="0" borderId="0" xfId="0" applyNumberFormat="1" applyFont="1" applyBorder="1" applyAlignment="1">
      <alignment horizontal="right" vertical="top" indent="1"/>
    </xf>
    <xf numFmtId="0" fontId="27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9" fillId="0" borderId="0" xfId="0" applyNumberFormat="1" applyFont="1" applyFill="1" applyAlignment="1" applyProtection="1">
      <alignment horizontal="left" vertical="top" wrapText="1" indent="1"/>
    </xf>
    <xf numFmtId="0" fontId="9" fillId="0" borderId="3" xfId="0" applyNumberFormat="1" applyFont="1" applyFill="1" applyBorder="1" applyAlignment="1" applyProtection="1">
      <alignment horizontal="left" vertical="top" wrapText="1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9" fillId="0" borderId="3" xfId="0" applyNumberFormat="1" applyFont="1" applyBorder="1" applyAlignment="1">
      <alignment horizontal="right" vertical="top" indent="1"/>
    </xf>
    <xf numFmtId="4" fontId="22" fillId="0" borderId="0" xfId="0" applyNumberFormat="1" applyFont="1" applyFill="1" applyBorder="1" applyAlignment="1" applyProtection="1">
      <alignment horizontal="right" vertical="top"/>
    </xf>
    <xf numFmtId="4" fontId="22" fillId="0" borderId="0" xfId="0" applyNumberFormat="1" applyFont="1" applyFill="1" applyBorder="1" applyAlignment="1" applyProtection="1">
      <alignment horizontal="right" vertical="top" indent="1"/>
    </xf>
    <xf numFmtId="2" fontId="9" fillId="0" borderId="0" xfId="0" applyNumberFormat="1" applyFont="1" applyFill="1" applyBorder="1" applyAlignment="1" applyProtection="1">
      <alignment horizontal="right" vertical="top" inden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38" fontId="34" fillId="0" borderId="0" xfId="0" applyNumberFormat="1" applyFont="1" applyFill="1" applyBorder="1" applyAlignment="1" applyProtection="1">
      <alignment horizontal="left" wrapText="1"/>
    </xf>
    <xf numFmtId="0" fontId="34" fillId="0" borderId="0" xfId="0" applyFont="1" applyAlignment="1">
      <alignment horizontal="left"/>
    </xf>
    <xf numFmtId="4" fontId="11" fillId="0" borderId="0" xfId="0" applyNumberFormat="1" applyFont="1" applyFill="1" applyAlignment="1" applyProtection="1">
      <alignment horizontal="right" vertical="top" wrapText="1" indent="1"/>
    </xf>
    <xf numFmtId="4" fontId="11" fillId="0" borderId="0" xfId="0" applyNumberFormat="1" applyFont="1" applyBorder="1" applyAlignment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/>
    </xf>
    <xf numFmtId="4" fontId="27" fillId="0" borderId="0" xfId="0" applyNumberFormat="1" applyFont="1" applyFill="1" applyAlignment="1" applyProtection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 wrapText="1" indent="1"/>
    </xf>
    <xf numFmtId="4" fontId="27" fillId="0" borderId="5" xfId="0" applyNumberFormat="1" applyFont="1" applyFill="1" applyBorder="1" applyAlignment="1" applyProtection="1">
      <alignment horizontal="right" vertical="top" wrapText="1" indent="1"/>
    </xf>
    <xf numFmtId="0" fontId="34" fillId="0" borderId="0" xfId="0" applyFont="1" applyAlignment="1">
      <alignment horizontal="left"/>
    </xf>
    <xf numFmtId="2" fontId="11" fillId="0" borderId="0" xfId="0" applyNumberFormat="1" applyFont="1" applyFill="1" applyAlignment="1" applyProtection="1">
      <alignment horizontal="right" vertical="top" indent="1"/>
    </xf>
    <xf numFmtId="38" fontId="9" fillId="0" borderId="0" xfId="0" applyNumberFormat="1" applyFont="1" applyFill="1" applyAlignment="1" applyProtection="1">
      <alignment horizontal="left" wrapText="1" indent="1"/>
    </xf>
    <xf numFmtId="4" fontId="9" fillId="0" borderId="0" xfId="0" applyNumberFormat="1" applyFont="1" applyFill="1" applyAlignment="1" applyProtection="1">
      <alignment horizontal="right"/>
    </xf>
    <xf numFmtId="2" fontId="11" fillId="0" borderId="0" xfId="0" applyNumberFormat="1" applyFont="1" applyFill="1" applyAlignment="1" applyProtection="1">
      <alignment horizontal="right" indent="1"/>
    </xf>
    <xf numFmtId="2" fontId="9" fillId="0" borderId="0" xfId="0" applyNumberFormat="1" applyFont="1" applyFill="1" applyAlignment="1" applyProtection="1">
      <alignment horizontal="right" indent="1"/>
    </xf>
    <xf numFmtId="4" fontId="9" fillId="0" borderId="0" xfId="0" applyNumberFormat="1" applyFont="1" applyFill="1" applyBorder="1" applyAlignment="1" applyProtection="1">
      <alignment horizontal="right"/>
    </xf>
    <xf numFmtId="4" fontId="11" fillId="0" borderId="0" xfId="0" applyNumberFormat="1" applyFont="1" applyFill="1" applyAlignment="1" applyProtection="1">
      <alignment horizontal="right"/>
    </xf>
    <xf numFmtId="164" fontId="11" fillId="0" borderId="0" xfId="0" applyNumberFormat="1" applyFont="1" applyFill="1" applyAlignment="1" applyProtection="1">
      <alignment horizontal="right" vertical="top" indent="1"/>
    </xf>
    <xf numFmtId="4" fontId="36" fillId="0" borderId="0" xfId="0" applyNumberFormat="1" applyFont="1"/>
    <xf numFmtId="4" fontId="27" fillId="0" borderId="5" xfId="0" applyNumberFormat="1" applyFont="1" applyFill="1" applyBorder="1" applyAlignment="1" applyProtection="1">
      <alignment horizontal="right"/>
    </xf>
    <xf numFmtId="2" fontId="27" fillId="0" borderId="5" xfId="0" applyNumberFormat="1" applyFont="1" applyFill="1" applyBorder="1" applyAlignment="1" applyProtection="1">
      <alignment horizontal="right" vertical="top" indent="1"/>
    </xf>
    <xf numFmtId="2" fontId="9" fillId="0" borderId="0" xfId="0" applyNumberFormat="1" applyFont="1" applyFill="1" applyAlignment="1" applyProtection="1">
      <alignment horizontal="right" vertical="top" indent="1"/>
    </xf>
    <xf numFmtId="4" fontId="11" fillId="0" borderId="0" xfId="0" applyNumberFormat="1" applyFont="1" applyFill="1" applyAlignment="1" applyProtection="1">
      <alignment horizontal="right" indent="1"/>
    </xf>
    <xf numFmtId="4" fontId="9" fillId="0" borderId="0" xfId="0" applyNumberFormat="1" applyFont="1" applyFill="1" applyAlignment="1" applyProtection="1">
      <alignment horizontal="right" indent="1"/>
    </xf>
    <xf numFmtId="164" fontId="9" fillId="0" borderId="0" xfId="0" applyNumberFormat="1" applyFont="1" applyFill="1" applyAlignment="1" applyProtection="1">
      <alignment horizontal="right" vertical="top" indent="1"/>
    </xf>
    <xf numFmtId="164" fontId="9" fillId="0" borderId="3" xfId="0" applyNumberFormat="1" applyFont="1" applyFill="1" applyBorder="1" applyAlignment="1" applyProtection="1">
      <alignment horizontal="right" vertical="top" indent="1"/>
    </xf>
    <xf numFmtId="0" fontId="31" fillId="0" borderId="0" xfId="0" applyFont="1" applyAlignment="1">
      <alignment horizontal="right" vertical="top" indent="1"/>
    </xf>
    <xf numFmtId="38" fontId="11" fillId="0" borderId="0" xfId="0" applyNumberFormat="1" applyFont="1" applyFill="1" applyBorder="1" applyAlignment="1" applyProtection="1">
      <alignment horizontal="center" vertical="top"/>
    </xf>
    <xf numFmtId="38" fontId="11" fillId="0" borderId="0" xfId="0" applyNumberFormat="1" applyFont="1" applyFill="1" applyBorder="1" applyAlignment="1" applyProtection="1">
      <alignment horizontal="left" vertical="top" wrapText="1"/>
    </xf>
    <xf numFmtId="0" fontId="28" fillId="0" borderId="5" xfId="0" applyNumberFormat="1" applyFont="1" applyFill="1" applyBorder="1" applyAlignment="1" applyProtection="1"/>
    <xf numFmtId="49" fontId="11" fillId="0" borderId="1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left" wrapText="1"/>
    </xf>
    <xf numFmtId="38" fontId="9" fillId="0" borderId="3" xfId="0" applyNumberFormat="1" applyFont="1" applyFill="1" applyBorder="1" applyAlignment="1" applyProtection="1">
      <alignment horizontal="left" wrapText="1" indent="1"/>
    </xf>
    <xf numFmtId="4" fontId="9" fillId="0" borderId="3" xfId="0" applyNumberFormat="1" applyFont="1" applyFill="1" applyBorder="1" applyAlignment="1" applyProtection="1">
      <alignment horizontal="right" vertical="top"/>
    </xf>
    <xf numFmtId="2" fontId="9" fillId="0" borderId="3" xfId="0" applyNumberFormat="1" applyFont="1" applyFill="1" applyBorder="1" applyAlignment="1" applyProtection="1">
      <alignment horizontal="right" vertical="top" indent="1"/>
    </xf>
    <xf numFmtId="4" fontId="22" fillId="0" borderId="0" xfId="0" applyNumberFormat="1" applyFont="1" applyFill="1" applyBorder="1" applyAlignment="1" applyProtection="1">
      <alignment horizontal="right"/>
    </xf>
    <xf numFmtId="38" fontId="9" fillId="0" borderId="0" xfId="4" applyNumberFormat="1" applyFont="1" applyFill="1" applyAlignment="1" applyProtection="1">
      <alignment horizontal="left" vertical="top" wrapText="1" indent="1"/>
    </xf>
    <xf numFmtId="38" fontId="9" fillId="0" borderId="0" xfId="4" applyNumberFormat="1" applyFont="1" applyFill="1" applyBorder="1" applyAlignment="1" applyProtection="1">
      <alignment horizontal="left" vertical="top" wrapText="1" indent="1"/>
    </xf>
    <xf numFmtId="38" fontId="9" fillId="0" borderId="3" xfId="4" applyNumberFormat="1" applyFont="1" applyFill="1" applyBorder="1" applyAlignment="1" applyProtection="1">
      <alignment horizontal="left" vertical="top" wrapText="1" indent="1"/>
    </xf>
    <xf numFmtId="164" fontId="27" fillId="0" borderId="5" xfId="0" applyNumberFormat="1" applyFont="1" applyFill="1" applyBorder="1" applyAlignment="1" applyProtection="1">
      <alignment horizontal="right" indent="1"/>
    </xf>
    <xf numFmtId="0" fontId="24" fillId="0" borderId="0" xfId="0" applyFont="1" applyAlignment="1">
      <alignment horizontal="right" vertical="top" indent="1"/>
    </xf>
    <xf numFmtId="164" fontId="11" fillId="0" borderId="0" xfId="0" applyNumberFormat="1" applyFont="1" applyFill="1" applyAlignment="1" applyProtection="1">
      <alignment horizontal="right" indent="1"/>
    </xf>
    <xf numFmtId="164" fontId="9" fillId="0" borderId="0" xfId="0" applyNumberFormat="1" applyFont="1" applyFill="1" applyAlignment="1" applyProtection="1">
      <alignment horizontal="right" indent="1"/>
    </xf>
    <xf numFmtId="4" fontId="36" fillId="0" borderId="0" xfId="0" applyNumberFormat="1" applyFont="1" applyAlignment="1">
      <alignment horizontal="right" vertical="top" indent="1"/>
    </xf>
    <xf numFmtId="4" fontId="12" fillId="0" borderId="0" xfId="0" applyNumberFormat="1" applyFont="1" applyFill="1" applyAlignment="1" applyProtection="1">
      <alignment horizontal="right" indent="1"/>
    </xf>
    <xf numFmtId="4" fontId="27" fillId="0" borderId="0" xfId="0" applyNumberFormat="1" applyFont="1" applyAlignment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 wrapText="1" indent="1"/>
    </xf>
    <xf numFmtId="0" fontId="28" fillId="0" borderId="5" xfId="0" applyNumberFormat="1" applyFont="1" applyFill="1" applyBorder="1" applyAlignment="1" applyProtection="1">
      <alignment horizontal="right" vertical="top"/>
    </xf>
    <xf numFmtId="38" fontId="9" fillId="0" borderId="3" xfId="0" applyNumberFormat="1" applyFont="1" applyFill="1" applyBorder="1" applyAlignment="1" applyProtection="1">
      <alignment horizontal="center" vertical="top"/>
    </xf>
    <xf numFmtId="38" fontId="9" fillId="0" borderId="3" xfId="0" applyNumberFormat="1" applyFont="1" applyFill="1" applyBorder="1" applyAlignment="1" applyProtection="1">
      <alignment horizontal="left" wrapText="1"/>
    </xf>
    <xf numFmtId="4" fontId="25" fillId="0" borderId="0" xfId="0" applyNumberFormat="1" applyFont="1" applyAlignment="1">
      <alignment horizontal="right" vertical="top" indent="1"/>
    </xf>
    <xf numFmtId="4" fontId="27" fillId="0" borderId="5" xfId="0" applyNumberFormat="1" applyFont="1" applyFill="1" applyBorder="1" applyAlignment="1" applyProtection="1">
      <alignment horizontal="right" indent="1"/>
    </xf>
    <xf numFmtId="38" fontId="9" fillId="0" borderId="3" xfId="0" applyNumberFormat="1" applyFont="1" applyFill="1" applyBorder="1" applyAlignment="1" applyProtection="1">
      <alignment horizontal="left" vertical="top" wrapText="1"/>
    </xf>
    <xf numFmtId="0" fontId="37" fillId="0" borderId="0" xfId="0" applyFont="1" applyAlignment="1">
      <alignment horizontal="center" vertical="top"/>
    </xf>
    <xf numFmtId="4" fontId="32" fillId="0" borderId="0" xfId="0" applyNumberFormat="1" applyFont="1" applyAlignment="1">
      <alignment horizontal="left" vertical="top" indent="1"/>
    </xf>
    <xf numFmtId="4" fontId="27" fillId="0" borderId="0" xfId="0" applyNumberFormat="1" applyFont="1" applyFill="1" applyBorder="1" applyAlignment="1" applyProtection="1">
      <alignment horizontal="right" vertical="top"/>
    </xf>
    <xf numFmtId="164" fontId="11" fillId="0" borderId="5" xfId="0" applyNumberFormat="1" applyFont="1" applyFill="1" applyBorder="1" applyAlignment="1" applyProtection="1">
      <alignment horizontal="right" vertical="top" indent="1"/>
    </xf>
    <xf numFmtId="164" fontId="11" fillId="0" borderId="0" xfId="0" applyNumberFormat="1" applyFont="1" applyFill="1" applyBorder="1" applyAlignment="1" applyProtection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center" indent="1"/>
    </xf>
    <xf numFmtId="0" fontId="3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7"/>
  <sheetViews>
    <sheetView tabSelected="1" zoomScale="99" zoomScaleNormal="99" workbookViewId="0">
      <selection activeCell="C8" sqref="C8"/>
    </sheetView>
  </sheetViews>
  <sheetFormatPr defaultRowHeight="15.75" x14ac:dyDescent="0.25"/>
  <cols>
    <col min="1" max="1" width="29.75" style="7" customWidth="1"/>
    <col min="2" max="2" width="12.25" style="7" customWidth="1"/>
    <col min="3" max="3" width="10.5" style="7" customWidth="1"/>
    <col min="4" max="4" width="9" style="7" customWidth="1"/>
    <col min="5" max="5" width="8.75" style="7" customWidth="1"/>
    <col min="6" max="6" width="9.875" style="7" customWidth="1"/>
    <col min="7" max="7" width="9.375" style="7" customWidth="1"/>
    <col min="9" max="9" width="9.625" customWidth="1"/>
  </cols>
  <sheetData>
    <row r="1" spans="1:8" x14ac:dyDescent="0.25">
      <c r="A1" s="117" t="s">
        <v>307</v>
      </c>
      <c r="B1" s="117"/>
      <c r="C1" s="117"/>
      <c r="D1" s="117"/>
      <c r="E1" s="117"/>
      <c r="F1" s="117"/>
      <c r="G1" s="117"/>
    </row>
    <row r="3" spans="1:8" ht="54" customHeight="1" x14ac:dyDescent="0.25">
      <c r="A3" s="118"/>
      <c r="B3" s="121" t="s">
        <v>332</v>
      </c>
      <c r="C3" s="122"/>
      <c r="D3" s="121" t="s">
        <v>105</v>
      </c>
      <c r="E3" s="122"/>
      <c r="F3" s="123" t="s">
        <v>1</v>
      </c>
      <c r="G3" s="124"/>
    </row>
    <row r="4" spans="1:8" ht="22.5" customHeight="1" x14ac:dyDescent="0.25">
      <c r="A4" s="119"/>
      <c r="B4" s="125" t="s">
        <v>96</v>
      </c>
      <c r="C4" s="127" t="s">
        <v>333</v>
      </c>
      <c r="D4" s="129" t="s">
        <v>330</v>
      </c>
      <c r="E4" s="129"/>
      <c r="F4" s="129" t="s">
        <v>331</v>
      </c>
      <c r="G4" s="121"/>
    </row>
    <row r="5" spans="1:8" ht="28.5" customHeight="1" x14ac:dyDescent="0.25">
      <c r="A5" s="120"/>
      <c r="B5" s="126"/>
      <c r="C5" s="128"/>
      <c r="D5" s="82" t="s">
        <v>334</v>
      </c>
      <c r="E5" s="82" t="s">
        <v>335</v>
      </c>
      <c r="F5" s="82" t="s">
        <v>334</v>
      </c>
      <c r="G5" s="83" t="s">
        <v>335</v>
      </c>
      <c r="H5" s="1"/>
    </row>
    <row r="6" spans="1:8" ht="15.75" customHeight="1" x14ac:dyDescent="0.25">
      <c r="A6" s="87" t="s">
        <v>97</v>
      </c>
      <c r="B6" s="25">
        <v>666964.69128999999</v>
      </c>
      <c r="C6" s="72" t="s">
        <v>101</v>
      </c>
      <c r="D6" s="72">
        <v>100</v>
      </c>
      <c r="E6" s="72">
        <v>100</v>
      </c>
      <c r="F6" s="72">
        <f>IF(464796.56015="","-",(425472.26165-464796.56015)/464796.56015*100)</f>
        <v>-8.4605399160676171</v>
      </c>
      <c r="G6" s="72">
        <f>IF(425472.26165="","-",(666964.69129-425472.26165)/425472.26165*100)</f>
        <v>56.758677687584566</v>
      </c>
    </row>
    <row r="7" spans="1:8" x14ac:dyDescent="0.25">
      <c r="A7" s="88" t="s">
        <v>121</v>
      </c>
      <c r="B7" s="48"/>
      <c r="C7" s="49"/>
      <c r="D7" s="49"/>
      <c r="E7" s="49"/>
      <c r="F7" s="49"/>
      <c r="G7" s="49"/>
    </row>
    <row r="8" spans="1:8" x14ac:dyDescent="0.25">
      <c r="A8" s="27" t="s">
        <v>133</v>
      </c>
      <c r="B8" s="18">
        <v>414120.16401000001</v>
      </c>
      <c r="C8" s="28">
        <f>IF(270590.66677="","-",414120.16401/270590.66677*100)</f>
        <v>153.04303321074963</v>
      </c>
      <c r="D8" s="28">
        <f>IF(270590.66677="","-",270590.66677/425472.26165*100)</f>
        <v>63.597722145419681</v>
      </c>
      <c r="E8" s="28">
        <f>IF(414120.16401="","-",414120.16401/666964.69129*100)</f>
        <v>62.090267958418544</v>
      </c>
      <c r="F8" s="28">
        <f>IF(464796.56015="","-",(270590.66677-310155.39842)/464796.56015*100)</f>
        <v>-8.5122686013923108</v>
      </c>
      <c r="G8" s="28">
        <f>IF(425472.26165="","-",(414120.16401-270590.66677)/425472.26165*100)</f>
        <v>33.734160878875244</v>
      </c>
    </row>
    <row r="9" spans="1:8" ht="15.75" customHeight="1" x14ac:dyDescent="0.25">
      <c r="A9" s="29" t="s">
        <v>2</v>
      </c>
      <c r="B9" s="64">
        <v>186779.60433</v>
      </c>
      <c r="C9" s="30" t="s">
        <v>100</v>
      </c>
      <c r="D9" s="30">
        <f>IF(112773.07662="","-",112773.07662/425472.26165*100)</f>
        <v>26.505388666857176</v>
      </c>
      <c r="E9" s="30">
        <f>IF(186779.60433="","-",186779.60433/666964.69129*100)</f>
        <v>28.004421638684196</v>
      </c>
      <c r="F9" s="30">
        <f>IF(OR(464796.56015="",116852.49484="",112773.07662=""),"-",(112773.07662-116852.49484)/464796.56015*100)</f>
        <v>-0.877678229521207</v>
      </c>
      <c r="G9" s="30">
        <f>IF(OR(425472.26165="",186779.60433="",112773.07662=""),"-",(186779.60433-112773.07662)/425472.26165*100)</f>
        <v>17.393972387999973</v>
      </c>
    </row>
    <row r="10" spans="1:8" ht="15.75" customHeight="1" x14ac:dyDescent="0.25">
      <c r="A10" s="29" t="s">
        <v>3</v>
      </c>
      <c r="B10" s="64">
        <v>63508.279750000002</v>
      </c>
      <c r="C10" s="30" t="s">
        <v>289</v>
      </c>
      <c r="D10" s="30">
        <f>IF(25936.12849="","-",25936.12849/425472.26165*100)</f>
        <v>6.0958447418918826</v>
      </c>
      <c r="E10" s="30">
        <f>IF(63508.27975="","-",63508.27975/666964.69129*100)</f>
        <v>9.5219852833838026</v>
      </c>
      <c r="F10" s="30">
        <f>IF(OR(464796.56015="",44883.52811="",25936.12849=""),"-",(25936.12849-44883.52811)/464796.56015*100)</f>
        <v>-4.0764930820239424</v>
      </c>
      <c r="G10" s="30">
        <f>IF(OR(425472.26165="",63508.27975="",25936.12849=""),"-",(63508.27975-25936.12849)/425472.26165*100)</f>
        <v>8.8306934779469657</v>
      </c>
    </row>
    <row r="11" spans="1:8" ht="13.5" customHeight="1" x14ac:dyDescent="0.25">
      <c r="A11" s="29" t="s">
        <v>4</v>
      </c>
      <c r="B11" s="64">
        <v>41046.961389999997</v>
      </c>
      <c r="C11" s="30">
        <f>IF(OR(46810.1887="",41046.96139=""),"-",41046.96139/46810.1887*100)</f>
        <v>87.688092122559624</v>
      </c>
      <c r="D11" s="30">
        <f>IF(46810.1887="","-",46810.1887/425472.26165*100)</f>
        <v>11.001936652337346</v>
      </c>
      <c r="E11" s="30">
        <f>IF(41046.96139="","-",41046.96139/666964.69129*100)</f>
        <v>6.154293012214727</v>
      </c>
      <c r="F11" s="30">
        <f>IF(OR(464796.56015="",45193.45809="",46810.1887=""),"-",(46810.1887-45193.45809)/464796.56015*100)</f>
        <v>0.34783618223814833</v>
      </c>
      <c r="G11" s="30">
        <f>IF(OR(425472.26165="",41046.96139="",46810.1887=""),"-",(41046.96139-46810.1887)/425472.26165*100)</f>
        <v>-1.3545483053701208</v>
      </c>
    </row>
    <row r="12" spans="1:8" ht="15.75" customHeight="1" x14ac:dyDescent="0.25">
      <c r="A12" s="29" t="s">
        <v>6</v>
      </c>
      <c r="B12" s="64">
        <v>21129.795320000001</v>
      </c>
      <c r="C12" s="30" t="s">
        <v>329</v>
      </c>
      <c r="D12" s="30">
        <f>IF(6925.35482="","-",6925.35482/425472.26165*100)</f>
        <v>1.6276865601398249</v>
      </c>
      <c r="E12" s="30">
        <f>IF(21129.79532="","-",21129.79532/666964.69129*100)</f>
        <v>3.1680530612695725</v>
      </c>
      <c r="F12" s="30">
        <f>IF(OR(464796.56015="",10354.20923="",6925.35482=""),"-",(6925.35482-10354.20923)/464796.56015*100)</f>
        <v>-0.73771079736335288</v>
      </c>
      <c r="G12" s="30">
        <f>IF(OR(425472.26165="",21129.79532="",6925.35482=""),"-",(21129.79532-6925.35482)/425472.26165*100)</f>
        <v>3.3385115271474008</v>
      </c>
    </row>
    <row r="13" spans="1:8" s="12" customFormat="1" x14ac:dyDescent="0.25">
      <c r="A13" s="29" t="s">
        <v>5</v>
      </c>
      <c r="B13" s="64">
        <v>18539.486440000001</v>
      </c>
      <c r="C13" s="30">
        <f>IF(OR(17556.90155="",18539.48644=""),"-",18539.48644/17556.90155*100)</f>
        <v>105.59657344550071</v>
      </c>
      <c r="D13" s="30">
        <f>IF(17556.90155="","-",17556.90155/425472.26165*100)</f>
        <v>4.1264503311951684</v>
      </c>
      <c r="E13" s="30">
        <f>IF(18539.48644="","-",18539.48644/666964.69129*100)</f>
        <v>2.7796803462177473</v>
      </c>
      <c r="F13" s="30">
        <f>IF(OR(464796.56015="",20320.25712="",17556.90155=""),"-",(17556.90155-20320.25712)/464796.56015*100)</f>
        <v>-0.59453012498806035</v>
      </c>
      <c r="G13" s="30">
        <f>IF(OR(425472.26165="",18539.48644="",17556.90155=""),"-",(18539.48644-17556.90155)/425472.26165*100)</f>
        <v>0.23093982347744477</v>
      </c>
    </row>
    <row r="14" spans="1:8" s="12" customFormat="1" x14ac:dyDescent="0.25">
      <c r="A14" s="29" t="s">
        <v>340</v>
      </c>
      <c r="B14" s="64">
        <v>14559.93607</v>
      </c>
      <c r="C14" s="30">
        <f>IF(OR(13033.75345="",14559.93607=""),"-",14559.93607/13033.75345*100)</f>
        <v>111.70946363113843</v>
      </c>
      <c r="D14" s="30">
        <f>IF(13033.75345="","-",13033.75345/425472.26165*100)</f>
        <v>3.0633614984569233</v>
      </c>
      <c r="E14" s="30">
        <f>IF(14559.93607="","-",14559.93607/666964.69129*100)</f>
        <v>2.1830145223788553</v>
      </c>
      <c r="F14" s="30">
        <f>IF(OR(464796.56015="",16109.71497="",13033.75345=""),"-",(13033.75345-16109.71497)/464796.56015*100)</f>
        <v>-0.66178663607306409</v>
      </c>
      <c r="G14" s="30">
        <f>IF(OR(425472.26165="",14559.93607="",13033.75345=""),"-",(14559.93607-13033.75345)/425472.26165*100)</f>
        <v>0.35870320055211041</v>
      </c>
    </row>
    <row r="15" spans="1:8" s="12" customFormat="1" x14ac:dyDescent="0.25">
      <c r="A15" s="29" t="s">
        <v>8</v>
      </c>
      <c r="B15" s="64">
        <v>12960.324989999999</v>
      </c>
      <c r="C15" s="30" t="s">
        <v>199</v>
      </c>
      <c r="D15" s="30">
        <f>IF(7283.77725="","-",7283.77725/425472.26165*100)</f>
        <v>1.7119276405359998</v>
      </c>
      <c r="E15" s="30">
        <f>IF(12960.32499="","-",12960.32499/666964.69129*100)</f>
        <v>1.9431800752350137</v>
      </c>
      <c r="F15" s="30">
        <f>IF(OR(464796.56015="",8039.18712="",7283.77725=""),"-",(7283.77725-8039.18712)/464796.56015*100)</f>
        <v>-0.16252484092313682</v>
      </c>
      <c r="G15" s="30">
        <f>IF(OR(425472.26165="",12960.32499="",7283.77725=""),"-",(12960.32499-7283.77725)/425472.26165*100)</f>
        <v>1.334175750491019</v>
      </c>
    </row>
    <row r="16" spans="1:8" s="12" customFormat="1" x14ac:dyDescent="0.25">
      <c r="A16" s="29" t="s">
        <v>41</v>
      </c>
      <c r="B16" s="64">
        <v>10993.44627</v>
      </c>
      <c r="C16" s="30">
        <f>IF(OR(7236.94171="",10993.44627=""),"-",10993.44627/7236.94171*100)</f>
        <v>151.9073485808137</v>
      </c>
      <c r="D16" s="30">
        <f>IF(7236.94171="","-",7236.94171/425472.26165*100)</f>
        <v>1.7009197454928844</v>
      </c>
      <c r="E16" s="30">
        <f>IF(10993.44627="","-",10993.44627/666964.69129*100)</f>
        <v>1.6482800984167822</v>
      </c>
      <c r="F16" s="30">
        <f>IF(OR(464796.56015="",3184.15928="",7236.94171=""),"-",(7236.94171-3184.15928)/464796.56015*100)</f>
        <v>0.8719475954581245</v>
      </c>
      <c r="G16" s="30">
        <f>IF(OR(425472.26165="",10993.44627="",7236.94171=""),"-",(10993.44627-7236.94171)/425472.26165*100)</f>
        <v>0.88290234137288104</v>
      </c>
    </row>
    <row r="17" spans="1:7" s="12" customFormat="1" x14ac:dyDescent="0.25">
      <c r="A17" s="29" t="s">
        <v>39</v>
      </c>
      <c r="B17" s="64">
        <v>10499.30898</v>
      </c>
      <c r="C17" s="30">
        <f>IF(OR(6940.03151="",10499.30898=""),"-",10499.30898/6940.03151*100)</f>
        <v>151.28618601906032</v>
      </c>
      <c r="D17" s="30">
        <f>IF(6940.03151="","-",6940.03151/425472.26165*100)</f>
        <v>1.6311360658592067</v>
      </c>
      <c r="E17" s="30">
        <f>IF(10499.30898="","-",10499.30898/666964.69129*100)</f>
        <v>1.5741926247539304</v>
      </c>
      <c r="F17" s="30">
        <f>IF(OR(464796.56015="",9901.15886="",6940.03151=""),"-",(6940.03151-9901.15886)/464796.56015*100)</f>
        <v>-0.63708030649890768</v>
      </c>
      <c r="G17" s="30">
        <f>IF(OR(425472.26165="",10499.30898="",6940.03151=""),"-",(10499.30898-6940.03151)/425472.26165*100)</f>
        <v>0.83654747696053477</v>
      </c>
    </row>
    <row r="18" spans="1:7" s="12" customFormat="1" x14ac:dyDescent="0.25">
      <c r="A18" s="29" t="s">
        <v>311</v>
      </c>
      <c r="B18" s="64">
        <v>8358.7290799999992</v>
      </c>
      <c r="C18" s="30">
        <f>IF(OR(6193.49374="",8358.72908=""),"-",8358.72908/6193.49374*100)</f>
        <v>134.9598373857402</v>
      </c>
      <c r="D18" s="30">
        <f>IF(6193.49374="","-",6193.49374/425472.26165*100)</f>
        <v>1.4556750928912172</v>
      </c>
      <c r="E18" s="30">
        <f>IF(8358.72908="","-",8358.72908/666964.69129*100)</f>
        <v>1.2532491133575729</v>
      </c>
      <c r="F18" s="30">
        <f>IF(OR(464796.56015="",9241.62246="",6193.49374=""),"-",(6193.49374-9241.62246)/464796.56015*100)</f>
        <v>-0.65579846783209905</v>
      </c>
      <c r="G18" s="30">
        <f>IF(OR(425472.26165="",8358.72908="",6193.49374=""),"-",(8358.72908-6193.49374)/425472.26165*100)</f>
        <v>0.50890164533949223</v>
      </c>
    </row>
    <row r="19" spans="1:7" s="14" customFormat="1" x14ac:dyDescent="0.25">
      <c r="A19" s="29" t="s">
        <v>46</v>
      </c>
      <c r="B19" s="64">
        <v>8241.3832999999995</v>
      </c>
      <c r="C19" s="30" t="s">
        <v>346</v>
      </c>
      <c r="D19" s="30">
        <f>IF(1293.5791="","-",1293.5791/425472.26165*100)</f>
        <v>0.30403370950281072</v>
      </c>
      <c r="E19" s="30">
        <f>IF(8241.3833="","-",8241.3833/666964.69129*100)</f>
        <v>1.2356551115262262</v>
      </c>
      <c r="F19" s="30">
        <f>IF(OR(464796.56015="",3247.95317="",1293.5791=""),"-",(1293.5791-3247.95317)/464796.56015*100)</f>
        <v>-0.42047946081384097</v>
      </c>
      <c r="G19" s="30">
        <f>IF(OR(425472.26165="",8241.3833="",1293.5791=""),"-",(8241.3833-1293.5791)/425472.26165*100)</f>
        <v>1.6329629041047498</v>
      </c>
    </row>
    <row r="20" spans="1:7" s="12" customFormat="1" x14ac:dyDescent="0.25">
      <c r="A20" s="29" t="s">
        <v>9</v>
      </c>
      <c r="B20" s="64">
        <v>5441.89833</v>
      </c>
      <c r="C20" s="30">
        <f>IF(OR(6801.47913="",5441.89833=""),"-",5441.89833/6801.47913*100)</f>
        <v>80.010512801499985</v>
      </c>
      <c r="D20" s="30">
        <f>IF(6801.47913="","-",6801.47913/425472.26165*100)</f>
        <v>1.5985716915184005</v>
      </c>
      <c r="E20" s="30">
        <f>IF(5441.89833="","-",5441.89833/666964.69129*100)</f>
        <v>0.81592000312259894</v>
      </c>
      <c r="F20" s="30">
        <f>IF(OR(464796.56015="",5609.82176="",6801.47913=""),"-",(6801.47913-5609.82176)/464796.56015*100)</f>
        <v>0.25638257082096866</v>
      </c>
      <c r="G20" s="30">
        <f>IF(OR(425472.26165="",5441.89833="",6801.47913=""),"-",(5441.89833-6801.47913)/425472.26165*100)</f>
        <v>-0.31954628363491572</v>
      </c>
    </row>
    <row r="21" spans="1:7" s="12" customFormat="1" x14ac:dyDescent="0.25">
      <c r="A21" s="29" t="s">
        <v>7</v>
      </c>
      <c r="B21" s="64">
        <v>3534.13501</v>
      </c>
      <c r="C21" s="30">
        <f>IF(OR(2886.49064="",3534.13501=""),"-",3534.13501/2886.49064*100)</f>
        <v>122.43708540139247</v>
      </c>
      <c r="D21" s="30">
        <f>IF(2886.49064="","-",2886.49064/425472.26165*100)</f>
        <v>0.67842040484756005</v>
      </c>
      <c r="E21" s="30">
        <f>IF(3534.13501="","-",3534.13501/666964.69129*100)</f>
        <v>0.52988337406055253</v>
      </c>
      <c r="F21" s="30">
        <f>IF(OR(464796.56015="",5203.31296="",2886.49064=""),"-",(2886.49064-5203.31296)/464796.56015*100)</f>
        <v>-0.49845943766285861</v>
      </c>
      <c r="G21" s="30">
        <f>IF(OR(425472.26165="",3534.13501="",2886.49064=""),"-",(3534.13501-2886.49064)/425472.26165*100)</f>
        <v>0.15221776561611958</v>
      </c>
    </row>
    <row r="22" spans="1:7" s="12" customFormat="1" x14ac:dyDescent="0.25">
      <c r="A22" s="29" t="s">
        <v>40</v>
      </c>
      <c r="B22" s="64">
        <v>3186.8169800000001</v>
      </c>
      <c r="C22" s="30">
        <f>IF(OR(2719.77947="",3186.81698=""),"-",3186.81698/2719.77947*100)</f>
        <v>117.17188893995146</v>
      </c>
      <c r="D22" s="30">
        <f>IF(2719.77947="","-",2719.77947/425472.26165*100)</f>
        <v>0.63923778707748802</v>
      </c>
      <c r="E22" s="30">
        <f>IF(3186.81698="","-",3186.81698/666964.69129*100)</f>
        <v>0.47780894875203439</v>
      </c>
      <c r="F22" s="30">
        <f>IF(OR(464796.56015="",1773.43127="",2719.77947=""),"-",(2719.77947-1773.43127)/464796.56015*100)</f>
        <v>0.20360482007323652</v>
      </c>
      <c r="G22" s="30">
        <f>IF(OR(425472.26165="",3186.81698="",2719.77947=""),"-",(3186.81698-2719.77947)/425472.26165*100)</f>
        <v>0.10976920285914957</v>
      </c>
    </row>
    <row r="23" spans="1:7" s="12" customFormat="1" x14ac:dyDescent="0.25">
      <c r="A23" s="29" t="s">
        <v>43</v>
      </c>
      <c r="B23" s="64">
        <v>1602.97279</v>
      </c>
      <c r="C23" s="30">
        <f>IF(OR(2769.45724="",1602.97279=""),"-",1602.97279/2769.45724*100)</f>
        <v>57.880395004762732</v>
      </c>
      <c r="D23" s="30">
        <f>IF(2769.45724="","-",2769.45724/425472.26165*100)</f>
        <v>0.65091369981674585</v>
      </c>
      <c r="E23" s="30">
        <f>IF(1602.97279="","-",1602.97279/666964.69129*100)</f>
        <v>0.24033847832328781</v>
      </c>
      <c r="F23" s="30">
        <f>IF(OR(464796.56015="",2006.3504="",2769.45724=""),"-",(2769.45724-2006.3504)/464796.56015*100)</f>
        <v>0.16418082779135218</v>
      </c>
      <c r="G23" s="30">
        <f>IF(OR(425472.26165="",1602.97279="",2769.45724=""),"-",(1602.97279-2769.45724)/425472.26165*100)</f>
        <v>-0.27416227922269776</v>
      </c>
    </row>
    <row r="24" spans="1:7" s="12" customFormat="1" x14ac:dyDescent="0.25">
      <c r="A24" s="29" t="s">
        <v>42</v>
      </c>
      <c r="B24" s="64">
        <v>1392.4227100000001</v>
      </c>
      <c r="C24" s="30">
        <f>IF(OR(965.40357="",1392.42271=""),"-",1392.42271/965.40357*100)</f>
        <v>144.23218986024676</v>
      </c>
      <c r="D24" s="30">
        <f>IF(965.40357="","-",965.40357/425472.26165*100)</f>
        <v>0.22690164718520608</v>
      </c>
      <c r="E24" s="30">
        <f>IF(1392.42271="","-",1392.42271/666964.69129*100)</f>
        <v>0.20877007856395907</v>
      </c>
      <c r="F24" s="30">
        <f>IF(OR(464796.56015="",1188.09688="",965.40357=""),"-",(965.40357-1188.09688)/464796.56015*100)</f>
        <v>-4.7911996149053282E-2</v>
      </c>
      <c r="G24" s="30">
        <f>IF(OR(425472.26165="",1392.42271="",965.40357=""),"-",(1392.42271-965.40357)/425472.26165*100)</f>
        <v>0.10036356737898758</v>
      </c>
    </row>
    <row r="25" spans="1:7" s="12" customFormat="1" x14ac:dyDescent="0.25">
      <c r="A25" s="29" t="s">
        <v>44</v>
      </c>
      <c r="B25" s="64">
        <v>769.44321000000002</v>
      </c>
      <c r="C25" s="30">
        <f>IF(OR(991.73278="",769.44321=""),"-",769.44321/991.73278*100)</f>
        <v>77.585739376286426</v>
      </c>
      <c r="D25" s="30">
        <f>IF(991.73278="","-",991.73278/425472.26165*100)</f>
        <v>0.23308987903324579</v>
      </c>
      <c r="E25" s="30">
        <f>IF(769.44321="","-",769.44321/666964.69129*100)</f>
        <v>0.11536490912461839</v>
      </c>
      <c r="F25" s="30">
        <f>IF(OR(464796.56015="",655.4969="",991.73278=""),"-",(991.73278-655.4969)/464796.56015*100)</f>
        <v>7.2340440706249939E-2</v>
      </c>
      <c r="G25" s="30">
        <f>IF(OR(425472.26165="",769.44321="",991.73278=""),"-",(769.44321-991.73278)/425472.26165*100)</f>
        <v>-5.2245372974010426E-2</v>
      </c>
    </row>
    <row r="26" spans="1:7" s="7" customFormat="1" x14ac:dyDescent="0.25">
      <c r="A26" s="29" t="s">
        <v>45</v>
      </c>
      <c r="B26" s="64">
        <v>428.93171999999998</v>
      </c>
      <c r="C26" s="30">
        <f>IF(OR(562.81836="",428.93172=""),"-",428.93172/562.81836*100)</f>
        <v>76.211394383083018</v>
      </c>
      <c r="D26" s="30">
        <f>IF(562.81836="","-",562.81836/425472.26165*100)</f>
        <v>0.13228085840834039</v>
      </c>
      <c r="E26" s="30">
        <f>IF(428.93172="","-",428.93172/666964.69129*100)</f>
        <v>6.4311008603826977E-2</v>
      </c>
      <c r="F26" s="30">
        <f>IF(OR(464796.56015="",1149.62103="",562.81836=""),"-",(562.81836-1149.62103)/464796.56015*100)</f>
        <v>-0.12624935731250378</v>
      </c>
      <c r="G26" s="30">
        <f>IF(OR(425472.26165="",428.93172="",562.81836=""),"-",(428.93172-562.81836)/425472.26165*100)</f>
        <v>-3.1467771713432451E-2</v>
      </c>
    </row>
    <row r="27" spans="1:7" s="7" customFormat="1" x14ac:dyDescent="0.25">
      <c r="A27" s="29" t="s">
        <v>47</v>
      </c>
      <c r="B27" s="64">
        <v>413.96226000000001</v>
      </c>
      <c r="C27" s="30">
        <f>IF(OR(412.19799="",413.96226=""),"-",413.96226/412.19799*100)</f>
        <v>100.42801518755586</v>
      </c>
      <c r="D27" s="30">
        <f>IF(412.19799="","-",412.19799/425472.26165*100)</f>
        <v>9.6880108799919928E-2</v>
      </c>
      <c r="E27" s="30">
        <f>IF(413.96226="","-",413.96226/666964.69129*100)</f>
        <v>6.2066592940525973E-2</v>
      </c>
      <c r="F27" s="30">
        <f>IF(OR(464796.56015="",149.35023="",412.19799=""),"-",(412.19799-149.35023)/464796.56015*100)</f>
        <v>5.6551141410163035E-2</v>
      </c>
      <c r="G27" s="30">
        <f>IF(OR(425472.26165="",413.96226="",412.19799=""),"-",(413.96226-412.19799)/425472.26165*100)</f>
        <v>4.1466157938430446E-4</v>
      </c>
    </row>
    <row r="28" spans="1:7" s="12" customFormat="1" x14ac:dyDescent="0.25">
      <c r="A28" s="29" t="s">
        <v>49</v>
      </c>
      <c r="B28" s="64">
        <v>310.36669000000001</v>
      </c>
      <c r="C28" s="30" t="s">
        <v>329</v>
      </c>
      <c r="D28" s="30">
        <f>IF(99.91771="","-",99.91771/425472.26165*100)</f>
        <v>2.3483953950961398E-2</v>
      </c>
      <c r="E28" s="30">
        <f>IF(310.36669="","-",310.36669/666964.69129*100)</f>
        <v>4.653420099341523E-2</v>
      </c>
      <c r="F28" s="30">
        <f>IF(OR(464796.56015="",104.10859="",99.91771=""),"-",(99.91771-104.10859)/464796.56015*100)</f>
        <v>-9.0165899649677242E-4</v>
      </c>
      <c r="G28" s="30">
        <f>IF(OR(425472.26165="",310.36669="",99.91771=""),"-",(310.36669-99.91771)/425472.26165*100)</f>
        <v>4.9462444198799159E-2</v>
      </c>
    </row>
    <row r="29" spans="1:7" s="12" customFormat="1" x14ac:dyDescent="0.25">
      <c r="A29" s="29" t="s">
        <v>52</v>
      </c>
      <c r="B29" s="64">
        <v>157.25651999999999</v>
      </c>
      <c r="C29" s="30" t="s">
        <v>92</v>
      </c>
      <c r="D29" s="30">
        <f>IF(73.31212="","-",73.31212/425472.26165*100)</f>
        <v>1.7230763696719591E-2</v>
      </c>
      <c r="E29" s="30">
        <f>IF(157.25652="","-",157.25652/666964.69129*100)</f>
        <v>2.3577937790956311E-2</v>
      </c>
      <c r="F29" s="30">
        <f>IF(OR(464796.56015="",72.95247="",73.31212=""),"-",(73.31212-72.95247)/464796.56015*100)</f>
        <v>7.737793926097923E-5</v>
      </c>
      <c r="G29" s="30">
        <f>IF(OR(425472.26165="",157.25652="",73.31212=""),"-",(157.25652-73.31212)/425472.26165*100)</f>
        <v>1.9729699810384808E-2</v>
      </c>
    </row>
    <row r="30" spans="1:7" s="7" customFormat="1" x14ac:dyDescent="0.25">
      <c r="A30" s="29" t="s">
        <v>312</v>
      </c>
      <c r="B30" s="64">
        <v>128.42346000000001</v>
      </c>
      <c r="C30" s="30" t="s">
        <v>317</v>
      </c>
      <c r="D30" s="30">
        <f>IF(40.47562="","-",40.47562/425472.26165*100)</f>
        <v>9.5131042956910477E-3</v>
      </c>
      <c r="E30" s="30">
        <f>IF(128.42346="","-",128.42346/666964.69129*100)</f>
        <v>1.9254911343449331E-2</v>
      </c>
      <c r="F30" s="30">
        <f>IF(OR(464796.56015="",153.94229="",40.47562=""),"-",(40.47562-153.94229)/464796.56015*100)</f>
        <v>-2.4412114832214303E-2</v>
      </c>
      <c r="G30" s="30">
        <f>IF(OR(425472.26165="",128.42346="",40.47562=""),"-",(128.42346-40.47562)/425472.26165*100)</f>
        <v>2.0670640116216849E-2</v>
      </c>
    </row>
    <row r="31" spans="1:7" s="7" customFormat="1" x14ac:dyDescent="0.25">
      <c r="A31" s="29" t="s">
        <v>50</v>
      </c>
      <c r="B31" s="64">
        <v>99.661240000000006</v>
      </c>
      <c r="C31" s="30" t="s">
        <v>198</v>
      </c>
      <c r="D31" s="30">
        <f>IF(44.61642="","-",44.61642/425472.26165*100)</f>
        <v>1.0486328727277209E-2</v>
      </c>
      <c r="E31" s="30">
        <f>IF(99.66124="","-",99.66124/666964.69129*100)</f>
        <v>1.4942506147850448E-2</v>
      </c>
      <c r="F31" s="30">
        <f>IF(OR(464796.56015="",4514.94353="",44.61642=""),"-",(44.61642-4514.94353)/464796.56015*100)</f>
        <v>-0.96178145306353535</v>
      </c>
      <c r="G31" s="30">
        <f>IF(OR(425472.26165="",99.66124="",44.61642=""),"-",(99.66124-44.61642)/425472.26165*100)</f>
        <v>1.2937346323479185E-2</v>
      </c>
    </row>
    <row r="32" spans="1:7" s="7" customFormat="1" x14ac:dyDescent="0.25">
      <c r="A32" s="29" t="s">
        <v>48</v>
      </c>
      <c r="B32" s="64">
        <v>25.318079999999998</v>
      </c>
      <c r="C32" s="30">
        <f>IF(OR(235.79607="",25.31808=""),"-",25.31808/235.79607*100)</f>
        <v>10.737278191277742</v>
      </c>
      <c r="D32" s="30">
        <f>IF(235.79607="","-",235.79607/425472.26165*100)</f>
        <v>5.5419845487828641E-2</v>
      </c>
      <c r="E32" s="30">
        <f>IF(25.31808="","-",25.31808/666964.69129*100)</f>
        <v>3.7960150410708258E-3</v>
      </c>
      <c r="F32" s="30">
        <f>IF(OR(464796.56015="",195.50355="",235.79607=""),"-",(235.79607-195.50355)/464796.56015*100)</f>
        <v>8.6688507305210522E-3</v>
      </c>
      <c r="G32" s="30">
        <f>IF(OR(425472.26165="",25.31808="",235.79607=""),"-",(25.31808-235.79607)/425472.26165*100)</f>
        <v>-4.946926250462419E-2</v>
      </c>
    </row>
    <row r="33" spans="1:7" s="7" customFormat="1" x14ac:dyDescent="0.25">
      <c r="A33" s="29" t="s">
        <v>51</v>
      </c>
      <c r="B33" s="64">
        <v>8.6957500000000003</v>
      </c>
      <c r="C33" s="30" t="s">
        <v>347</v>
      </c>
      <c r="D33" s="30">
        <f>IF(0.31657="","-",0.31657/425472.26165*100)</f>
        <v>7.4404380387179113E-5</v>
      </c>
      <c r="E33" s="30">
        <f>IF(8.69575="","-",8.69575/666964.69129*100)</f>
        <v>1.3037796623358341E-3</v>
      </c>
      <c r="F33" s="30">
        <f>IF(OR(464796.56015="",25.06537="",0.31657=""),"-",(0.31657-25.06537)/464796.56015*100)</f>
        <v>-5.324652142867199E-3</v>
      </c>
      <c r="G33" s="30">
        <f>IF(OR(425472.26165="",8.69575="",0.31657=""),"-",(8.69575-0.31657)/425472.26165*100)</f>
        <v>1.9693833782501295E-3</v>
      </c>
    </row>
    <row r="34" spans="1:7" s="7" customFormat="1" x14ac:dyDescent="0.25">
      <c r="A34" s="29" t="s">
        <v>54</v>
      </c>
      <c r="B34" s="64">
        <v>2.6033400000000002</v>
      </c>
      <c r="C34" s="30" t="str">
        <f>IF(OR(""="",2.60334=""),"-",2.60334/""*100)</f>
        <v>-</v>
      </c>
      <c r="D34" s="30" t="str">
        <f>IF(""="","-",""/425472.26165*100)</f>
        <v>-</v>
      </c>
      <c r="E34" s="30">
        <f>IF(2.60334="","-",2.60334/666964.69129*100)</f>
        <v>3.9032650963348421E-4</v>
      </c>
      <c r="F34" s="30" t="str">
        <f>IF(OR(464796.56015="",""="",""=""),"-",(""-"")/464796.56015*100)</f>
        <v>-</v>
      </c>
      <c r="G34" s="30" t="str">
        <f>IF(OR(425472.26165="",2.60334="",""=""),"-",(2.60334-"")/425472.26165*100)</f>
        <v>-</v>
      </c>
    </row>
    <row r="35" spans="1:7" s="7" customFormat="1" x14ac:dyDescent="0.25">
      <c r="A35" s="27" t="s">
        <v>135</v>
      </c>
      <c r="B35" s="18">
        <v>78536.470310000004</v>
      </c>
      <c r="C35" s="62">
        <f>IF(67411.44167="","-",78536.47031/67411.44167*100)</f>
        <v>116.50317566928842</v>
      </c>
      <c r="D35" s="62">
        <f>IF(67411.44167="","-",67411.44167/425472.26165*100)</f>
        <v>15.843909872896411</v>
      </c>
      <c r="E35" s="62">
        <f>IF(78536.47031="","-",78536.47031/666964.69129*100)</f>
        <v>11.775206594235122</v>
      </c>
      <c r="F35" s="62">
        <f>IF(464796.56015="","-",(67411.44167-59866.72216)/464796.56015*100)</f>
        <v>1.6232304962767274</v>
      </c>
      <c r="G35" s="62">
        <f>IF(425472.26165="","-",(78536.47031-67411.44167)/425472.26165*100)</f>
        <v>2.6147482792078285</v>
      </c>
    </row>
    <row r="36" spans="1:7" s="7" customFormat="1" x14ac:dyDescent="0.25">
      <c r="A36" s="29" t="s">
        <v>313</v>
      </c>
      <c r="B36" s="64">
        <v>48779.67899</v>
      </c>
      <c r="C36" s="73">
        <f>IF(OR(39774.30228="",48779.67899=""),"-",48779.67899/39774.30228*100)</f>
        <v>122.64119341831481</v>
      </c>
      <c r="D36" s="73">
        <f>IF(39774.30228="","-",39774.30228/425472.26165*100)</f>
        <v>9.3482715243888119</v>
      </c>
      <c r="E36" s="73">
        <f>IF(48779.67899="","-",48779.67899/666964.69129*100)</f>
        <v>7.3136823623531706</v>
      </c>
      <c r="F36" s="73">
        <f>IF(OR(464796.56015="",33223.298="",39774.30228=""),"-",(39774.30228-33223.298)/464796.56015*100)</f>
        <v>1.4094347595614409</v>
      </c>
      <c r="G36" s="73">
        <f>IF(OR(425472.26165="",48779.67899="",39774.30228=""),"-",(48779.67899-39774.30228)/425472.26165*100)</f>
        <v>2.1165602371061167</v>
      </c>
    </row>
    <row r="37" spans="1:7" s="7" customFormat="1" ht="14.25" customHeight="1" x14ac:dyDescent="0.25">
      <c r="A37" s="29" t="s">
        <v>11</v>
      </c>
      <c r="B37" s="64">
        <v>15627.818810000001</v>
      </c>
      <c r="C37" s="73">
        <f>IF(OR(13702.44004="",15627.81881=""),"-",15627.81881/13702.44004*100)</f>
        <v>114.05135701655659</v>
      </c>
      <c r="D37" s="73">
        <f>IF(13702.44004="","-",13702.44004/425472.26165*100)</f>
        <v>3.220524879074687</v>
      </c>
      <c r="E37" s="73">
        <f>IF(15627.81881="","-",15627.81881/666964.69129*100)</f>
        <v>2.3431253579216738</v>
      </c>
      <c r="F37" s="73">
        <f>IF(OR(464796.56015="",12112.66909="",13702.44004=""),"-",(13702.44004-12112.66909)/464796.56015*100)</f>
        <v>0.34203586822736953</v>
      </c>
      <c r="G37" s="73">
        <f>IF(OR(425472.26165="",15627.81881="",13702.44004=""),"-",(15627.81881-13702.44004)/425472.26165*100)</f>
        <v>0.45252744856581206</v>
      </c>
    </row>
    <row r="38" spans="1:7" s="13" customFormat="1" ht="14.25" customHeight="1" x14ac:dyDescent="0.2">
      <c r="A38" s="29" t="s">
        <v>10</v>
      </c>
      <c r="B38" s="64">
        <v>10441.743350000001</v>
      </c>
      <c r="C38" s="73">
        <f>IF(OR(11102.69359="",10441.74335=""),"-",10441.74335/11102.69359*100)</f>
        <v>94.046937937697322</v>
      </c>
      <c r="D38" s="73">
        <f>IF(11102.69359="","-",11102.69359/425472.26165*100)</f>
        <v>2.6094988065598614</v>
      </c>
      <c r="E38" s="73">
        <f>IF(10441.74335="","-",10441.74335/666964.69129*100)</f>
        <v>1.5655616386235163</v>
      </c>
      <c r="F38" s="73">
        <f>IF(OR(464796.56015="",10739.30441="",11102.69359=""),"-",(11102.69359-10739.30441)/464796.56015*100)</f>
        <v>7.8182415954783854E-2</v>
      </c>
      <c r="G38" s="73">
        <f>IF(OR(425472.26165="",10441.74335="",11102.69359=""),"-",(10441.74335-11102.69359)/425472.26165*100)</f>
        <v>-0.155345083469556</v>
      </c>
    </row>
    <row r="39" spans="1:7" s="13" customFormat="1" ht="14.25" customHeight="1" x14ac:dyDescent="0.2">
      <c r="A39" s="29" t="s">
        <v>12</v>
      </c>
      <c r="B39" s="64">
        <v>1168.7762399999999</v>
      </c>
      <c r="C39" s="73">
        <f>IF(OR(1162.94538="",1168.77624=""),"-",1168.77624/1162.94538*100)</f>
        <v>100.50138726205698</v>
      </c>
      <c r="D39" s="73">
        <f>IF(1162.94538="","-",1162.94538/425472.26165*100)</f>
        <v>0.27333048116698533</v>
      </c>
      <c r="E39" s="73">
        <f>IF(1168.77624="","-",1168.77624/666964.69129*100)</f>
        <v>0.17523809809773117</v>
      </c>
      <c r="F39" s="73">
        <f>IF(OR(464796.56015="",2286.38216="",1162.94538=""),"-",(1162.94538-2286.38216)/464796.56015*100)</f>
        <v>-0.2417050547098375</v>
      </c>
      <c r="G39" s="73">
        <f>IF(OR(425472.26165="",1168.77624="",1162.94538=""),"-",(1168.77624-1162.94538)/425472.26165*100)</f>
        <v>1.3704442158902911E-3</v>
      </c>
    </row>
    <row r="40" spans="1:7" s="13" customFormat="1" ht="14.25" customHeight="1" x14ac:dyDescent="0.2">
      <c r="A40" s="29" t="s">
        <v>14</v>
      </c>
      <c r="B40" s="64">
        <v>1167.8033700000001</v>
      </c>
      <c r="C40" s="73">
        <f>IF(OR(858.77128="",1167.80337=""),"-",1167.80337/858.77128*100)</f>
        <v>135.98537785287837</v>
      </c>
      <c r="D40" s="73">
        <f>IF(858.77128="","-",858.77128/425472.26165*100)</f>
        <v>0.20183954570143953</v>
      </c>
      <c r="E40" s="73">
        <f>IF(1167.80337="","-",1167.80337/666964.69129*100)</f>
        <v>0.1750922328049046</v>
      </c>
      <c r="F40" s="73">
        <f>IF(OR(464796.56015="",579.28494="",858.77128=""),"-",(858.77128-579.28494)/464796.56015*100)</f>
        <v>6.0130896818557288E-2</v>
      </c>
      <c r="G40" s="73">
        <f>IF(OR(425472.26165="",1167.80337="",858.77128=""),"-",(1167.80337-858.77128)/425472.26165*100)</f>
        <v>7.2632723177196115E-2</v>
      </c>
    </row>
    <row r="41" spans="1:7" s="11" customFormat="1" ht="14.25" customHeight="1" x14ac:dyDescent="0.2">
      <c r="A41" s="29" t="s">
        <v>13</v>
      </c>
      <c r="B41" s="64">
        <v>655.94285000000002</v>
      </c>
      <c r="C41" s="73" t="s">
        <v>100</v>
      </c>
      <c r="D41" s="73">
        <f>IF(389.56373="","-",389.56373/425472.26165*100)</f>
        <v>9.1560311943545955E-2</v>
      </c>
      <c r="E41" s="73">
        <f>IF(655.94285="","-",655.94285/666964.69129*100)</f>
        <v>9.834746255177583E-2</v>
      </c>
      <c r="F41" s="73">
        <f>IF(OR(464796.56015="",605.20225="",389.56373=""),"-",(389.56373-605.20225)/464796.56015*100)</f>
        <v>-4.6394172953949736E-2</v>
      </c>
      <c r="G41" s="73">
        <f>IF(OR(425472.26165="",655.94285="",389.56373=""),"-",(655.94285-389.56373)/425472.26165*100)</f>
        <v>6.2607869891910251E-2</v>
      </c>
    </row>
    <row r="42" spans="1:7" s="13" customFormat="1" ht="14.25" customHeight="1" x14ac:dyDescent="0.2">
      <c r="A42" s="29" t="s">
        <v>15</v>
      </c>
      <c r="B42" s="64">
        <v>417.48860999999999</v>
      </c>
      <c r="C42" s="73" t="str">
        <f>IF(OR(""="",417.48861=""),"-",417.48861/""*100)</f>
        <v>-</v>
      </c>
      <c r="D42" s="73" t="str">
        <f>IF(""="","-",""/425472.26165*100)</f>
        <v>-</v>
      </c>
      <c r="E42" s="73">
        <f>IF(417.48861="","-",417.48861/666964.69129*100)</f>
        <v>6.2595309084881312E-2</v>
      </c>
      <c r="F42" s="73" t="str">
        <f>IF(OR(464796.56015="",""="",""=""),"-",(""-"")/464796.56015*100)</f>
        <v>-</v>
      </c>
      <c r="G42" s="73" t="str">
        <f>IF(OR(425472.26165="",417.48861="",""=""),"-",(417.48861-"")/425472.26165*100)</f>
        <v>-</v>
      </c>
    </row>
    <row r="43" spans="1:7" s="11" customFormat="1" ht="14.25" customHeight="1" x14ac:dyDescent="0.2">
      <c r="A43" s="29" t="s">
        <v>341</v>
      </c>
      <c r="B43" s="67">
        <v>182.7988</v>
      </c>
      <c r="C43" s="73">
        <f>IF(OR(189.16841="",182.7988=""),"-",182.7988/189.16841*100)</f>
        <v>96.632836317649449</v>
      </c>
      <c r="D43" s="73">
        <f>IF(189.16841="","-",189.16841/425472.26165*100)</f>
        <v>4.4460809093969288E-2</v>
      </c>
      <c r="E43" s="73">
        <f>IF(182.7988="","-",182.7988/666964.69129*100)</f>
        <v>2.7407567804892698E-2</v>
      </c>
      <c r="F43" s="73">
        <f>IF(OR(464796.56015="",40.08862="",189.16841=""),"-",(189.16841-40.08862)/464796.56015*100)</f>
        <v>3.2074202518170253E-2</v>
      </c>
      <c r="G43" s="73">
        <f>IF(OR(425472.26165="",182.7988="",189.16841=""),"-",(182.7988-189.16841)/425472.26165*100)</f>
        <v>-1.4970682166913463E-3</v>
      </c>
    </row>
    <row r="44" spans="1:7" s="11" customFormat="1" ht="14.25" customHeight="1" x14ac:dyDescent="0.2">
      <c r="A44" s="29" t="s">
        <v>16</v>
      </c>
      <c r="B44" s="64">
        <v>76.407110000000003</v>
      </c>
      <c r="C44" s="73">
        <f>IF(OR(125.77253="",76.40711=""),"-",76.40711/125.77253*100)</f>
        <v>60.750236955557781</v>
      </c>
      <c r="D44" s="73">
        <f>IF(125.77253="","-",125.77253/425472.26165*100)</f>
        <v>2.9560688518741184E-2</v>
      </c>
      <c r="E44" s="73">
        <f>IF(76.40711="","-",76.40711/666964.69129*100)</f>
        <v>1.1455945269339267E-2</v>
      </c>
      <c r="F44" s="73">
        <f>IF(OR(464796.56015="",185.3358="",125.77253=""),"-",(125.77253-185.3358)/464796.56015*100)</f>
        <v>-1.2814911965092348E-2</v>
      </c>
      <c r="G44" s="73">
        <f>IF(OR(425472.26165="",76.40711="",125.77253=""),"-",(76.40711-125.77253)/425472.26165*100)</f>
        <v>-1.160250019791155E-2</v>
      </c>
    </row>
    <row r="45" spans="1:7" s="11" customFormat="1" ht="14.25" customHeight="1" x14ac:dyDescent="0.2">
      <c r="A45" s="29" t="s">
        <v>17</v>
      </c>
      <c r="B45" s="64">
        <v>18.012180000000001</v>
      </c>
      <c r="C45" s="73">
        <f>IF(OR(105.78443="",18.01218=""),"-",18.01218/105.78443*100)</f>
        <v>17.027250607674496</v>
      </c>
      <c r="D45" s="73">
        <f>IF(105.78443="","-",105.78443/425472.26165*100)</f>
        <v>2.4862826448371362E-2</v>
      </c>
      <c r="E45" s="73">
        <f>IF(18.01218="","-",18.01218/666964.69129*100)</f>
        <v>2.7006197232363237E-3</v>
      </c>
      <c r="F45" s="73">
        <f>IF(OR(464796.56015="",95.15689="",105.78443=""),"-",(105.78443-95.15689)/464796.56015*100)</f>
        <v>2.2864928252847349E-3</v>
      </c>
      <c r="G45" s="73">
        <f>IF(OR(425472.26165="",18.01218="",105.78443=""),"-",(18.01218-105.78443)/425472.26165*100)</f>
        <v>-2.0629370680855994E-2</v>
      </c>
    </row>
    <row r="46" spans="1:7" s="11" customFormat="1" ht="12.75" x14ac:dyDescent="0.2">
      <c r="A46" s="27" t="s">
        <v>136</v>
      </c>
      <c r="B46" s="18">
        <v>174308.05697000001</v>
      </c>
      <c r="C46" s="62" t="s">
        <v>19</v>
      </c>
      <c r="D46" s="62">
        <f>IF(87470.15321="","-",87470.15321/425472.26165*100)</f>
        <v>20.558367981683915</v>
      </c>
      <c r="E46" s="62">
        <f>IF(174308.05697="","-",174308.05697/666964.69129*100)</f>
        <v>26.134525447346341</v>
      </c>
      <c r="F46" s="62">
        <f>IF(464796.56015="","-",(87470.15321-94774.43957)/464796.56015*100)</f>
        <v>-1.5715018109520318</v>
      </c>
      <c r="G46" s="62">
        <f>IF(425472.26165="","-",(174308.05697-87470.15321)/425472.26165*100)</f>
        <v>20.409768529501505</v>
      </c>
    </row>
    <row r="47" spans="1:7" s="7" customFormat="1" x14ac:dyDescent="0.25">
      <c r="A47" s="63" t="s">
        <v>55</v>
      </c>
      <c r="B47" s="19">
        <v>92236.381980000006</v>
      </c>
      <c r="C47" s="76" t="s">
        <v>19</v>
      </c>
      <c r="D47" s="73">
        <f>IF(45599.11614="","-",45599.11614/425472.26165*100)</f>
        <v>10.71729469817013</v>
      </c>
      <c r="E47" s="73">
        <f>IF(92236.38198="","-",92236.38198/666964.69129*100)</f>
        <v>13.829275100245916</v>
      </c>
      <c r="F47" s="73">
        <f>IF(OR(464796.56015="",33490.1862="",45599.11614=""),"-",(45599.11614-33490.1862)/464796.56015*100)</f>
        <v>2.6052107477069506</v>
      </c>
      <c r="G47" s="73">
        <f>IF(OR(425472.26165="",92236.38198="",45599.11614=""),"-",(92236.38198-45599.11614)/425472.26165*100)</f>
        <v>10.961294082753751</v>
      </c>
    </row>
    <row r="48" spans="1:7" s="7" customFormat="1" x14ac:dyDescent="0.25">
      <c r="A48" s="63" t="s">
        <v>314</v>
      </c>
      <c r="B48" s="19">
        <v>25623.344570000001</v>
      </c>
      <c r="C48" s="76" t="s">
        <v>348</v>
      </c>
      <c r="D48" s="73">
        <f>IF(6661.80792="","-",6661.80792/425472.26165*100)</f>
        <v>1.5657443552642463</v>
      </c>
      <c r="E48" s="73">
        <f>IF(25623.34457="","-",25623.34457/666964.69129*100)</f>
        <v>3.8417842660367802</v>
      </c>
      <c r="F48" s="73">
        <f>IF(OR(464796.56015="",18384.2484="",6661.80792=""),"-",(6661.80792-18384.2484)/464796.56015*100)</f>
        <v>-2.5220583552117755</v>
      </c>
      <c r="G48" s="73">
        <f>IF(OR(425472.26165="",25623.34457="",6661.80792=""),"-",(25623.34457-6661.80792)/425472.26165*100)</f>
        <v>4.4565858597846866</v>
      </c>
    </row>
    <row r="49" spans="1:7" s="12" customFormat="1" ht="26.25" x14ac:dyDescent="0.25">
      <c r="A49" s="63" t="s">
        <v>315</v>
      </c>
      <c r="B49" s="19">
        <v>16865.775509999999</v>
      </c>
      <c r="C49" s="76" t="s">
        <v>318</v>
      </c>
      <c r="D49" s="73">
        <f>IF(6068.26328="","-",6068.26328/425472.26165*100)</f>
        <v>1.4262418086826649</v>
      </c>
      <c r="E49" s="73">
        <f>IF(16865.77551="","-",16865.77551/666964.69129*100)</f>
        <v>2.5287358881591326</v>
      </c>
      <c r="F49" s="73">
        <f>IF(OR(464796.56015="",8220.90733="",6068.26328=""),"-",(6068.26328-8220.90733)/464796.56015*100)</f>
        <v>-0.4631368290043486</v>
      </c>
      <c r="G49" s="73">
        <f>IF(OR(425472.26165="",16865.77551="",6068.26328=""),"-",(16865.77551-6068.26328)/425472.26165*100)</f>
        <v>2.5377711318069895</v>
      </c>
    </row>
    <row r="50" spans="1:7" s="7" customFormat="1" x14ac:dyDescent="0.25">
      <c r="A50" s="63" t="s">
        <v>18</v>
      </c>
      <c r="B50" s="19">
        <v>4843.5652799999998</v>
      </c>
      <c r="C50" s="76" t="s">
        <v>199</v>
      </c>
      <c r="D50" s="73">
        <f>IF(2627.16546="","-",2627.16546/425472.26165*100)</f>
        <v>0.61747044326973</v>
      </c>
      <c r="E50" s="73">
        <f>IF(4843.56528="","-",4843.56528/666964.69129*100)</f>
        <v>0.72621014924071747</v>
      </c>
      <c r="F50" s="73">
        <f>IF(OR(464796.56015="",3694.57142="",2627.16546=""),"-",(2627.16546-3694.57142)/464796.56015*100)</f>
        <v>-0.22965014191488961</v>
      </c>
      <c r="G50" s="73">
        <f>IF(OR(425472.26165="",4843.56528="",2627.16546=""),"-",(4843.56528-2627.16546)/425472.26165*100)</f>
        <v>0.52092698391305337</v>
      </c>
    </row>
    <row r="51" spans="1:7" s="14" customFormat="1" x14ac:dyDescent="0.25">
      <c r="A51" s="63" t="s">
        <v>57</v>
      </c>
      <c r="B51" s="19">
        <v>2996.4171500000002</v>
      </c>
      <c r="C51" s="76">
        <f>IF(OR(3000.51633="",2996.41715=""),"-",2996.41715/3000.51633*100)</f>
        <v>99.863384179615522</v>
      </c>
      <c r="D51" s="73">
        <f>IF(3000.51633="","-",3000.51633/425472.26165*100)</f>
        <v>0.70522019892997645</v>
      </c>
      <c r="E51" s="73">
        <f>IF(2996.41715="","-",2996.41715/666964.69129*100)</f>
        <v>0.44926173591056584</v>
      </c>
      <c r="F51" s="73">
        <f>IF(OR(464796.56015="",3718.93207="",3000.51633=""),"-",(3000.51633-3718.93207)/464796.56015*100)</f>
        <v>-0.15456563184722183</v>
      </c>
      <c r="G51" s="73">
        <f>IF(OR(425472.26165="",2996.41715="",3000.51633=""),"-",(2996.41715-3000.51633)/425472.26165*100)</f>
        <v>-9.6344236028522918E-4</v>
      </c>
    </row>
    <row r="52" spans="1:7" s="12" customFormat="1" x14ac:dyDescent="0.25">
      <c r="A52" s="63" t="s">
        <v>65</v>
      </c>
      <c r="B52" s="19">
        <v>2512.6282900000001</v>
      </c>
      <c r="C52" s="76" t="s">
        <v>100</v>
      </c>
      <c r="D52" s="73">
        <f>IF(1487.93034="","-",1487.93034/425472.26165*100)</f>
        <v>0.34971265441129845</v>
      </c>
      <c r="E52" s="73">
        <f>IF(2512.62829="","-",2512.62829/666964.69129*100)</f>
        <v>0.37672583313821861</v>
      </c>
      <c r="F52" s="73">
        <f>IF(OR(464796.56015="",1078.97621="",1487.93034=""),"-",(1487.93034-1078.97621)/464796.56015*100)</f>
        <v>8.798561888410307E-2</v>
      </c>
      <c r="G52" s="73">
        <f>IF(OR(425472.26165="",2512.62829="",1487.93034=""),"-",(2512.62829-1487.93034)/425472.26165*100)</f>
        <v>0.24083778012370932</v>
      </c>
    </row>
    <row r="53" spans="1:7" s="7" customFormat="1" x14ac:dyDescent="0.25">
      <c r="A53" s="63" t="s">
        <v>59</v>
      </c>
      <c r="B53" s="19">
        <v>2194.07827</v>
      </c>
      <c r="C53" s="76">
        <f>IF(OR(4451.61545="",2194.07827=""),"-",2194.07827/4451.61545*100)</f>
        <v>49.287237288207358</v>
      </c>
      <c r="D53" s="73">
        <f>IF(4451.61545="","-",4451.61545/425472.26165*100)</f>
        <v>1.0462763031217219</v>
      </c>
      <c r="E53" s="73">
        <f>IF(2194.07827="","-",2194.07827/666964.69129*100)</f>
        <v>0.32896468113722116</v>
      </c>
      <c r="F53" s="73">
        <f>IF(OR(464796.56015="",3121.87521="",4451.61545=""),"-",(4451.61545-3121.87521)/464796.56015*100)</f>
        <v>0.2860908091856067</v>
      </c>
      <c r="G53" s="73">
        <f>IF(OR(425472.26165="",2194.07827="",4451.61545=""),"-",(2194.07827-4451.61545)/425472.26165*100)</f>
        <v>-0.53059561891183515</v>
      </c>
    </row>
    <row r="54" spans="1:7" s="7" customFormat="1" x14ac:dyDescent="0.25">
      <c r="A54" s="63" t="s">
        <v>82</v>
      </c>
      <c r="B54" s="19">
        <v>1754.2826600000001</v>
      </c>
      <c r="C54" s="76" t="s">
        <v>349</v>
      </c>
      <c r="D54" s="73">
        <f>IF(0.55466="","-",0.55466/425472.26165*100)</f>
        <v>1.303633750056947E-4</v>
      </c>
      <c r="E54" s="73">
        <f>IF(1754.28266="","-",1754.28266/666964.69129*100)</f>
        <v>0.26302481719189363</v>
      </c>
      <c r="F54" s="73">
        <f>IF(OR(464796.56015="",19.39621="",0.55466=""),"-",(0.55466-19.39621)/464796.56015*100)</f>
        <v>-4.0537197594404358E-3</v>
      </c>
      <c r="G54" s="73">
        <f>IF(OR(425472.26165="",1754.28266="",0.55466=""),"-",(1754.28266-0.55466)/425472.26165*100)</f>
        <v>0.41218386204519336</v>
      </c>
    </row>
    <row r="55" spans="1:7" s="14" customFormat="1" x14ac:dyDescent="0.25">
      <c r="A55" s="63" t="s">
        <v>117</v>
      </c>
      <c r="B55" s="19">
        <v>1734.9836600000001</v>
      </c>
      <c r="C55" s="76" t="str">
        <f>IF(OR(""="",1734.98366=""),"-",1734.98366/""*100)</f>
        <v>-</v>
      </c>
      <c r="D55" s="73" t="str">
        <f>IF(""="","-",""/425472.26165*100)</f>
        <v>-</v>
      </c>
      <c r="E55" s="73">
        <f>IF(1734.98366="","-",1734.98366/666964.69129*100)</f>
        <v>0.26013126071851073</v>
      </c>
      <c r="F55" s="73" t="str">
        <f>IF(OR(464796.56015="",177.3="",""=""),"-",(""-177.3)/464796.56015*100)</f>
        <v>-</v>
      </c>
      <c r="G55" s="73" t="str">
        <f>IF(OR(425472.26165="",1734.98366="",""=""),"-",(1734.98366-"")/425472.26165*100)</f>
        <v>-</v>
      </c>
    </row>
    <row r="56" spans="1:7" s="7" customFormat="1" x14ac:dyDescent="0.25">
      <c r="A56" s="63" t="s">
        <v>88</v>
      </c>
      <c r="B56" s="19">
        <v>1562.22909</v>
      </c>
      <c r="C56" s="76" t="s">
        <v>350</v>
      </c>
      <c r="D56" s="73">
        <f>IF(195.95647="","-",195.95647/425472.26165*100)</f>
        <v>4.6056226847802549E-2</v>
      </c>
      <c r="E56" s="73">
        <f>IF(1562.22909="","-",1562.22909/666964.69129*100)</f>
        <v>0.23422965419330333</v>
      </c>
      <c r="F56" s="73">
        <f>IF(OR(464796.56015="",0.1446="",195.95647=""),"-",(195.95647-0.1446)/464796.56015*100)</f>
        <v>4.2128511006365291E-2</v>
      </c>
      <c r="G56" s="73">
        <f>IF(OR(425472.26165="",1562.22909="",195.95647=""),"-",(1562.22909-195.95647)/425472.26165*100)</f>
        <v>0.32111908181782173</v>
      </c>
    </row>
    <row r="57" spans="1:7" s="12" customFormat="1" x14ac:dyDescent="0.25">
      <c r="A57" s="63" t="s">
        <v>67</v>
      </c>
      <c r="B57" s="19">
        <v>1478.0700999999999</v>
      </c>
      <c r="C57" s="76">
        <f>IF(OR(2235.64517="",1478.0701=""),"-",1478.0701/2235.64517*100)</f>
        <v>66.113805528450655</v>
      </c>
      <c r="D57" s="73">
        <f>IF(2235.64517="","-",2235.64517/425472.26165*100)</f>
        <v>0.52545027526120514</v>
      </c>
      <c r="E57" s="73">
        <f>IF(1478.0701="","-",1478.0701/666964.69129*100)</f>
        <v>0.22161144649819653</v>
      </c>
      <c r="F57" s="73">
        <f>IF(OR(464796.56015="",1041.81964="",2235.64517=""),"-",(2235.64517-1041.81964)/464796.56015*100)</f>
        <v>0.25684904587390367</v>
      </c>
      <c r="G57" s="73">
        <f>IF(OR(425472.26165="",1478.0701="",2235.64517=""),"-",(1478.0701-2235.64517)/425472.26165*100)</f>
        <v>-0.17805510212630329</v>
      </c>
    </row>
    <row r="58" spans="1:7" s="7" customFormat="1" x14ac:dyDescent="0.25">
      <c r="A58" s="63" t="s">
        <v>62</v>
      </c>
      <c r="B58" s="19">
        <v>1161.0869299999999</v>
      </c>
      <c r="C58" s="76">
        <f>IF(OR(870.69297="",1161.08693=""),"-",1161.08693/870.69297*100)</f>
        <v>133.35205060860892</v>
      </c>
      <c r="D58" s="73">
        <f>IF(870.69297="","-",870.69297/425472.26165*100)</f>
        <v>0.20464153564874349</v>
      </c>
      <c r="E58" s="73">
        <f>IF(1161.08693="","-",1161.08693/666964.69129*100)</f>
        <v>0.17408521697817328</v>
      </c>
      <c r="F58" s="73">
        <f>IF(OR(464796.56015="",23.62892="",870.69297=""),"-",(870.69297-23.62892)/464796.56015*100)</f>
        <v>0.18224404451845211</v>
      </c>
      <c r="G58" s="73">
        <f>IF(OR(425472.26165="",1161.08693="",870.69297=""),"-",(1161.08693-870.69297)/425472.26165*100)</f>
        <v>6.8252148535803372E-2</v>
      </c>
    </row>
    <row r="59" spans="1:7" s="12" customFormat="1" x14ac:dyDescent="0.25">
      <c r="A59" s="63" t="s">
        <v>35</v>
      </c>
      <c r="B59" s="19">
        <v>1120.35149</v>
      </c>
      <c r="C59" s="76" t="s">
        <v>351</v>
      </c>
      <c r="D59" s="73">
        <f>IF(203.14975="","-",203.14975/425472.26165*100)</f>
        <v>4.7746884652874057E-2</v>
      </c>
      <c r="E59" s="73">
        <f>IF(1120.35149="","-",1120.35149/666964.69129*100)</f>
        <v>0.16797763129455753</v>
      </c>
      <c r="F59" s="73">
        <f>IF(OR(464796.56015="",38.08343="",203.14975=""),"-",(203.14975-38.08343)/464796.56015*100)</f>
        <v>3.5513670743761425E-2</v>
      </c>
      <c r="G59" s="73">
        <f>IF(OR(425472.26165="",1120.35149="",203.14975=""),"-",(1120.35149-203.14975)/425472.26165*100)</f>
        <v>0.21557262897540058</v>
      </c>
    </row>
    <row r="60" spans="1:7" s="7" customFormat="1" x14ac:dyDescent="0.25">
      <c r="A60" s="63" t="s">
        <v>56</v>
      </c>
      <c r="B60" s="19">
        <v>1076.2797</v>
      </c>
      <c r="C60" s="76" t="s">
        <v>19</v>
      </c>
      <c r="D60" s="73">
        <f>IF(538.69146="","-",538.69146/425472.26165*100)</f>
        <v>0.12661024197228066</v>
      </c>
      <c r="E60" s="73">
        <f>IF(1076.2797="","-",1076.2797/666964.69129*100)</f>
        <v>0.16136981673172673</v>
      </c>
      <c r="F60" s="73">
        <f>IF(OR(464796.56015="",1325.39911="",538.69146=""),"-",(538.69146-1325.39911)/464796.56015*100)</f>
        <v>-0.16925849230599133</v>
      </c>
      <c r="G60" s="73">
        <f>IF(OR(425472.26165="",1076.2797="",538.69146=""),"-",(1076.2797-538.69146)/425472.26165*100)</f>
        <v>0.1263509489232528</v>
      </c>
    </row>
    <row r="61" spans="1:7" s="12" customFormat="1" x14ac:dyDescent="0.25">
      <c r="A61" s="63" t="s">
        <v>61</v>
      </c>
      <c r="B61" s="19">
        <v>1069.3003200000001</v>
      </c>
      <c r="C61" s="76">
        <f>IF(OR(832.03874="",1069.30032=""),"-",1069.30032/832.03874*100)</f>
        <v>128.51568906515098</v>
      </c>
      <c r="D61" s="73">
        <f>IF(832.03874="","-",832.03874/425472.26165*100)</f>
        <v>0.19555651801443349</v>
      </c>
      <c r="E61" s="73">
        <f>IF(1069.30032="","-",1069.30032/666964.69129*100)</f>
        <v>0.16032337752870074</v>
      </c>
      <c r="F61" s="73">
        <f>IF(OR(464796.56015="",660.80087="",832.03874=""),"-",(832.03874-660.80087)/464796.56015*100)</f>
        <v>3.6841466714972619E-2</v>
      </c>
      <c r="G61" s="73">
        <f>IF(OR(425472.26165="",1069.30032="",832.03874=""),"-",(1069.30032-832.03874)/425472.26165*100)</f>
        <v>5.576428862363185E-2</v>
      </c>
    </row>
    <row r="62" spans="1:7" s="7" customFormat="1" x14ac:dyDescent="0.25">
      <c r="A62" s="63" t="s">
        <v>58</v>
      </c>
      <c r="B62" s="19">
        <v>1016.78053</v>
      </c>
      <c r="C62" s="76">
        <f>IF(OR(1634.34363="",1016.78053=""),"-",1016.78053/1634.34363*100)</f>
        <v>62.213387156530843</v>
      </c>
      <c r="D62" s="73">
        <f>IF(1634.34363="","-",1634.34363/425472.26165*100)</f>
        <v>0.38412460160433115</v>
      </c>
      <c r="E62" s="73">
        <f>IF(1016.78053="","-",1016.78053/666964.69129*100)</f>
        <v>0.15244892919794731</v>
      </c>
      <c r="F62" s="73">
        <f>IF(OR(464796.56015="",1999.02172="",1634.34363=""),"-",(1634.34363-1999.02172)/464796.56015*100)</f>
        <v>-7.8459722223914549E-2</v>
      </c>
      <c r="G62" s="73">
        <f>IF(OR(425472.26165="",1016.78053="",1634.34363=""),"-",(1016.78053-1634.34363)/425472.26165*100)</f>
        <v>-0.14514767604474696</v>
      </c>
    </row>
    <row r="63" spans="1:7" s="7" customFormat="1" x14ac:dyDescent="0.25">
      <c r="A63" s="63" t="s">
        <v>36</v>
      </c>
      <c r="B63" s="19">
        <v>992.64115000000004</v>
      </c>
      <c r="C63" s="76" t="s">
        <v>92</v>
      </c>
      <c r="D63" s="73">
        <f>IF(463.14419="","-",463.14419/425472.26165*100)</f>
        <v>0.10885414438156477</v>
      </c>
      <c r="E63" s="73">
        <f>IF(992.64115="","-",992.64115/666964.69129*100)</f>
        <v>0.14882964015382849</v>
      </c>
      <c r="F63" s="73">
        <f>IF(OR(464796.56015="",720.97577="",463.14419=""),"-",(463.14419-720.97577)/464796.56015*100)</f>
        <v>-5.5471920858620849E-2</v>
      </c>
      <c r="G63" s="73">
        <f>IF(OR(425472.26165="",992.64115="",463.14419=""),"-",(992.64115-463.14419)/425472.26165*100)</f>
        <v>0.12444923153076719</v>
      </c>
    </row>
    <row r="64" spans="1:7" s="12" customFormat="1" x14ac:dyDescent="0.25">
      <c r="A64" s="63" t="s">
        <v>79</v>
      </c>
      <c r="B64" s="19">
        <v>926.50383999999997</v>
      </c>
      <c r="C64" s="76" t="str">
        <f>IF(OR(""="",926.50384=""),"-",926.50384/""*100)</f>
        <v>-</v>
      </c>
      <c r="D64" s="73" t="str">
        <f>IF(""="","-",""/425472.26165*100)</f>
        <v>-</v>
      </c>
      <c r="E64" s="73">
        <f>IF(926.50384="","-",926.50384/666964.69129*100)</f>
        <v>0.13891347654521502</v>
      </c>
      <c r="F64" s="73" t="str">
        <f>IF(OR(464796.56015="",4.91="",""=""),"-",(""-4.91)/464796.56015*100)</f>
        <v>-</v>
      </c>
      <c r="G64" s="73" t="str">
        <f>IF(OR(425472.26165="",926.50384="",""=""),"-",(926.50384-"")/425472.26165*100)</f>
        <v>-</v>
      </c>
    </row>
    <row r="65" spans="1:7" s="14" customFormat="1" x14ac:dyDescent="0.25">
      <c r="A65" s="63" t="s">
        <v>123</v>
      </c>
      <c r="B65" s="19">
        <v>709.52337999999997</v>
      </c>
      <c r="C65" s="76">
        <f>IF(OR(477.59146="",709.52338=""),"-",709.52338/477.59146*100)</f>
        <v>148.56282815442304</v>
      </c>
      <c r="D65" s="73">
        <f>IF(477.59146="","-",477.59146/425472.26165*100)</f>
        <v>0.11224972884198831</v>
      </c>
      <c r="E65" s="73">
        <f>IF(709.52338="","-",709.52338/666964.69129*100)</f>
        <v>0.10638095078581833</v>
      </c>
      <c r="F65" s="73">
        <f>IF(OR(464796.56015="",168.79628="",477.59146=""),"-",(477.59146-168.79628)/464796.56015*100)</f>
        <v>6.6436631953632586E-2</v>
      </c>
      <c r="G65" s="73">
        <f>IF(OR(425472.26165="",709.52338="",477.59146=""),"-",(709.52338-477.59146)/425472.26165*100)</f>
        <v>5.45116429213406E-2</v>
      </c>
    </row>
    <row r="66" spans="1:7" s="7" customFormat="1" x14ac:dyDescent="0.25">
      <c r="A66" s="63" t="s">
        <v>66</v>
      </c>
      <c r="B66" s="19">
        <v>578.83950000000004</v>
      </c>
      <c r="C66" s="76" t="s">
        <v>352</v>
      </c>
      <c r="D66" s="73">
        <f>IF(7.598="","-",7.598/425472.26165*100)</f>
        <v>1.7857803398356978E-3</v>
      </c>
      <c r="E66" s="73">
        <f>IF(578.8395="","-",578.8395/666964.69129*100)</f>
        <v>8.6787127948324536E-2</v>
      </c>
      <c r="F66" s="73">
        <f>IF(OR(464796.56015="",723.8061="",7.598=""),"-",(7.598-723.8061)/464796.56015*100)</f>
        <v>-0.15409066275552127</v>
      </c>
      <c r="G66" s="73">
        <f>IF(OR(425472.26165="",578.8395="",7.598=""),"-",(578.8395-7.598)/425472.26165*100)</f>
        <v>0.13426057383499002</v>
      </c>
    </row>
    <row r="67" spans="1:7" s="7" customFormat="1" x14ac:dyDescent="0.25">
      <c r="A67" s="63" t="s">
        <v>93</v>
      </c>
      <c r="B67" s="19">
        <v>511.15532999999999</v>
      </c>
      <c r="C67" s="76" t="s">
        <v>353</v>
      </c>
      <c r="D67" s="73">
        <f>IF(99.42408="","-",99.42408/425472.26165*100)</f>
        <v>2.3367934636779629E-2</v>
      </c>
      <c r="E67" s="73">
        <f>IF(511.15533="","-",511.15533/666964.69129*100)</f>
        <v>7.6639039018895655E-2</v>
      </c>
      <c r="F67" s="73">
        <f>IF(OR(464796.56015="",144.76891="",99.42408=""),"-",(99.42408-144.76891)/464796.56015*100)</f>
        <v>-9.7558445753914858E-3</v>
      </c>
      <c r="G67" s="73">
        <f>IF(OR(425472.26165="",511.15533="",99.42408=""),"-",(511.15533-99.42408)/425472.26165*100)</f>
        <v>9.6770409521713174E-2</v>
      </c>
    </row>
    <row r="68" spans="1:7" s="7" customFormat="1" x14ac:dyDescent="0.25">
      <c r="A68" s="63" t="s">
        <v>73</v>
      </c>
      <c r="B68" s="19">
        <v>442.21530999999999</v>
      </c>
      <c r="C68" s="76" t="s">
        <v>305</v>
      </c>
      <c r="D68" s="73">
        <f>IF(118.66419="","-",118.66419/425472.26165*100)</f>
        <v>2.7889994412283209E-2</v>
      </c>
      <c r="E68" s="73">
        <f>IF(442.21531="","-",442.21531/666964.69129*100)</f>
        <v>6.6302656763538068E-2</v>
      </c>
      <c r="F68" s="73">
        <f>IF(OR(464796.56015="",134.6794="",118.66419=""),"-",(118.66419-134.6794)/464796.56015*100)</f>
        <v>-3.4456386671260059E-3</v>
      </c>
      <c r="G68" s="73">
        <f>IF(OR(425472.26165="",442.21531="",118.66419=""),"-",(442.21531-118.66419)/425472.26165*100)</f>
        <v>7.604517360197692E-2</v>
      </c>
    </row>
    <row r="69" spans="1:7" s="7" customFormat="1" x14ac:dyDescent="0.25">
      <c r="A69" s="63" t="s">
        <v>74</v>
      </c>
      <c r="B69" s="19">
        <v>408.72268000000003</v>
      </c>
      <c r="C69" s="76">
        <f>IF(OR(283.92337="",408.72268=""),"-",408.72268/283.92337*100)</f>
        <v>143.95527920086326</v>
      </c>
      <c r="D69" s="73">
        <f>IF(283.92337="","-",283.92337/425472.26165*100)</f>
        <v>6.6731346692010612E-2</v>
      </c>
      <c r="E69" s="73">
        <f>IF(408.72268="","-",408.72268/666964.69129*100)</f>
        <v>6.1281007126400507E-2</v>
      </c>
      <c r="F69" s="73">
        <f>IF(OR(464796.56015="",197.68344="",283.92337=""),"-",(283.92337-197.68344)/464796.56015*100)</f>
        <v>1.8554339122511681E-2</v>
      </c>
      <c r="G69" s="73">
        <f>IF(OR(425472.26165="",408.72268="",283.92337=""),"-",(408.72268-283.92337)/425472.26165*100)</f>
        <v>2.9331949752969294E-2</v>
      </c>
    </row>
    <row r="70" spans="1:7" s="7" customFormat="1" x14ac:dyDescent="0.25">
      <c r="A70" s="63" t="s">
        <v>316</v>
      </c>
      <c r="B70" s="19">
        <v>331.69774000000001</v>
      </c>
      <c r="C70" s="76">
        <f>IF(OR(369.45029="",331.69774=""),"-",331.69774/369.45029*100)</f>
        <v>89.781426345612019</v>
      </c>
      <c r="D70" s="73">
        <f>IF(369.45029="","-",369.45029/425472.26165*100)</f>
        <v>8.6832990843458427E-2</v>
      </c>
      <c r="E70" s="73">
        <f>IF(331.69774="","-",331.69774/666964.69129*100)</f>
        <v>4.9732428767473684E-2</v>
      </c>
      <c r="F70" s="73">
        <f>IF(OR(464796.56015="",339.75008="",369.45029=""),"-",(369.45029-339.75008)/464796.56015*100)</f>
        <v>6.3899375654619872E-3</v>
      </c>
      <c r="G70" s="73">
        <f>IF(OR(425472.26165="",331.69774="",369.45029=""),"-",(331.69774-369.45029)/425472.26165*100)</f>
        <v>-8.8730931256467693E-3</v>
      </c>
    </row>
    <row r="71" spans="1:7" s="7" customFormat="1" x14ac:dyDescent="0.25">
      <c r="A71" s="63" t="s">
        <v>75</v>
      </c>
      <c r="B71" s="19">
        <v>322.43187999999998</v>
      </c>
      <c r="C71" s="76">
        <f>IF(OR(233.82228="",322.43188=""),"-",322.43188/233.82228*100)</f>
        <v>137.89613205379743</v>
      </c>
      <c r="D71" s="73">
        <f>IF(233.82228="","-",233.82228/425472.26165*100)</f>
        <v>5.4955939805153689E-2</v>
      </c>
      <c r="E71" s="73">
        <f>IF(322.43188="","-",322.43188/666964.69129*100)</f>
        <v>4.8343170817089748E-2</v>
      </c>
      <c r="F71" s="73">
        <f>IF(OR(464796.56015="",235.95389="",233.82228=""),"-",(233.82228-235.95389)/464796.56015*100)</f>
        <v>-4.5861139749228739E-4</v>
      </c>
      <c r="G71" s="73">
        <f>IF(OR(425472.26165="",322.43188="",233.82228=""),"-",(322.43188-233.82228)/425472.26165*100)</f>
        <v>2.0826175519966465E-2</v>
      </c>
    </row>
    <row r="72" spans="1:7" s="7" customFormat="1" x14ac:dyDescent="0.25">
      <c r="A72" s="63" t="s">
        <v>76</v>
      </c>
      <c r="B72" s="19">
        <v>309.59491000000003</v>
      </c>
      <c r="C72" s="76" t="s">
        <v>354</v>
      </c>
      <c r="D72" s="73">
        <f>IF(14.7685="","-",14.7685/425472.26165*100)</f>
        <v>3.4710840943489741E-3</v>
      </c>
      <c r="E72" s="73">
        <f>IF(309.59491="","-",309.59491/666964.69129*100)</f>
        <v>4.6418485722415311E-2</v>
      </c>
      <c r="F72" s="73">
        <f>IF(OR(464796.56015="",54.71266="",14.7685=""),"-",(14.7685-54.71266)/464796.56015*100)</f>
        <v>-8.5939018109577117E-3</v>
      </c>
      <c r="G72" s="73">
        <f>IF(OR(425472.26165="",309.59491="",14.7685=""),"-",(309.59491-14.7685)/425472.26165*100)</f>
        <v>6.9293920326709502E-2</v>
      </c>
    </row>
    <row r="73" spans="1:7" s="7" customFormat="1" x14ac:dyDescent="0.25">
      <c r="A73" s="63" t="s">
        <v>37</v>
      </c>
      <c r="B73" s="19">
        <v>285.75932</v>
      </c>
      <c r="C73" s="76" t="s">
        <v>303</v>
      </c>
      <c r="D73" s="73">
        <f>IF(55.10417="","-",55.10417/425472.26165*100)</f>
        <v>1.2951295528950262E-2</v>
      </c>
      <c r="E73" s="73">
        <f>IF(285.75932="","-",285.75932/666964.69129*100)</f>
        <v>4.2844744816596329E-2</v>
      </c>
      <c r="F73" s="73">
        <f>IF(OR(464796.56015="",137.06371="",55.10417=""),"-",(55.10417-137.06371)/464796.56015*100)</f>
        <v>-1.7633422238226084E-2</v>
      </c>
      <c r="G73" s="73">
        <f>IF(OR(425472.26165="",285.75932="",55.10417=""),"-",(285.75932-55.10417)/425472.26165*100)</f>
        <v>5.4211559904166082E-2</v>
      </c>
    </row>
    <row r="74" spans="1:7" s="7" customFormat="1" x14ac:dyDescent="0.25">
      <c r="A74" s="63" t="s">
        <v>99</v>
      </c>
      <c r="B74" s="19">
        <v>244.18742</v>
      </c>
      <c r="C74" s="76" t="s">
        <v>100</v>
      </c>
      <c r="D74" s="73">
        <f>IF(142.0228="","-",142.0228/425472.26165*100)</f>
        <v>3.3380037384629815E-2</v>
      </c>
      <c r="E74" s="73">
        <f>IF(244.18742="","-",244.18742/666964.69129*100)</f>
        <v>3.6611746197195004E-2</v>
      </c>
      <c r="F74" s="73">
        <f>IF(OR(464796.56015="",56.09281="",142.0228=""),"-",(142.0228-56.09281)/464796.56015*100)</f>
        <v>1.8487656184948638E-2</v>
      </c>
      <c r="G74" s="73">
        <f>IF(OR(425472.26165="",244.18742="",142.0228=""),"-",(244.18742-142.0228)/425472.26165*100)</f>
        <v>2.4012051832427609E-2</v>
      </c>
    </row>
    <row r="75" spans="1:7" x14ac:dyDescent="0.25">
      <c r="A75" s="63" t="s">
        <v>208</v>
      </c>
      <c r="B75" s="19">
        <v>215.70529999999999</v>
      </c>
      <c r="C75" s="76" t="s">
        <v>355</v>
      </c>
      <c r="D75" s="73">
        <f>IF(4.91339="","-",4.91339/425472.26165*100)</f>
        <v>1.15480853697622E-3</v>
      </c>
      <c r="E75" s="73">
        <f>IF(215.7053="","-",215.7053/666964.69129*100)</f>
        <v>3.2341337227731914E-2</v>
      </c>
      <c r="F75" s="73">
        <f>IF(OR(464796.56015="",64.81247="",4.91339=""),"-",(4.91339-64.81247)/464796.56015*100)</f>
        <v>-1.2887160778614468E-2</v>
      </c>
      <c r="G75" s="73">
        <f>IF(OR(425472.26165="",215.7053="",4.91339=""),"-",(215.7053-4.91339)/425472.26165*100)</f>
        <v>4.9543044047698846E-2</v>
      </c>
    </row>
    <row r="76" spans="1:7" x14ac:dyDescent="0.25">
      <c r="A76" s="63" t="s">
        <v>306</v>
      </c>
      <c r="B76" s="19">
        <v>176.90536</v>
      </c>
      <c r="C76" s="76">
        <f>IF(OR(182.6786="",176.90536=""),"-",176.90536/182.6786*100)</f>
        <v>96.839673612563274</v>
      </c>
      <c r="D76" s="73">
        <f>IF(182.6786="","-",182.6786/425472.26165*100)</f>
        <v>4.2935489916913594E-2</v>
      </c>
      <c r="E76" s="73">
        <f>IF(176.90536="","-",176.90536/666964.69129*100)</f>
        <v>2.652394681611122E-2</v>
      </c>
      <c r="F76" s="73">
        <f>IF(OR(464796.56015="",22.02535="",182.6786=""),"-",(182.6786-22.02535)/464796.56015*100)</f>
        <v>3.4564208037200984E-2</v>
      </c>
      <c r="G76" s="73">
        <f>IF(OR(425472.26165="",176.90536="",182.6786=""),"-",(176.90536-182.6786)/425472.26165*100)</f>
        <v>-1.3569016174194554E-3</v>
      </c>
    </row>
    <row r="77" spans="1:7" x14ac:dyDescent="0.25">
      <c r="A77" s="63" t="s">
        <v>104</v>
      </c>
      <c r="B77" s="19">
        <v>169.19244</v>
      </c>
      <c r="C77" s="76" t="s">
        <v>326</v>
      </c>
      <c r="D77" s="73">
        <f>IF(8.66116="","-",8.66116/425472.26165*100)</f>
        <v>2.035657968961747E-3</v>
      </c>
      <c r="E77" s="73">
        <f>IF(169.19244="","-",169.19244/666964.69129*100)</f>
        <v>2.5367525779027213E-2</v>
      </c>
      <c r="F77" s="73">
        <f>IF(OR(464796.56015="",56.53675="",8.66116=""),"-",(8.66116-56.53675)/464796.56015*100)</f>
        <v>-1.0300332253868122E-2</v>
      </c>
      <c r="G77" s="73">
        <f>IF(OR(425472.26165="",169.19244="",8.66116=""),"-",(169.19244-8.66116)/425472.26165*100)</f>
        <v>3.7730140004298453E-2</v>
      </c>
    </row>
    <row r="78" spans="1:7" x14ac:dyDescent="0.25">
      <c r="A78" s="63" t="s">
        <v>70</v>
      </c>
      <c r="B78" s="19">
        <v>139.428</v>
      </c>
      <c r="C78" s="76" t="s">
        <v>92</v>
      </c>
      <c r="D78" s="73">
        <f>IF(67.28201="","-",67.28201/425472.26165*100)</f>
        <v>1.5813489165915878E-2</v>
      </c>
      <c r="E78" s="73">
        <f>IF(139.428="","-",139.428/666964.69129*100)</f>
        <v>2.0904854757802453E-2</v>
      </c>
      <c r="F78" s="73">
        <f>IF(OR(464796.56015="",84.22537="",67.28201=""),"-",(67.28201-84.22537)/464796.56015*100)</f>
        <v>-3.6453281828359501E-3</v>
      </c>
      <c r="G78" s="73">
        <f>IF(OR(425472.26165="",139.428="",67.28201=""),"-",(139.428-67.28201)/425472.26165*100)</f>
        <v>1.6956684724925356E-2</v>
      </c>
    </row>
    <row r="79" spans="1:7" x14ac:dyDescent="0.25">
      <c r="A79" s="63" t="s">
        <v>64</v>
      </c>
      <c r="B79" s="19">
        <v>138.18994000000001</v>
      </c>
      <c r="C79" s="76" t="s">
        <v>356</v>
      </c>
      <c r="D79" s="73">
        <f>IF(19.06101="","-",19.06101/425472.26165*100)</f>
        <v>4.4799653744948195E-3</v>
      </c>
      <c r="E79" s="73">
        <f>IF(138.18994="","-",138.18994/666964.69129*100)</f>
        <v>2.0719228739488737E-2</v>
      </c>
      <c r="F79" s="73">
        <f>IF(OR(464796.56015="",2287.14891="",19.06101=""),"-",(19.06101-2287.14891)/464796.56015*100)</f>
        <v>-0.48797432994513523</v>
      </c>
      <c r="G79" s="73">
        <f>IF(OR(425472.26165="",138.18994="",19.06101=""),"-",(138.18994-19.06101)/425472.26165*100)</f>
        <v>2.7999223624593721E-2</v>
      </c>
    </row>
    <row r="80" spans="1:7" x14ac:dyDescent="0.25">
      <c r="A80" s="63" t="s">
        <v>90</v>
      </c>
      <c r="B80" s="19">
        <v>106.36263</v>
      </c>
      <c r="C80" s="76" t="s">
        <v>101</v>
      </c>
      <c r="D80" s="73">
        <f>IF(64.78194="","-",64.78194/425472.26165*100)</f>
        <v>1.5225890343302947E-2</v>
      </c>
      <c r="E80" s="73">
        <f>IF(106.36263="","-",106.36263/666964.69129*100)</f>
        <v>1.5947265483316708E-2</v>
      </c>
      <c r="F80" s="73">
        <f>IF(OR(464796.56015="",327.66508="",64.78194=""),"-",(64.78194-327.66508)/464796.56015*100)</f>
        <v>-5.6558753342572467E-2</v>
      </c>
      <c r="G80" s="73">
        <f>IF(OR(425472.26165="",106.36263="",64.78194=""),"-",(106.36263-64.78194)/425472.26165*100)</f>
        <v>9.7728321556729125E-3</v>
      </c>
    </row>
    <row r="81" spans="1:7" x14ac:dyDescent="0.25">
      <c r="A81" s="63" t="s">
        <v>342</v>
      </c>
      <c r="B81" s="19">
        <v>104.93431</v>
      </c>
      <c r="C81" s="76" t="str">
        <f>IF(OR(""="",104.93431=""),"-",104.93431/""*100)</f>
        <v>-</v>
      </c>
      <c r="D81" s="73" t="str">
        <f>IF(""="","-",""/425472.26165*100)</f>
        <v>-</v>
      </c>
      <c r="E81" s="73">
        <f>IF(104.93431="","-",104.93431/666964.69129*100)</f>
        <v>1.5733113217289336E-2</v>
      </c>
      <c r="F81" s="73" t="str">
        <f>IF(OR(464796.56015="",""="",""=""),"-",(""-"")/464796.56015*100)</f>
        <v>-</v>
      </c>
      <c r="G81" s="73" t="str">
        <f>IF(OR(425472.26165="",104.93431="",""=""),"-",(104.93431-"")/425472.26165*100)</f>
        <v>-</v>
      </c>
    </row>
    <row r="82" spans="1:7" x14ac:dyDescent="0.25">
      <c r="A82" s="63" t="s">
        <v>124</v>
      </c>
      <c r="B82" s="19">
        <v>91.793400000000005</v>
      </c>
      <c r="C82" s="76" t="s">
        <v>19</v>
      </c>
      <c r="D82" s="73">
        <f>IF(45.84075="","-",45.84075/425472.26165*100)</f>
        <v>1.0774086616652181E-2</v>
      </c>
      <c r="E82" s="73">
        <f>IF(91.7934="","-",91.7934/666964.69129*100)</f>
        <v>1.3762857494368876E-2</v>
      </c>
      <c r="F82" s="73">
        <f>IF(OR(464796.56015="",24.70613="",45.84075=""),"-",(45.84075-24.70613)/464796.56015*100)</f>
        <v>4.5470689355315789E-3</v>
      </c>
      <c r="G82" s="73">
        <f>IF(OR(425472.26165="",91.7934="",45.84075=""),"-",(91.7934-45.84075)/425472.26165*100)</f>
        <v>1.0800386803547102E-2</v>
      </c>
    </row>
    <row r="83" spans="1:7" x14ac:dyDescent="0.25">
      <c r="A83" s="63" t="s">
        <v>120</v>
      </c>
      <c r="B83" s="19">
        <v>82.038439999999994</v>
      </c>
      <c r="C83" s="76">
        <f>IF(OR(119.43318="",82.03844=""),"-",82.03844/119.43318*100)</f>
        <v>68.689823045823616</v>
      </c>
      <c r="D83" s="73">
        <f>IF(119.43318="","-",119.43318/425472.26165*100)</f>
        <v>2.8070732399060022E-2</v>
      </c>
      <c r="E83" s="73">
        <f>IF(82.03844="","-",82.03844/666964.69129*100)</f>
        <v>1.2300267326194816E-2</v>
      </c>
      <c r="F83" s="73">
        <f>IF(OR(464796.56015="",138.71352="",119.43318=""),"-",(119.43318-138.71352)/464796.56015*100)</f>
        <v>-4.1481245028529923E-3</v>
      </c>
      <c r="G83" s="73">
        <f>IF(OR(425472.26165="",82.03844="",119.43318=""),"-",(82.03844-119.43318)/425472.26165*100)</f>
        <v>-8.7889959864790156E-3</v>
      </c>
    </row>
    <row r="84" spans="1:7" x14ac:dyDescent="0.25">
      <c r="A84" s="63" t="s">
        <v>81</v>
      </c>
      <c r="B84" s="19">
        <v>77.864739999999998</v>
      </c>
      <c r="C84" s="76">
        <f>IF(OR(174.99936="",77.86474=""),"-",77.86474/174.99936*100)</f>
        <v>44.494299864868076</v>
      </c>
      <c r="D84" s="73">
        <f>IF(174.99936="","-",174.99936/425472.26165*100)</f>
        <v>4.1130615500372419E-2</v>
      </c>
      <c r="E84" s="73">
        <f>IF(77.86474="","-",77.86474/666964.69129*100)</f>
        <v>1.1674492070846967E-2</v>
      </c>
      <c r="F84" s="73">
        <f>IF(OR(464796.56015="",130.39804="",174.99936=""),"-",(174.99936-130.39804)/464796.56015*100)</f>
        <v>9.5958799664107169E-3</v>
      </c>
      <c r="G84" s="73">
        <f>IF(OR(425472.26165="",77.86474="",174.99936=""),"-",(77.86474-174.99936)/425472.26165*100)</f>
        <v>-2.2829836103370804E-2</v>
      </c>
    </row>
    <row r="85" spans="1:7" x14ac:dyDescent="0.25">
      <c r="A85" s="63" t="s">
        <v>85</v>
      </c>
      <c r="B85" s="19">
        <v>74.658709999999999</v>
      </c>
      <c r="C85" s="76" t="s">
        <v>357</v>
      </c>
      <c r="D85" s="73">
        <f>IF(0.16976="","-",0.16976/425472.26165*100)</f>
        <v>3.9899193273296671E-5</v>
      </c>
      <c r="E85" s="73">
        <f>IF(74.65871="","-",74.65871/666964.69129*100)</f>
        <v>1.1193802456858691E-2</v>
      </c>
      <c r="F85" s="73">
        <f>IF(OR(464796.56015="",405.78058="",0.16976=""),"-",(0.16976-405.78058)/464796.56015*100)</f>
        <v>-8.7266312786200603E-2</v>
      </c>
      <c r="G85" s="73">
        <f>IF(OR(425472.26165="",74.65871="",0.16976=""),"-",(74.65871-0.16976)/425472.26165*100)</f>
        <v>1.7507357521058742E-2</v>
      </c>
    </row>
    <row r="86" spans="1:7" x14ac:dyDescent="0.25">
      <c r="A86" s="63" t="s">
        <v>139</v>
      </c>
      <c r="B86" s="19">
        <v>70.664079999999998</v>
      </c>
      <c r="C86" s="76">
        <f>IF(OR(218.25858="",70.66408=""),"-",70.66408/218.25858*100)</f>
        <v>32.37631253717494</v>
      </c>
      <c r="D86" s="73">
        <f>IF(218.25858="","-",218.25858/425472.26165*100)</f>
        <v>5.1297957510457605E-2</v>
      </c>
      <c r="E86" s="73">
        <f>IF(70.66408="","-",70.66408/666964.69129*100)</f>
        <v>1.0594875699240705E-2</v>
      </c>
      <c r="F86" s="73" t="str">
        <f>IF(OR(464796.56015="",""="",218.25858=""),"-",(218.25858-"")/464796.56015*100)</f>
        <v>-</v>
      </c>
      <c r="G86" s="73">
        <f>IF(OR(425472.26165="",70.66408="",218.25858=""),"-",(70.66408-218.25858)/425472.26165*100)</f>
        <v>-3.4689570461684638E-2</v>
      </c>
    </row>
    <row r="87" spans="1:7" x14ac:dyDescent="0.25">
      <c r="A87" s="63" t="s">
        <v>137</v>
      </c>
      <c r="B87" s="19">
        <v>63.374400000000001</v>
      </c>
      <c r="C87" s="76">
        <f>IF(OR(208.644="",63.3744=""),"-",63.3744/208.644*100)</f>
        <v>30.374417668372921</v>
      </c>
      <c r="D87" s="73">
        <f>IF(208.644="","-",208.644/425472.26165*100)</f>
        <v>4.9038214428096784E-2</v>
      </c>
      <c r="E87" s="73">
        <f>IF(63.3744="","-",63.3744/666964.69129*100)</f>
        <v>9.5019122942513398E-3</v>
      </c>
      <c r="F87" s="73" t="str">
        <f>IF(OR(464796.56015="",""="",208.644=""),"-",(208.644-"")/464796.56015*100)</f>
        <v>-</v>
      </c>
      <c r="G87" s="73">
        <f>IF(OR(425472.26165="",63.3744="",208.644=""),"-",(63.3744-208.644)/425472.26165*100)</f>
        <v>-3.4143142360594354E-2</v>
      </c>
    </row>
    <row r="88" spans="1:7" x14ac:dyDescent="0.25">
      <c r="A88" s="63" t="s">
        <v>86</v>
      </c>
      <c r="B88" s="19">
        <v>62.962600000000002</v>
      </c>
      <c r="C88" s="76">
        <f>IF(OR(180.64213="",62.9626=""),"-",62.9626/180.64213*100)</f>
        <v>34.854881305927918</v>
      </c>
      <c r="D88" s="73">
        <f>IF(180.64213="","-",180.64213/425472.26165*100)</f>
        <v>4.2456852369050321E-2</v>
      </c>
      <c r="E88" s="73">
        <f>IF(62.9626="","-",62.9626/666964.69129*100)</f>
        <v>9.440169895384088E-3</v>
      </c>
      <c r="F88" s="73" t="str">
        <f>IF(OR(464796.56015="",""="",180.64213=""),"-",(180.64213-"")/464796.56015*100)</f>
        <v>-</v>
      </c>
      <c r="G88" s="73">
        <f>IF(OR(425472.26165="",62.9626="",180.64213=""),"-",(62.9626-180.64213)/425472.26165*100)</f>
        <v>-2.7658566869584785E-2</v>
      </c>
    </row>
    <row r="89" spans="1:7" x14ac:dyDescent="0.25">
      <c r="A89" s="63" t="s">
        <v>72</v>
      </c>
      <c r="B89" s="19">
        <v>55.929729999999999</v>
      </c>
      <c r="C89" s="76">
        <f>IF(OR(45.75="",55.92973=""),"-",55.92973/45.75*100)</f>
        <v>122.25077595628416</v>
      </c>
      <c r="D89" s="73">
        <f>IF(45.75="","-",45.75/425472.26165*100)</f>
        <v>1.0752757376610052E-2</v>
      </c>
      <c r="E89" s="73">
        <f>IF(55.92973="","-",55.92973/666964.69129*100)</f>
        <v>8.3857107775562063E-3</v>
      </c>
      <c r="F89" s="73">
        <f>IF(OR(464796.56015="",41.78618="",45.75=""),"-",(45.75-41.78618)/464796.56015*100)</f>
        <v>8.5280751620037544E-4</v>
      </c>
      <c r="G89" s="73">
        <f>IF(OR(425472.26165="",55.92973="",45.75=""),"-",(55.92973-45.75)/425472.26165*100)</f>
        <v>2.3925719529923201E-3</v>
      </c>
    </row>
    <row r="90" spans="1:7" x14ac:dyDescent="0.25">
      <c r="A90" s="63" t="s">
        <v>132</v>
      </c>
      <c r="B90" s="19">
        <v>51.91357</v>
      </c>
      <c r="C90" s="76">
        <f>IF(OR(128.05066="",51.91357=""),"-",51.91357/128.05066*100)</f>
        <v>40.541431024252432</v>
      </c>
      <c r="D90" s="73">
        <f>IF(128.05066="","-",128.05066/425472.26165*100)</f>
        <v>3.0096124128847778E-2</v>
      </c>
      <c r="E90" s="73">
        <f>IF(51.91357="","-",51.91357/666964.69129*100)</f>
        <v>7.7835559629989004E-3</v>
      </c>
      <c r="F90" s="73" t="str">
        <f>IF(OR(464796.56015="",""="",128.05066=""),"-",(128.05066-"")/464796.56015*100)</f>
        <v>-</v>
      </c>
      <c r="G90" s="73">
        <f>IF(OR(425472.26165="",51.91357="",128.05066=""),"-",(51.91357-128.05066)/425472.26165*100)</f>
        <v>-1.7894724724177562E-2</v>
      </c>
    </row>
    <row r="91" spans="1:7" x14ac:dyDescent="0.25">
      <c r="A91" s="63" t="s">
        <v>206</v>
      </c>
      <c r="B91" s="19">
        <v>48.742350000000002</v>
      </c>
      <c r="C91" s="76">
        <f>IF(OR(1141.35278="",48.74235=""),"-",48.74235/1141.35278*100)</f>
        <v>4.2705770603195976</v>
      </c>
      <c r="D91" s="73">
        <f>IF(1141.35278="","-",1141.35278/425472.26165*100)</f>
        <v>0.26825550873135279</v>
      </c>
      <c r="E91" s="73">
        <f>IF(48.74235="","-",48.74235/666964.69129*100)</f>
        <v>7.3080855158502763E-3</v>
      </c>
      <c r="F91" s="73" t="str">
        <f>IF(OR(464796.56015="",""="",1141.35278=""),"-",(1141.35278-"")/464796.56015*100)</f>
        <v>-</v>
      </c>
      <c r="G91" s="73">
        <f>IF(OR(425472.26165="",48.74235="",1141.35278=""),"-",(48.74235-1141.35278)/425472.26165*100)</f>
        <v>-0.25679945051242803</v>
      </c>
    </row>
    <row r="92" spans="1:7" x14ac:dyDescent="0.25">
      <c r="A92" s="63" t="s">
        <v>343</v>
      </c>
      <c r="B92" s="19">
        <v>45.65851</v>
      </c>
      <c r="C92" s="76">
        <f>IF(OR(36.89491="",45.65851=""),"-",45.65851/36.89491*100)</f>
        <v>123.75286997583135</v>
      </c>
      <c r="D92" s="73">
        <f>IF(36.89491="","-",36.89491/425472.26165*100)</f>
        <v>8.6715194680188866E-3</v>
      </c>
      <c r="E92" s="73">
        <f>IF(45.65851="","-",45.65851/666964.69129*100)</f>
        <v>6.8457162120067047E-3</v>
      </c>
      <c r="F92" s="73">
        <f>IF(OR(464796.56015="",388.78293="",36.89491=""),"-",(36.89491-388.78293)/464796.56015*100)</f>
        <v>-7.5707965628325241E-2</v>
      </c>
      <c r="G92" s="73">
        <f>IF(OR(425472.26165="",45.65851="",36.89491=""),"-",(45.65851-36.89491)/425472.26165*100)</f>
        <v>2.0597347441674279E-3</v>
      </c>
    </row>
    <row r="93" spans="1:7" x14ac:dyDescent="0.25">
      <c r="A93" s="63" t="s">
        <v>95</v>
      </c>
      <c r="B93" s="19">
        <v>43.305480000000003</v>
      </c>
      <c r="C93" s="76" t="s">
        <v>358</v>
      </c>
      <c r="D93" s="73">
        <f>IF(15.07536="","-",15.07536/425472.26165*100)</f>
        <v>3.5432063048098828E-3</v>
      </c>
      <c r="E93" s="73">
        <f>IF(43.30548="","-",43.30548/666964.69129*100)</f>
        <v>6.4929194252009567E-3</v>
      </c>
      <c r="F93" s="73" t="str">
        <f>IF(OR(464796.56015="",""="",15.07536=""),"-",(15.07536-"")/464796.56015*100)</f>
        <v>-</v>
      </c>
      <c r="G93" s="73">
        <f>IF(OR(425472.26165="",43.30548="",15.07536=""),"-",(43.30548-15.07536)/425472.26165*100)</f>
        <v>6.6350083294554538E-3</v>
      </c>
    </row>
    <row r="94" spans="1:7" x14ac:dyDescent="0.25">
      <c r="A94" s="63" t="s">
        <v>344</v>
      </c>
      <c r="B94" s="19">
        <v>39.533410000000003</v>
      </c>
      <c r="C94" s="76" t="str">
        <f>IF(OR(""="",39.53341=""),"-",39.53341/""*100)</f>
        <v>-</v>
      </c>
      <c r="D94" s="73" t="str">
        <f>IF(""="","-",""/425472.26165*100)</f>
        <v>-</v>
      </c>
      <c r="E94" s="73">
        <f>IF(39.53341="","-",39.53341/666964.69129*100)</f>
        <v>5.9273617503704783E-3</v>
      </c>
      <c r="F94" s="73" t="str">
        <f>IF(OR(464796.56015="",""="",""=""),"-",(""-"")/464796.56015*100)</f>
        <v>-</v>
      </c>
      <c r="G94" s="73" t="str">
        <f>IF(OR(425472.26165="",39.53341="",""=""),"-",(39.53341-"")/425472.26165*100)</f>
        <v>-</v>
      </c>
    </row>
    <row r="95" spans="1:7" x14ac:dyDescent="0.25">
      <c r="A95" s="89" t="s">
        <v>345</v>
      </c>
      <c r="B95" s="90">
        <v>38.406759999999998</v>
      </c>
      <c r="C95" s="77" t="str">
        <f>IF(OR(""="",38.40676=""),"-",38.40676/""*100)</f>
        <v>-</v>
      </c>
      <c r="D95" s="91" t="str">
        <f>IF(""="","-",""/425472.26165*100)</f>
        <v>-</v>
      </c>
      <c r="E95" s="91">
        <f>IF(38.40676="","-",38.40676/666964.69129*100)</f>
        <v>5.7584397647371891E-3</v>
      </c>
      <c r="F95" s="91" t="str">
        <f>IF(OR(464796.56015="",""="",""=""),"-",(""-"")/464796.56015*100)</f>
        <v>-</v>
      </c>
      <c r="G95" s="91" t="str">
        <f>IF(OR(425472.26165="",38.40676="",""=""),"-",(38.40676-"")/425472.26165*100)</f>
        <v>-</v>
      </c>
    </row>
    <row r="96" spans="1:7" x14ac:dyDescent="0.25">
      <c r="A96" s="51" t="s">
        <v>286</v>
      </c>
      <c r="B96" s="54"/>
      <c r="C96" s="54"/>
      <c r="D96" s="54"/>
      <c r="E96" s="54"/>
    </row>
    <row r="97" spans="1:5" x14ac:dyDescent="0.25">
      <c r="A97" s="116" t="s">
        <v>309</v>
      </c>
      <c r="B97" s="116"/>
      <c r="C97" s="116"/>
      <c r="D97" s="116"/>
      <c r="E97" s="116"/>
    </row>
  </sheetData>
  <mergeCells count="10">
    <mergeCell ref="A97:E97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9"/>
  <sheetViews>
    <sheetView zoomScaleNormal="100" workbookViewId="0">
      <selection activeCell="A101" sqref="A101"/>
    </sheetView>
  </sheetViews>
  <sheetFormatPr defaultRowHeight="15.75" x14ac:dyDescent="0.25"/>
  <cols>
    <col min="1" max="1" width="29.625" customWidth="1"/>
    <col min="2" max="2" width="12.625" customWidth="1"/>
    <col min="3" max="3" width="10.25" customWidth="1"/>
    <col min="4" max="5" width="8.875" customWidth="1"/>
    <col min="6" max="6" width="9.625" customWidth="1"/>
    <col min="7" max="7" width="10.125" customWidth="1"/>
  </cols>
  <sheetData>
    <row r="1" spans="1:7" x14ac:dyDescent="0.25">
      <c r="A1" s="130" t="s">
        <v>308</v>
      </c>
      <c r="B1" s="130"/>
      <c r="C1" s="130"/>
      <c r="D1" s="130"/>
      <c r="E1" s="130"/>
      <c r="F1" s="130"/>
      <c r="G1" s="130"/>
    </row>
    <row r="2" spans="1:7" x14ac:dyDescent="0.25">
      <c r="A2" s="2"/>
    </row>
    <row r="3" spans="1:7" ht="55.5" customHeight="1" x14ac:dyDescent="0.25">
      <c r="A3" s="118"/>
      <c r="B3" s="121" t="s">
        <v>332</v>
      </c>
      <c r="C3" s="122"/>
      <c r="D3" s="121" t="s">
        <v>105</v>
      </c>
      <c r="E3" s="122"/>
      <c r="F3" s="123" t="s">
        <v>115</v>
      </c>
      <c r="G3" s="124"/>
    </row>
    <row r="4" spans="1:7" ht="21" customHeight="1" x14ac:dyDescent="0.25">
      <c r="A4" s="119"/>
      <c r="B4" s="125" t="s">
        <v>96</v>
      </c>
      <c r="C4" s="127" t="s">
        <v>333</v>
      </c>
      <c r="D4" s="129" t="s">
        <v>330</v>
      </c>
      <c r="E4" s="129"/>
      <c r="F4" s="129" t="s">
        <v>331</v>
      </c>
      <c r="G4" s="121"/>
    </row>
    <row r="5" spans="1:7" ht="30" customHeight="1" x14ac:dyDescent="0.25">
      <c r="A5" s="120"/>
      <c r="B5" s="126"/>
      <c r="C5" s="128"/>
      <c r="D5" s="82" t="s">
        <v>334</v>
      </c>
      <c r="E5" s="82" t="s">
        <v>335</v>
      </c>
      <c r="F5" s="82" t="s">
        <v>334</v>
      </c>
      <c r="G5" s="83" t="s">
        <v>335</v>
      </c>
    </row>
    <row r="6" spans="1:7" s="3" customFormat="1" ht="15" x14ac:dyDescent="0.25">
      <c r="A6" s="32" t="s">
        <v>118</v>
      </c>
      <c r="B6" s="71">
        <v>1290328.17958</v>
      </c>
      <c r="C6" s="72">
        <f>IF(920807.43432="","-",1290328.17958/920807.43432*100)</f>
        <v>140.130078395043</v>
      </c>
      <c r="D6" s="72">
        <v>100</v>
      </c>
      <c r="E6" s="72">
        <v>100</v>
      </c>
      <c r="F6" s="72">
        <f>IF(864616.67853="","-",(920807.43432-864616.67853)/864616.67853*100)</f>
        <v>6.4989211040358486</v>
      </c>
      <c r="G6" s="72">
        <f>IF(920807.43432="","-",(1290328.17958-920807.43432)/920807.43432*100)</f>
        <v>40.130078395042986</v>
      </c>
    </row>
    <row r="7" spans="1:7" s="3" customFormat="1" ht="15" x14ac:dyDescent="0.25">
      <c r="A7" s="33" t="s">
        <v>121</v>
      </c>
      <c r="B7" s="92"/>
      <c r="C7" s="92"/>
      <c r="D7" s="92"/>
      <c r="E7" s="92"/>
      <c r="F7" s="92"/>
      <c r="G7" s="92"/>
    </row>
    <row r="8" spans="1:7" ht="16.5" customHeight="1" x14ac:dyDescent="0.25">
      <c r="A8" s="27" t="s">
        <v>133</v>
      </c>
      <c r="B8" s="68">
        <v>538714.64043999999</v>
      </c>
      <c r="C8" s="62">
        <f>IF(425706.32959="","-",538714.64044/425706.32959*100)</f>
        <v>126.54607249059202</v>
      </c>
      <c r="D8" s="62">
        <f>IF(425706.32959="","-",425706.32959/920807.43432*100)</f>
        <v>46.231851929429368</v>
      </c>
      <c r="E8" s="62">
        <f>IF(538714.64044="","-",538714.64044/1290328.17958*100)</f>
        <v>41.750203472681719</v>
      </c>
      <c r="F8" s="62">
        <f>IF(864616.67853="","-",(425706.32959-400780.55084)/864616.67853*100)</f>
        <v>2.8828704521844517</v>
      </c>
      <c r="G8" s="62">
        <f>IF(920807.43432="","-",(538714.64044-425706.32959)/920807.43432*100)</f>
        <v>12.272740926929488</v>
      </c>
    </row>
    <row r="9" spans="1:7" x14ac:dyDescent="0.25">
      <c r="A9" s="29" t="s">
        <v>2</v>
      </c>
      <c r="B9" s="70">
        <v>169492.94537999999</v>
      </c>
      <c r="C9" s="73">
        <f>IF(OR(115956.42711="",169492.94538=""),"-",169492.94538/115956.42711*100)</f>
        <v>146.16951350114772</v>
      </c>
      <c r="D9" s="73">
        <f>IF(115956.42711="","-",115956.42711/920807.43432*100)</f>
        <v>12.592907353710906</v>
      </c>
      <c r="E9" s="73">
        <f>IF(169492.94538="","-",169492.94538/1290328.17958*100)</f>
        <v>13.135646269088666</v>
      </c>
      <c r="F9" s="73">
        <f>IF(OR(864616.67853="",123047.04085="",115956.42711=""),"-",(115956.42711-123047.04085)/864616.67853*100)</f>
        <v>-0.82008755048020676</v>
      </c>
      <c r="G9" s="73">
        <f>IF(OR(920807.43432="",169492.94538="",115956.42711=""),"-",(169492.94538-115956.42711)/920807.43432*100)</f>
        <v>5.8140840608585833</v>
      </c>
    </row>
    <row r="10" spans="1:7" s="7" customFormat="1" x14ac:dyDescent="0.25">
      <c r="A10" s="29" t="s">
        <v>4</v>
      </c>
      <c r="B10" s="19">
        <v>85342.809510000006</v>
      </c>
      <c r="C10" s="73">
        <f>IF(OR(72596.52068="",85342.80951=""),"-",85342.80951/72596.52068*100)</f>
        <v>117.55771311160308</v>
      </c>
      <c r="D10" s="73">
        <f>IF(72596.52068="","-",72596.52068/920807.43432*100)</f>
        <v>7.8840067938429765</v>
      </c>
      <c r="E10" s="73">
        <f>IF(85342.80951="","-",85342.80951/1290328.17958*100)</f>
        <v>6.6140390375554663</v>
      </c>
      <c r="F10" s="73">
        <f>IF(OR(864616.67853="",67311.15812="",72596.52068=""),"-",(72596.52068-67311.15812)/864616.67853*100)</f>
        <v>0.61129546667848833</v>
      </c>
      <c r="G10" s="73">
        <f>IF(OR(920807.43432="",85342.80951="",72596.52068=""),"-",(85342.80951-72596.52068)/920807.43432*100)</f>
        <v>1.3842512945622463</v>
      </c>
    </row>
    <row r="11" spans="1:7" s="7" customFormat="1" x14ac:dyDescent="0.25">
      <c r="A11" s="29" t="s">
        <v>3</v>
      </c>
      <c r="B11" s="19">
        <v>66503.457829999999</v>
      </c>
      <c r="C11" s="73">
        <f>IF(OR(57613.10403="",66503.45783=""),"-",66503.45783/57613.10403*100)</f>
        <v>115.43113142345301</v>
      </c>
      <c r="D11" s="73">
        <f>IF(57613.10403="","-",57613.10403/920807.43432*100)</f>
        <v>6.256802658478346</v>
      </c>
      <c r="E11" s="73">
        <f>IF(66503.45783="","-",66503.45783/1290328.17958*100)</f>
        <v>5.1539956177386426</v>
      </c>
      <c r="F11" s="73">
        <f>IF(OR(864616.67853="",49871.05658="",57613.10403=""),"-",(57613.10403-49871.05658)/864616.67853*100)</f>
        <v>0.89543119422156447</v>
      </c>
      <c r="G11" s="73">
        <f>IF(OR(920807.43432="",66503.45783="",57613.10403=""),"-",(66503.45783-57613.10403)/920807.43432*100)</f>
        <v>0.96549544113589458</v>
      </c>
    </row>
    <row r="12" spans="1:7" s="7" customFormat="1" x14ac:dyDescent="0.25">
      <c r="A12" s="29" t="s">
        <v>5</v>
      </c>
      <c r="B12" s="64">
        <v>39589.896939999999</v>
      </c>
      <c r="C12" s="73">
        <f>IF(OR(36876.75672="",39589.89694=""),"-",39589.89694/36876.75672*100)</f>
        <v>107.3573178915936</v>
      </c>
      <c r="D12" s="73">
        <f>IF(36876.75672="","-",36876.75672/920807.43432*100)</f>
        <v>4.0048283002007725</v>
      </c>
      <c r="E12" s="73">
        <f>IF(39589.89694="","-",39589.89694/1290328.17958*100)</f>
        <v>3.0682036993787469</v>
      </c>
      <c r="F12" s="73">
        <f>IF(OR(864616.67853="",33568.67074="",36876.75672=""),"-",(36876.75672-33568.67074)/864616.67853*100)</f>
        <v>0.38260723649517409</v>
      </c>
      <c r="G12" s="73">
        <f>IF(OR(920807.43432="",39589.89694="",36876.75672=""),"-",(39589.89694-36876.75672)/920807.43432*100)</f>
        <v>0.29464794905827485</v>
      </c>
    </row>
    <row r="13" spans="1:7" s="7" customFormat="1" x14ac:dyDescent="0.25">
      <c r="A13" s="29" t="s">
        <v>311</v>
      </c>
      <c r="B13" s="19">
        <v>31958.21513</v>
      </c>
      <c r="C13" s="73">
        <f>IF(OR(28261.70129="",31958.21513=""),"-",31958.21513/28261.70129*100)</f>
        <v>113.0795871135612</v>
      </c>
      <c r="D13" s="73">
        <f>IF(28261.70129="","-",28261.70129/920807.43432*100)</f>
        <v>3.0692303555162721</v>
      </c>
      <c r="E13" s="73">
        <f>IF(31958.21513="","-",31958.21513/1290328.17958*100)</f>
        <v>2.4767509255205411</v>
      </c>
      <c r="F13" s="73">
        <f>IF(OR(864616.67853="",21248.34128="",28261.70129=""),"-",(28261.70129-21248.34128)/864616.67853*100)</f>
        <v>0.81115252390503767</v>
      </c>
      <c r="G13" s="73">
        <f>IF(OR(920807.43432="",31958.21513="",28261.70129=""),"-",(31958.21513-28261.70129)/920807.43432*100)</f>
        <v>0.40144265806561497</v>
      </c>
    </row>
    <row r="14" spans="1:7" s="7" customFormat="1" x14ac:dyDescent="0.25">
      <c r="A14" s="29" t="s">
        <v>41</v>
      </c>
      <c r="B14" s="19">
        <v>30589.548999999999</v>
      </c>
      <c r="C14" s="73">
        <f>IF(OR(20112.68599="",30589.549=""),"-",30589.549/20112.68599*100)</f>
        <v>152.09081977021407</v>
      </c>
      <c r="D14" s="73">
        <f>IF(20112.68599="","-",20112.68599/920807.43432*100)</f>
        <v>2.1842445271798727</v>
      </c>
      <c r="E14" s="73">
        <f>IF(30589.549="","-",30589.549/1290328.17958*100)</f>
        <v>2.3706797607068344</v>
      </c>
      <c r="F14" s="73">
        <f>IF(OR(864616.67853="",18753.81488="",20112.68599=""),"-",(20112.68599-18753.81488)/864616.67853*100)</f>
        <v>0.15716457289608607</v>
      </c>
      <c r="G14" s="73">
        <f>IF(OR(920807.43432="",30589.549="",20112.68599=""),"-",(30589.549-20112.68599)/920807.43432*100)</f>
        <v>1.1377908799940322</v>
      </c>
    </row>
    <row r="15" spans="1:7" s="7" customFormat="1" x14ac:dyDescent="0.25">
      <c r="A15" s="29" t="s">
        <v>39</v>
      </c>
      <c r="B15" s="64">
        <v>18158.148580000001</v>
      </c>
      <c r="C15" s="73">
        <f>IF(OR(12461.68483="",18158.14858=""),"-",18158.14858/12461.68483*100)</f>
        <v>145.71182651230637</v>
      </c>
      <c r="D15" s="73">
        <f>IF(12461.68483="","-",12461.68483/920807.43432*100)</f>
        <v>1.3533432035334005</v>
      </c>
      <c r="E15" s="73">
        <f>IF(18158.14858="","-",18158.14858/1290328.17958*100)</f>
        <v>1.4072504086449118</v>
      </c>
      <c r="F15" s="73">
        <f>IF(OR(864616.67853="",12231.45182="",12461.68483=""),"-",(12461.68483-12231.45182)/864616.67853*100)</f>
        <v>2.6628333192859108E-2</v>
      </c>
      <c r="G15" s="73">
        <f>IF(OR(920807.43432="",18158.14858="",12461.68483=""),"-",(18158.14858-12461.68483)/920807.43432*100)</f>
        <v>0.6186378973152773</v>
      </c>
    </row>
    <row r="16" spans="1:7" s="7" customFormat="1" x14ac:dyDescent="0.25">
      <c r="A16" s="29" t="s">
        <v>340</v>
      </c>
      <c r="B16" s="19">
        <v>17587.36378</v>
      </c>
      <c r="C16" s="73">
        <f>IF(OR(16943.69792="",17587.36378=""),"-",17587.36378/16943.69792*100)</f>
        <v>103.79885113060374</v>
      </c>
      <c r="D16" s="73">
        <f>IF(16943.69792="","-",16943.69792/920807.43432*100)</f>
        <v>1.8400913468419833</v>
      </c>
      <c r="E16" s="73">
        <f>IF(17587.36378="","-",17587.36378/1290328.17958*100)</f>
        <v>1.3630147785910296</v>
      </c>
      <c r="F16" s="73">
        <f>IF(OR(864616.67853="",15185.75085="",16943.69792=""),"-",(16943.69792-15185.75085)/864616.67853*100)</f>
        <v>0.20332097606407692</v>
      </c>
      <c r="G16" s="73">
        <f>IF(OR(920807.43432="",17587.36378="",16943.69792=""),"-",(17587.36378-16943.69792)/920807.43432*100)</f>
        <v>6.990233093364813E-2</v>
      </c>
    </row>
    <row r="17" spans="1:7" s="7" customFormat="1" x14ac:dyDescent="0.25">
      <c r="A17" s="29" t="s">
        <v>6</v>
      </c>
      <c r="B17" s="64">
        <v>12981.52925</v>
      </c>
      <c r="C17" s="73" t="s">
        <v>100</v>
      </c>
      <c r="D17" s="73">
        <f>IF(7445.25802="","-",7445.25802/920807.43432*100)</f>
        <v>0.8085575487884924</v>
      </c>
      <c r="E17" s="73">
        <f>IF(12981.52925="","-",12981.52925/1290328.17958*100)</f>
        <v>1.0060641513870889</v>
      </c>
      <c r="F17" s="73">
        <f>IF(OR(864616.67853="",8432.96019="",7445.25802=""),"-",(7445.25802-8432.96019)/864616.67853*100)</f>
        <v>-0.11423584514692296</v>
      </c>
      <c r="G17" s="73">
        <f>IF(OR(920807.43432="",12981.52925="",7445.25802=""),"-",(12981.52925-7445.25802)/920807.43432*100)</f>
        <v>0.60124093525465916</v>
      </c>
    </row>
    <row r="18" spans="1:7" s="7" customFormat="1" x14ac:dyDescent="0.25">
      <c r="A18" s="29" t="s">
        <v>7</v>
      </c>
      <c r="B18" s="19">
        <v>12223.27556</v>
      </c>
      <c r="C18" s="73">
        <f>IF(OR(12142.49875="",12223.27556=""),"-",12223.27556/12142.49875*100)</f>
        <v>100.66524042261071</v>
      </c>
      <c r="D18" s="73">
        <f>IF(12142.49875="","-",12142.49875/920807.43432*100)</f>
        <v>1.3186794868752358</v>
      </c>
      <c r="E18" s="73">
        <f>IF(12223.27556="","-",12223.27556/1290328.17958*100)</f>
        <v>0.94729974540110096</v>
      </c>
      <c r="F18" s="73">
        <f>IF(OR(864616.67853="",10139.14634="",12142.49875=""),"-",(12142.49875-10139.14634)/864616.67853*100)</f>
        <v>0.23170411348136977</v>
      </c>
      <c r="G18" s="73">
        <f>IF(OR(920807.43432="",12223.27556="",12142.49875=""),"-",(12223.27556-12142.49875)/920807.43432*100)</f>
        <v>8.7723889913694751E-3</v>
      </c>
    </row>
    <row r="19" spans="1:7" s="7" customFormat="1" x14ac:dyDescent="0.25">
      <c r="A19" s="29" t="s">
        <v>9</v>
      </c>
      <c r="B19" s="70">
        <v>11791.398810000001</v>
      </c>
      <c r="C19" s="73">
        <f>IF(OR(8921.10899="",11791.39881=""),"-",11791.39881/8921.10899*100)</f>
        <v>132.17413690626819</v>
      </c>
      <c r="D19" s="73">
        <f>IF(8921.10899="","-",8921.10899/920807.43432*100)</f>
        <v>0.96883546521190733</v>
      </c>
      <c r="E19" s="73">
        <f>IF(11791.39881="","-",11791.39881/1290328.17958*100)</f>
        <v>0.91382944250958575</v>
      </c>
      <c r="F19" s="73">
        <f>IF(OR(864616.67853="",9097.78512="",8921.10899=""),"-",(8921.10899-9097.78512)/864616.67853*100)</f>
        <v>-2.0434041395127864E-2</v>
      </c>
      <c r="G19" s="73">
        <f>IF(OR(920807.43432="",11791.39881="",8921.10899=""),"-",(11791.39881-8921.10899)/920807.43432*100)</f>
        <v>0.31171444897375944</v>
      </c>
    </row>
    <row r="20" spans="1:7" s="7" customFormat="1" ht="15.75" customHeight="1" x14ac:dyDescent="0.25">
      <c r="A20" s="29" t="s">
        <v>40</v>
      </c>
      <c r="B20" s="70">
        <v>6380.5024800000001</v>
      </c>
      <c r="C20" s="73">
        <f>IF(OR(5813.85992="",6380.50248=""),"-",6380.50248/5813.85992*100)</f>
        <v>109.74640888836551</v>
      </c>
      <c r="D20" s="73">
        <f>IF(5813.85992="","-",5813.85992/920807.43432*100)</f>
        <v>0.63138716123566407</v>
      </c>
      <c r="E20" s="73">
        <f>IF(6380.50248="","-",6380.50248/1290328.17958*100)</f>
        <v>0.49448679653550193</v>
      </c>
      <c r="F20" s="73">
        <f>IF(OR(864616.67853="",4818.28868="",5813.85992=""),"-",(5813.85992-4818.28868)/864616.67853*100)</f>
        <v>0.11514596753935465</v>
      </c>
      <c r="G20" s="73">
        <f>IF(OR(920807.43432="",6380.50248="",5813.85992=""),"-",(6380.50248-5813.85992)/920807.43432*100)</f>
        <v>6.153757440267147E-2</v>
      </c>
    </row>
    <row r="21" spans="1:7" s="7" customFormat="1" x14ac:dyDescent="0.25">
      <c r="A21" s="29" t="s">
        <v>43</v>
      </c>
      <c r="B21" s="19">
        <v>5787.6485300000004</v>
      </c>
      <c r="C21" s="73">
        <f>IF(OR(4594.81391="",5787.64853=""),"-",5787.64853/4594.81391*100)</f>
        <v>125.96045549100378</v>
      </c>
      <c r="D21" s="73">
        <f>IF(4594.81391="","-",4594.81391/920807.43432*100)</f>
        <v>0.49899835065875514</v>
      </c>
      <c r="E21" s="73">
        <f>IF(5787.64853="","-",5787.64853/1290328.17958*100)</f>
        <v>0.44854081477813434</v>
      </c>
      <c r="F21" s="73">
        <f>IF(OR(864616.67853="",3550.11235="",4594.81391=""),"-",(4594.81391-3550.11235)/864616.67853*100)</f>
        <v>0.1208282914199823</v>
      </c>
      <c r="G21" s="73">
        <f>IF(OR(920807.43432="",5787.64853="",4594.81391=""),"-",(5787.64853-4594.81391)/920807.43432*100)</f>
        <v>0.12954224472360912</v>
      </c>
    </row>
    <row r="22" spans="1:7" s="7" customFormat="1" x14ac:dyDescent="0.25">
      <c r="A22" s="29" t="s">
        <v>51</v>
      </c>
      <c r="B22" s="19">
        <v>4723.1888099999996</v>
      </c>
      <c r="C22" s="73">
        <f>IF(OR(4371.46385="",4723.18881=""),"-",4723.18881/4371.46385*100)</f>
        <v>108.04593088422772</v>
      </c>
      <c r="D22" s="73">
        <f>IF(4371.46385="","-",4371.46385/920807.43432*100)</f>
        <v>0.47474245831086814</v>
      </c>
      <c r="E22" s="73">
        <f>IF(4723.18881="","-",4723.18881/1290328.17958*100)</f>
        <v>0.36604554443950771</v>
      </c>
      <c r="F22" s="73">
        <f>IF(OR(864616.67853="",4343.14568="",4371.46385=""),"-",(4371.46385-4343.14568)/864616.67853*100)</f>
        <v>3.2752282836072881E-3</v>
      </c>
      <c r="G22" s="73">
        <f>IF(OR(920807.43432="",4723.18881="",4371.46385=""),"-",(4723.18881-4371.46385)/920807.43432*100)</f>
        <v>3.8197450073775979E-2</v>
      </c>
    </row>
    <row r="23" spans="1:7" s="7" customFormat="1" x14ac:dyDescent="0.25">
      <c r="A23" s="29" t="s">
        <v>8</v>
      </c>
      <c r="B23" s="19">
        <v>4532.90542</v>
      </c>
      <c r="C23" s="73">
        <f>IF(OR(3470.04005="",4532.90542=""),"-",4532.90542/3470.04005*100)</f>
        <v>130.6297724142982</v>
      </c>
      <c r="D23" s="73">
        <f>IF(3470.04005="","-",3470.04005/920807.43432*100)</f>
        <v>0.37684752757915807</v>
      </c>
      <c r="E23" s="73">
        <f>IF(4532.90542="","-",4532.90542/1290328.17958*100)</f>
        <v>0.3512986457038747</v>
      </c>
      <c r="F23" s="73">
        <f>IF(OR(864616.67853="",2360.8408="",3470.04005=""),"-",(3470.04005-2360.8408)/864616.67853*100)</f>
        <v>0.12828797749840234</v>
      </c>
      <c r="G23" s="73">
        <f>IF(OR(920807.43432="",4532.90542="",3470.04005=""),"-",(4532.90542-3470.04005)/920807.43432*100)</f>
        <v>0.11542754004640582</v>
      </c>
    </row>
    <row r="24" spans="1:7" s="7" customFormat="1" x14ac:dyDescent="0.25">
      <c r="A24" s="29" t="s">
        <v>49</v>
      </c>
      <c r="B24" s="19">
        <v>4291.8052100000004</v>
      </c>
      <c r="C24" s="73">
        <f>IF(OR(3156.62606="",4291.80521=""),"-",4291.80521/3156.62606*100)</f>
        <v>135.96178731414264</v>
      </c>
      <c r="D24" s="73">
        <f>IF(3156.62606="","-",3156.62606/920807.43432*100)</f>
        <v>0.34281066185473541</v>
      </c>
      <c r="E24" s="73">
        <f>IF(4291.80521="","-",4291.80521/1290328.17958*100)</f>
        <v>0.33261346050715385</v>
      </c>
      <c r="F24" s="73">
        <f>IF(OR(864616.67853="",3035.72985="",3156.62606=""),"-",(3156.62606-3035.72985)/864616.67853*100)</f>
        <v>1.3982636814911393E-2</v>
      </c>
      <c r="G24" s="73">
        <f>IF(OR(920807.43432="",4291.80521="",3156.62606=""),"-",(4291.80521-3156.62606)/920807.43432*100)</f>
        <v>0.12328084110640462</v>
      </c>
    </row>
    <row r="25" spans="1:7" s="7" customFormat="1" x14ac:dyDescent="0.25">
      <c r="A25" s="29" t="s">
        <v>50</v>
      </c>
      <c r="B25" s="19">
        <v>3608.43309</v>
      </c>
      <c r="C25" s="73">
        <f>IF(OR(4225.23065="",3608.43309=""),"-",3608.43309/4225.23065*100)</f>
        <v>85.402038111221216</v>
      </c>
      <c r="D25" s="73">
        <f>IF(4225.23065="","-",4225.23065/920807.43432*100)</f>
        <v>0.45886148314172315</v>
      </c>
      <c r="E25" s="73">
        <f>IF(3608.43309="","-",3608.43309/1290328.17958*100)</f>
        <v>0.27965235101464964</v>
      </c>
      <c r="F25" s="73">
        <f>IF(OR(864616.67853="",3047.37709="",4225.23065=""),"-",(4225.23065-3047.37709)/864616.67853*100)</f>
        <v>0.13622841072214315</v>
      </c>
      <c r="G25" s="73">
        <f>IF(OR(920807.43432="",3608.43309="",4225.23065=""),"-",(3608.43309-4225.23065)/920807.43432*100)</f>
        <v>-6.6984424431313874E-2</v>
      </c>
    </row>
    <row r="26" spans="1:7" s="7" customFormat="1" x14ac:dyDescent="0.25">
      <c r="A26" s="29" t="s">
        <v>42</v>
      </c>
      <c r="B26" s="19">
        <v>3002.3393599999999</v>
      </c>
      <c r="C26" s="73" t="s">
        <v>205</v>
      </c>
      <c r="D26" s="73">
        <f>IF(1207.72125="","-",1207.72125/920807.43432*100)</f>
        <v>0.13115893779592264</v>
      </c>
      <c r="E26" s="73">
        <f>IF(3002.33936="","-",3002.33936/1290328.17958*100)</f>
        <v>0.23268029075961569</v>
      </c>
      <c r="F26" s="73">
        <f>IF(OR(864616.67853="",2750.1897="",1207.72125=""),"-",(1207.72125-2750.1897)/864616.67853*100)</f>
        <v>-0.17839910891176269</v>
      </c>
      <c r="G26" s="73">
        <f>IF(OR(920807.43432="",3002.33936="",1207.72125=""),"-",(3002.33936-1207.72125)/920807.43432*100)</f>
        <v>0.19489613605534079</v>
      </c>
    </row>
    <row r="27" spans="1:7" s="7" customFormat="1" x14ac:dyDescent="0.25">
      <c r="A27" s="29" t="s">
        <v>47</v>
      </c>
      <c r="B27" s="19">
        <v>2667.2859800000001</v>
      </c>
      <c r="C27" s="73">
        <f>IF(OR(2398.09431="",2667.28598=""),"-",2667.28598/2398.09431*100)</f>
        <v>111.22523283915386</v>
      </c>
      <c r="D27" s="73">
        <f>IF(2398.09431="","-",2398.09431/920807.43432*100)</f>
        <v>0.26043385626778198</v>
      </c>
      <c r="E27" s="73">
        <f>IF(2667.28598="","-",2667.28598/1290328.17958*100)</f>
        <v>0.20671376648289569</v>
      </c>
      <c r="F27" s="73">
        <f>IF(OR(864616.67853="",1790.05525="",2398.09431=""),"-",(2398.09431-1790.05525)/864616.67853*100)</f>
        <v>7.0324697070819078E-2</v>
      </c>
      <c r="G27" s="73">
        <f>IF(OR(920807.43432="",2667.28598="",2398.09431=""),"-",(2667.28598-2398.09431)/920807.43432*100)</f>
        <v>2.9234306758045829E-2</v>
      </c>
    </row>
    <row r="28" spans="1:7" s="7" customFormat="1" x14ac:dyDescent="0.25">
      <c r="A28" s="29" t="s">
        <v>44</v>
      </c>
      <c r="B28" s="19">
        <v>2406.8508499999998</v>
      </c>
      <c r="C28" s="73">
        <f>IF(OR(2034.93947="",2406.85085=""),"-",2406.85085/2034.93947*100)</f>
        <v>118.27628710744892</v>
      </c>
      <c r="D28" s="73">
        <f>IF(2034.93947="","-",2034.93947/920807.43432*100)</f>
        <v>0.22099511734532928</v>
      </c>
      <c r="E28" s="73">
        <f>IF(2406.85085="","-",2406.85085/1290328.17958*100)</f>
        <v>0.18653013148820996</v>
      </c>
      <c r="F28" s="73">
        <f>IF(OR(864616.67853="",1584.50871="",2034.93947=""),"-",(2034.93947-1584.50871)/864616.67853*100)</f>
        <v>5.2096006378897435E-2</v>
      </c>
      <c r="G28" s="73">
        <f>IF(OR(920807.43432="",2406.85085="",2034.93947=""),"-",(2406.85085-2034.93947)/920807.43432*100)</f>
        <v>4.0389702139476076E-2</v>
      </c>
    </row>
    <row r="29" spans="1:7" s="7" customFormat="1" x14ac:dyDescent="0.25">
      <c r="A29" s="29" t="s">
        <v>48</v>
      </c>
      <c r="B29" s="19">
        <v>1748.4978699999999</v>
      </c>
      <c r="C29" s="73">
        <f>IF(OR(1653.02633="",1748.49787=""),"-",1748.49787/1653.02633*100)</f>
        <v>105.77556075588947</v>
      </c>
      <c r="D29" s="73">
        <f>IF(1653.02633="","-",1653.02633/920807.43432*100)</f>
        <v>0.17951922067405229</v>
      </c>
      <c r="E29" s="73">
        <f>IF(1748.49787="","-",1748.49787/1290328.17958*100)</f>
        <v>0.13550799693215515</v>
      </c>
      <c r="F29" s="73">
        <f>IF(OR(864616.67853="",1483.04315="",1653.02633=""),"-",(1653.02633-1483.04315)/864616.67853*100)</f>
        <v>1.9659946913006716E-2</v>
      </c>
      <c r="G29" s="73">
        <f>IF(OR(920807.43432="",1748.49787="",1653.02633=""),"-",(1748.49787-1653.02633)/920807.43432*100)</f>
        <v>1.0368241658529185E-2</v>
      </c>
    </row>
    <row r="30" spans="1:7" s="7" customFormat="1" x14ac:dyDescent="0.25">
      <c r="A30" s="29" t="s">
        <v>52</v>
      </c>
      <c r="B30" s="19">
        <v>1374.63428</v>
      </c>
      <c r="C30" s="73">
        <f>IF(OR(1161.83343="",1374.63428=""),"-",1374.63428/1161.83343*100)</f>
        <v>118.3159517109092</v>
      </c>
      <c r="D30" s="73">
        <f>IF(1161.83343="","-",1161.83343/920807.43432*100)</f>
        <v>0.12617550496407465</v>
      </c>
      <c r="E30" s="73">
        <f>IF(1374.63428="","-",1374.63428/1290328.17958*100)</f>
        <v>0.10653369443170972</v>
      </c>
      <c r="F30" s="73">
        <f>IF(OR(864616.67853="",1540.55744="",1161.83343=""),"-",(1161.83343-1540.55744)/864616.67853*100)</f>
        <v>-4.3802533469964669E-2</v>
      </c>
      <c r="G30" s="73">
        <f>IF(OR(920807.43432="",1374.63428="",1161.83343=""),"-",(1374.63428-1161.83343)/920807.43432*100)</f>
        <v>2.3110244560215758E-2</v>
      </c>
    </row>
    <row r="31" spans="1:7" s="7" customFormat="1" x14ac:dyDescent="0.25">
      <c r="A31" s="29" t="s">
        <v>312</v>
      </c>
      <c r="B31" s="19">
        <v>879.42583999999999</v>
      </c>
      <c r="C31" s="73">
        <f>IF(OR(960.2826="",879.42584=""),"-",879.42584/960.2826*100)</f>
        <v>91.579899500417895</v>
      </c>
      <c r="D31" s="73">
        <f>IF(960.2826="","-",960.2826/920807.43432*100)</f>
        <v>0.10428701639546945</v>
      </c>
      <c r="E31" s="73">
        <f>IF(879.42584="","-",879.42584/1290328.17958*100)</f>
        <v>6.8155206862664339E-2</v>
      </c>
      <c r="F31" s="73">
        <f>IF(OR(864616.67853="",902.53267="",960.2826=""),"-",(960.2826-902.53267)/864616.67853*100)</f>
        <v>6.679252370910189E-3</v>
      </c>
      <c r="G31" s="73">
        <f>IF(OR(920807.43432="",879.42584="",960.2826=""),"-",(879.42584-960.2826)/920807.43432*100)</f>
        <v>-8.7810715885141919E-3</v>
      </c>
    </row>
    <row r="32" spans="1:7" s="7" customFormat="1" x14ac:dyDescent="0.25">
      <c r="A32" s="29" t="s">
        <v>45</v>
      </c>
      <c r="B32" s="19">
        <v>520.67759999999998</v>
      </c>
      <c r="C32" s="73">
        <f>IF(OR(722.98401="",520.6776=""),"-",520.6776/722.98401*100)</f>
        <v>72.01785832026907</v>
      </c>
      <c r="D32" s="73">
        <f>IF(722.98401="","-",722.98401/920807.43432*100)</f>
        <v>7.8516308953772831E-2</v>
      </c>
      <c r="E32" s="73">
        <f>IF(520.6776="","-",520.6776/1290328.17958*100)</f>
        <v>4.0352338904160012E-2</v>
      </c>
      <c r="F32" s="73">
        <f>IF(OR(864616.67853="",443.50322="",722.98401=""),"-",(722.98401-443.50322)/864616.67853*100)</f>
        <v>3.2324242284472969E-2</v>
      </c>
      <c r="G32" s="73">
        <f>IF(OR(920807.43432="",520.6776="",722.98401=""),"-",(520.6776-722.98401)/920807.43432*100)</f>
        <v>-2.1970544813139974E-2</v>
      </c>
    </row>
    <row r="33" spans="1:7" s="7" customFormat="1" x14ac:dyDescent="0.25">
      <c r="A33" s="29" t="s">
        <v>53</v>
      </c>
      <c r="B33" s="70">
        <v>404.34160000000003</v>
      </c>
      <c r="C33" s="73">
        <f>IF(OR(529.27499="",404.3416=""),"-",404.3416/529.27499*100)</f>
        <v>76.39537246980062</v>
      </c>
      <c r="D33" s="73">
        <f>IF(529.27499="","-",529.27499/920807.43432*100)</f>
        <v>5.7479443613621582E-2</v>
      </c>
      <c r="E33" s="73">
        <f>IF(404.3416="","-",404.3416/1290328.17958*100)</f>
        <v>3.1336338026161113E-2</v>
      </c>
      <c r="F33" s="73">
        <f>IF(OR(864616.67853="",115.63382="",529.27499=""),"-",(529.27499-115.63382)/864616.67853*100)</f>
        <v>4.7840988992169632E-2</v>
      </c>
      <c r="G33" s="73">
        <f>IF(OR(920807.43432="",404.3416="",529.27499=""),"-",(404.3416-529.27499)/920807.43432*100)</f>
        <v>-1.3567808571426346E-2</v>
      </c>
    </row>
    <row r="34" spans="1:7" s="7" customFormat="1" x14ac:dyDescent="0.25">
      <c r="A34" s="29" t="s">
        <v>46</v>
      </c>
      <c r="B34" s="64">
        <v>155.64968999999999</v>
      </c>
      <c r="C34" s="73" t="s">
        <v>198</v>
      </c>
      <c r="D34" s="73">
        <f>IF(69.52046="","-",69.52046/920807.43432*100)</f>
        <v>7.5499455596098261E-3</v>
      </c>
      <c r="E34" s="73">
        <f>IF(155.64969="","-",155.64969/1290328.17958*100)</f>
        <v>1.2062798632411775E-2</v>
      </c>
      <c r="F34" s="73">
        <f>IF(OR(864616.67853="",126.9544="",69.52046=""),"-",(69.52046-126.9544)/864616.67853*100)</f>
        <v>-6.6427055394822796E-3</v>
      </c>
      <c r="G34" s="73">
        <f>IF(OR(920807.43432="",155.64969="",69.52046=""),"-",(155.64969-69.52046)/920807.43432*100)</f>
        <v>9.3536636206249697E-3</v>
      </c>
    </row>
    <row r="35" spans="1:7" s="7" customFormat="1" x14ac:dyDescent="0.25">
      <c r="A35" s="29" t="s">
        <v>54</v>
      </c>
      <c r="B35" s="64">
        <v>11.86406</v>
      </c>
      <c r="C35" s="73" t="s">
        <v>207</v>
      </c>
      <c r="D35" s="73">
        <f>IF(5.17397="","-",5.17397/920807.43432*100)</f>
        <v>5.618948986680245E-4</v>
      </c>
      <c r="E35" s="73">
        <f>IF(11.86406="","-",11.86406/1290328.17958*100)</f>
        <v>9.194606602997491E-4</v>
      </c>
      <c r="F35" s="73">
        <f>IF(OR(864616.67853="",0.90126="",5.17397=""),"-",(5.17397-0.90126)/864616.67853*100)</f>
        <v>4.9417390458675347E-4</v>
      </c>
      <c r="G35" s="73">
        <f>IF(OR(920807.43432="",11.86406="",5.17397=""),"-",(11.86406-5.17397)/920807.43432*100)</f>
        <v>7.265460454215939E-4</v>
      </c>
    </row>
    <row r="36" spans="1:7" s="7" customFormat="1" x14ac:dyDescent="0.25">
      <c r="A36" s="27" t="s">
        <v>200</v>
      </c>
      <c r="B36" s="18">
        <v>435196.86891999998</v>
      </c>
      <c r="C36" s="62" t="s">
        <v>19</v>
      </c>
      <c r="D36" s="62">
        <f>IF(220011.84802="","-",220011.84802/920807.43432*100)</f>
        <v>23.893361393468208</v>
      </c>
      <c r="E36" s="62">
        <f>IF(435196.86892="","-",435196.86892/1290328.17958*100)</f>
        <v>33.727610991310442</v>
      </c>
      <c r="F36" s="62">
        <f>IF(864616.67853="","-",(220011.84802-221134.35764)/864616.67853*100)</f>
        <v>-0.12982743079956083</v>
      </c>
      <c r="G36" s="62">
        <f>IF(920807.43432="","-",(435196.86892-220011.84802)/920807.43432*100)</f>
        <v>23.369166329430247</v>
      </c>
    </row>
    <row r="37" spans="1:7" s="7" customFormat="1" x14ac:dyDescent="0.25">
      <c r="A37" s="29" t="s">
        <v>313</v>
      </c>
      <c r="B37" s="64">
        <v>313727.11751000001</v>
      </c>
      <c r="C37" s="73" t="s">
        <v>280</v>
      </c>
      <c r="D37" s="73">
        <f>IF(122925.22967="","-",122925.22967/920807.43432*100)</f>
        <v>13.349721677777083</v>
      </c>
      <c r="E37" s="73">
        <f>IF(313727.11751="","-",313727.11751/1290328.17958*100)</f>
        <v>24.3137461054379</v>
      </c>
      <c r="F37" s="73">
        <f>IF(OR(864616.67853="",125961.54657="",122925.22967=""),"-",(122925.22967-125961.54657)/864616.67853*100)</f>
        <v>-0.35117491663037043</v>
      </c>
      <c r="G37" s="73">
        <f>IF(OR(920807.43432="",313727.11751="",122925.22967=""),"-",(313727.11751-122925.22967)/920807.43432*100)</f>
        <v>20.721149800544762</v>
      </c>
    </row>
    <row r="38" spans="1:7" s="7" customFormat="1" x14ac:dyDescent="0.25">
      <c r="A38" s="29" t="s">
        <v>11</v>
      </c>
      <c r="B38" s="64">
        <v>84794.056800000006</v>
      </c>
      <c r="C38" s="73">
        <f>IF(OR(76137.19614="",84794.0568=""),"-",84794.0568/76137.19614*100)</f>
        <v>111.37008072123105</v>
      </c>
      <c r="D38" s="73">
        <f>IF(76137.19614="","-",76137.19614/920807.43432*100)</f>
        <v>8.2685253509302914</v>
      </c>
      <c r="E38" s="73">
        <f>IF(84794.0568="","-",84794.0568/1290328.17958*100)</f>
        <v>6.5715108870675332</v>
      </c>
      <c r="F38" s="73">
        <f>IF(OR(864616.67853="",75016.20843="",76137.19614=""),"-",(76137.19614-75016.20843)/864616.67853*100)</f>
        <v>0.1296514094437638</v>
      </c>
      <c r="G38" s="73">
        <f>IF(OR(920807.43432="",84794.0568="",76137.19614=""),"-",(84794.0568-76137.19614)/920807.43432*100)</f>
        <v>0.94013800685622662</v>
      </c>
    </row>
    <row r="39" spans="1:7" s="7" customFormat="1" x14ac:dyDescent="0.25">
      <c r="A39" s="29" t="s">
        <v>10</v>
      </c>
      <c r="B39" s="64">
        <v>23441.63366</v>
      </c>
      <c r="C39" s="73">
        <f>IF(OR(17595.93463="",23441.63366=""),"-",23441.63366/17595.93463*100)</f>
        <v>133.22187285257036</v>
      </c>
      <c r="D39" s="73">
        <f>IF(17595.93463="","-",17595.93463/920807.43432*100)</f>
        <v>1.9109244749956091</v>
      </c>
      <c r="E39" s="73">
        <f>IF(23441.63366="","-",23441.63366/1290328.17958*100)</f>
        <v>1.8167187255904322</v>
      </c>
      <c r="F39" s="73">
        <f>IF(OR(864616.67853="",14656.69517="",17595.93463=""),"-",(17595.93463-14656.69517)/864616.67853*100)</f>
        <v>0.33994711563940927</v>
      </c>
      <c r="G39" s="73">
        <f>IF(OR(920807.43432="",23441.63366="",17595.93463=""),"-",(23441.63366-17595.93463)/920807.43432*100)</f>
        <v>0.63484489939168931</v>
      </c>
    </row>
    <row r="40" spans="1:7" s="7" customFormat="1" x14ac:dyDescent="0.25">
      <c r="A40" s="29" t="s">
        <v>14</v>
      </c>
      <c r="B40" s="64">
        <v>5303.0361800000001</v>
      </c>
      <c r="C40" s="73" t="s">
        <v>360</v>
      </c>
      <c r="D40" s="73">
        <f>IF(987.29761="","-",987.29761/920807.43432*100)</f>
        <v>0.10722085565361467</v>
      </c>
      <c r="E40" s="73">
        <f>IF(5303.03618="","-",5303.03618/1290328.17958*100)</f>
        <v>0.41098352062078736</v>
      </c>
      <c r="F40" s="73">
        <f>IF(OR(864616.67853="",1065.94329="",987.29761=""),"-",(987.29761-1065.94329)/864616.67853*100)</f>
        <v>-9.0960169926066446E-3</v>
      </c>
      <c r="G40" s="73">
        <f>IF(OR(920807.43432="",5303.03618="",987.29761=""),"-",(5303.03618-987.29761)/920807.43432*100)</f>
        <v>0.46869067398300246</v>
      </c>
    </row>
    <row r="41" spans="1:7" s="7" customFormat="1" x14ac:dyDescent="0.25">
      <c r="A41" s="29" t="s">
        <v>12</v>
      </c>
      <c r="B41" s="64">
        <v>2713.7473799999998</v>
      </c>
      <c r="C41" s="73">
        <f>IF(OR(2089.68546="",2713.74738=""),"-",2713.74738/2089.68546*100)</f>
        <v>129.86391645755145</v>
      </c>
      <c r="D41" s="73">
        <f>IF(2089.68546="","-",2089.68546/920807.43432*100)</f>
        <v>0.22694055044670614</v>
      </c>
      <c r="E41" s="73">
        <f>IF(2713.74738="","-",2713.74738/1290328.17958*100)</f>
        <v>0.21031450935864401</v>
      </c>
      <c r="F41" s="73">
        <f>IF(OR(864616.67853="",2000.42767="",2089.68546=""),"-",(2089.68546-2000.42767)/864616.67853*100)</f>
        <v>1.0323394426273849E-2</v>
      </c>
      <c r="G41" s="73">
        <f>IF(OR(920807.43432="",2713.74738="",2089.68546=""),"-",(2713.74738-2089.68546)/920807.43432*100)</f>
        <v>6.7773336393711706E-2</v>
      </c>
    </row>
    <row r="42" spans="1:7" s="7" customFormat="1" x14ac:dyDescent="0.25">
      <c r="A42" s="29" t="s">
        <v>15</v>
      </c>
      <c r="B42" s="64">
        <v>2016.4860200000001</v>
      </c>
      <c r="C42" s="73" t="s">
        <v>361</v>
      </c>
      <c r="D42" s="73">
        <f>IF(22.94438="","-",22.94438/920807.43432*100)</f>
        <v>2.4917674580835695E-3</v>
      </c>
      <c r="E42" s="73">
        <f>IF(2016.48602="","-",2016.48602/1290328.17958*100)</f>
        <v>0.15627698843687685</v>
      </c>
      <c r="F42" s="73">
        <f>IF(OR(864616.67853="",1083.03606="",22.94438=""),"-",(22.94438-1083.03606)/864616.67853*100)</f>
        <v>-0.12260828484159497</v>
      </c>
      <c r="G42" s="73">
        <f>IF(OR(920807.43432="",2016.48602="",22.94438=""),"-",(2016.48602-22.94438)/920807.43432*100)</f>
        <v>0.21649929895192424</v>
      </c>
    </row>
    <row r="43" spans="1:7" s="7" customFormat="1" x14ac:dyDescent="0.25">
      <c r="A43" s="29" t="s">
        <v>341</v>
      </c>
      <c r="B43" s="64">
        <v>1809.6546900000001</v>
      </c>
      <c r="C43" s="73" t="s">
        <v>362</v>
      </c>
      <c r="D43" s="73">
        <f>IF(40.37531="","-",40.37531/920807.43432*100)</f>
        <v>4.3847723742387514E-3</v>
      </c>
      <c r="E43" s="73">
        <f>IF(1809.65469="","-",1809.65469/1290328.17958*100)</f>
        <v>0.1402476299160606</v>
      </c>
      <c r="F43" s="73">
        <f>IF(OR(864616.67853="",16.24021="",40.37531=""),"-",(40.37531-16.24021)/864616.67853*100)</f>
        <v>2.7914219791635182E-3</v>
      </c>
      <c r="G43" s="73">
        <f>IF(OR(920807.43432="",1809.65469="",40.37531=""),"-",(1809.65469-40.37531)/920807.43432*100)</f>
        <v>0.19214434137432673</v>
      </c>
    </row>
    <row r="44" spans="1:7" s="7" customFormat="1" x14ac:dyDescent="0.25">
      <c r="A44" s="29" t="s">
        <v>13</v>
      </c>
      <c r="B44" s="64">
        <v>1199.1679999999999</v>
      </c>
      <c r="C44" s="73" t="s">
        <v>363</v>
      </c>
      <c r="D44" s="73">
        <f>IF(91.27388="","-",91.27388/920807.43432*100)</f>
        <v>9.9123743573382595E-3</v>
      </c>
      <c r="E44" s="73">
        <f>IF(1199.168="","-",1199.168/1290328.17958*100)</f>
        <v>9.2935116738311285E-2</v>
      </c>
      <c r="F44" s="73">
        <f>IF(OR(864616.67853="",1216.7106="",91.27388=""),"-",(91.27388-1216.7106)/864616.67853*100)</f>
        <v>-0.13016597388723058</v>
      </c>
      <c r="G44" s="73">
        <f>IF(OR(920807.43432="",1199.168="",91.27388=""),"-",(1199.168-91.27388)/920807.43432*100)</f>
        <v>0.12031767758458208</v>
      </c>
    </row>
    <row r="45" spans="1:7" s="7" customFormat="1" x14ac:dyDescent="0.25">
      <c r="A45" s="29" t="s">
        <v>16</v>
      </c>
      <c r="B45" s="64">
        <v>190.35593</v>
      </c>
      <c r="C45" s="73" t="s">
        <v>101</v>
      </c>
      <c r="D45" s="73">
        <f>IF(121.49594="","-",121.49594/920807.43432*100)</f>
        <v>1.3194500334342173E-2</v>
      </c>
      <c r="E45" s="73">
        <f>IF(190.35593="","-",190.35593/1290328.17958*100)</f>
        <v>1.4752520561238972E-2</v>
      </c>
      <c r="F45" s="73">
        <f>IF(OR(864616.67853="",117.36413="",121.49594=""),"-",(121.49594-117.36413)/864616.67853*100)</f>
        <v>4.7787766562921308E-4</v>
      </c>
      <c r="G45" s="73">
        <f>IF(OR(920807.43432="",190.35593="",121.49594=""),"-",(190.35593-121.49594)/920807.43432*100)</f>
        <v>7.47821829336683E-3</v>
      </c>
    </row>
    <row r="46" spans="1:7" s="7" customFormat="1" x14ac:dyDescent="0.25">
      <c r="A46" s="29" t="s">
        <v>17</v>
      </c>
      <c r="B46" s="64">
        <v>1.6127499999999999</v>
      </c>
      <c r="C46" s="73" t="s">
        <v>364</v>
      </c>
      <c r="D46" s="73">
        <f>IF(0.415="","-",0.415/920807.43432*100)</f>
        <v>4.5069140900938769E-5</v>
      </c>
      <c r="E46" s="73">
        <f>IF(1.61275="","-",1.61275/1290328.17958*100)</f>
        <v>1.2498758265706852E-4</v>
      </c>
      <c r="F46" s="73">
        <f>IF(OR(864616.67853="",0.18551="",0.415=""),"-",(0.415-0.18551)/864616.67853*100)</f>
        <v>2.6542398001178189E-5</v>
      </c>
      <c r="G46" s="73">
        <f>IF(OR(920807.43432="",1.61275="",0.415=""),"-",(1.61275-0.415)/920807.43432*100)</f>
        <v>1.3007605666048047E-4</v>
      </c>
    </row>
    <row r="47" spans="1:7" s="7" customFormat="1" x14ac:dyDescent="0.25">
      <c r="A47" s="27" t="s">
        <v>134</v>
      </c>
      <c r="B47" s="18">
        <f>IF(316416.67022="","-",316416.67022)</f>
        <v>316416.67022000003</v>
      </c>
      <c r="C47" s="62">
        <f>IF(275089.25671="","-",316416.67022/275089.25671*100)</f>
        <v>115.02327426532966</v>
      </c>
      <c r="D47" s="62">
        <f>IF(275089.25671="","-",275089.25671/920807.43432*100)</f>
        <v>29.874786677102421</v>
      </c>
      <c r="E47" s="62">
        <f>IF(316416.67022="","-",316416.67022/1290328.17958*100)</f>
        <v>24.522185536007839</v>
      </c>
      <c r="F47" s="62">
        <f>IF(864616.67853="","-",(275089.25671-242701.77005)/864616.67853*100)</f>
        <v>3.7458780826509614</v>
      </c>
      <c r="G47" s="62">
        <f>IF(920807.43432="","-",(316416.67022-275089.25671)/920807.43432*100)</f>
        <v>4.4881711386832581</v>
      </c>
    </row>
    <row r="48" spans="1:7" s="7" customFormat="1" x14ac:dyDescent="0.25">
      <c r="A48" s="93" t="s">
        <v>58</v>
      </c>
      <c r="B48" s="19">
        <f>IF(127423.81118="","-",127423.81118)</f>
        <v>127423.81118</v>
      </c>
      <c r="C48" s="73">
        <f>IF(OR(114898.8878="",127423.81118=""),"-",127423.81118/114898.8878*100)</f>
        <v>110.90082212266637</v>
      </c>
      <c r="D48" s="73">
        <f>IF(114898.8878="","-",114898.8878/920807.43432*100)</f>
        <v>12.478058225588805</v>
      </c>
      <c r="E48" s="73">
        <f>IF(127423.81118="","-",127423.81118/1290328.17958*100)</f>
        <v>9.8753025157891443</v>
      </c>
      <c r="F48" s="73">
        <f>IF(OR(864616.67853="",92725.44566="",114898.8878=""),"-",(114898.8878-92725.44566)/864616.67853*100)</f>
        <v>2.5645401818640301</v>
      </c>
      <c r="G48" s="73">
        <f>IF(OR(920807.43432="",127423.81118="",114898.8878=""),"-",(127423.81118-114898.8878)/920807.43432*100)</f>
        <v>1.3602109315341748</v>
      </c>
    </row>
    <row r="49" spans="1:7" s="7" customFormat="1" x14ac:dyDescent="0.25">
      <c r="A49" s="93" t="s">
        <v>55</v>
      </c>
      <c r="B49" s="19">
        <f>IF(78930.32647="","-",78930.32647)</f>
        <v>78930.32647</v>
      </c>
      <c r="C49" s="73">
        <f>IF(OR(69466.32473="",78930.32647=""),"-",78930.32647/69466.32473*100)</f>
        <v>113.6238699496259</v>
      </c>
      <c r="D49" s="73">
        <f>IF(69466.32473="","-",69466.32473/920807.43432*100)</f>
        <v>7.544066450907799</v>
      </c>
      <c r="E49" s="73">
        <f>IF(78930.32647="","-",78930.32647/1290328.17958*100)</f>
        <v>6.1170737583745334</v>
      </c>
      <c r="F49" s="73">
        <f>IF(OR(864616.67853="",63030.98079="",69466.32473=""),"-",(69466.32473-63030.98079)/864616.67853*100)</f>
        <v>0.74430023151313762</v>
      </c>
      <c r="G49" s="73">
        <f>IF(OR(920807.43432="",78930.32647="",69466.32473=""),"-",(78930.32647-69466.32473)/920807.43432*100)</f>
        <v>1.0277938021850361</v>
      </c>
    </row>
    <row r="50" spans="1:7" s="7" customFormat="1" x14ac:dyDescent="0.25">
      <c r="A50" s="93" t="s">
        <v>18</v>
      </c>
      <c r="B50" s="19">
        <f>IF(16484.08484="","-",16484.08484)</f>
        <v>16484.08484</v>
      </c>
      <c r="C50" s="73" t="s">
        <v>101</v>
      </c>
      <c r="D50" s="73">
        <f>IF(10208.36235="","-",10208.36235/920807.43432*100)</f>
        <v>1.1086316171565984</v>
      </c>
      <c r="E50" s="73">
        <f>IF(16484.08484="","-",16484.08484/1290328.17958*100)</f>
        <v>1.2775110317567073</v>
      </c>
      <c r="F50" s="73">
        <f>IF(OR(864616.67853="",10527.80221="",10208.36235=""),"-",(10208.36235-10527.80221)/864616.67853*100)</f>
        <v>-3.6945835990939271E-2</v>
      </c>
      <c r="G50" s="73">
        <f>IF(OR(920807.43432="",16484.08484="",10208.36235=""),"-",(16484.08484-10208.36235)/920807.43432*100)</f>
        <v>0.68154559314939833</v>
      </c>
    </row>
    <row r="51" spans="1:7" s="7" customFormat="1" x14ac:dyDescent="0.25">
      <c r="A51" s="93" t="s">
        <v>68</v>
      </c>
      <c r="B51" s="19">
        <f>IF(10618.94452="","-",10618.94452)</f>
        <v>10618.944519999999</v>
      </c>
      <c r="C51" s="73">
        <f>IF(OR(7026.79031="",10618.94452=""),"-",10618.94452/7026.79031*100)</f>
        <v>151.12083969387723</v>
      </c>
      <c r="D51" s="73">
        <f>IF(7026.79031="","-",7026.79031/920807.43432*100)</f>
        <v>0.76311181340419576</v>
      </c>
      <c r="E51" s="73">
        <f>IF(10618.94452="","-",10618.94452/1290328.17958*100)</f>
        <v>0.82296462931286607</v>
      </c>
      <c r="F51" s="73">
        <f>IF(OR(864616.67853="",6244.8873="",7026.79031=""),"-",(7026.79031-6244.8873)/864616.67853*100)</f>
        <v>9.0433486817461384E-2</v>
      </c>
      <c r="G51" s="73">
        <f>IF(OR(920807.43432="",10618.94452="",7026.79031=""),"-",(10618.94452-7026.79031)/920807.43432*100)</f>
        <v>0.39010916681539837</v>
      </c>
    </row>
    <row r="52" spans="1:7" s="7" customFormat="1" x14ac:dyDescent="0.25">
      <c r="A52" s="93" t="s">
        <v>35</v>
      </c>
      <c r="B52" s="19">
        <f>IF(10563.55037="","-",10563.55037)</f>
        <v>10563.550370000001</v>
      </c>
      <c r="C52" s="73" t="s">
        <v>199</v>
      </c>
      <c r="D52" s="73">
        <f>IF(5915.58393="","-",5915.58393/920807.43432*100)</f>
        <v>0.64243442325903399</v>
      </c>
      <c r="E52" s="73">
        <f>IF(10563.55037="","-",10563.55037/1290328.17958*100)</f>
        <v>0.81867160131606376</v>
      </c>
      <c r="F52" s="73">
        <f>IF(OR(864616.67853="",5101.05964="",5915.58393=""),"-",(5915.58393-5101.05964)/864616.67853*100)</f>
        <v>9.4206405014628389E-2</v>
      </c>
      <c r="G52" s="73">
        <f>IF(OR(920807.43432="",10563.55037="",5915.58393=""),"-",(10563.55037-5915.58393)/920807.43432*100)</f>
        <v>0.50477073346311996</v>
      </c>
    </row>
    <row r="53" spans="1:7" s="7" customFormat="1" x14ac:dyDescent="0.25">
      <c r="A53" s="93" t="s">
        <v>74</v>
      </c>
      <c r="B53" s="19">
        <f>IF(8595.30172="","-",8595.30172)</f>
        <v>8595.3017199999995</v>
      </c>
      <c r="C53" s="73">
        <f>IF(OR(8310.63451="",8595.30172=""),"-",8595.30172/8310.63451*100)</f>
        <v>103.4253366533863</v>
      </c>
      <c r="D53" s="73">
        <f>IF(8310.63451="","-",8310.63451/920807.43432*100)</f>
        <v>0.90253772941540777</v>
      </c>
      <c r="E53" s="73">
        <f>IF(8595.30172="","-",8595.30172/1290328.17958*100)</f>
        <v>0.66613299283270377</v>
      </c>
      <c r="F53" s="73">
        <f>IF(OR(864616.67853="",8959.11137="",8310.63451=""),"-",(8310.63451-8959.11137)/864616.67853*100)</f>
        <v>-7.5001659822538355E-2</v>
      </c>
      <c r="G53" s="73">
        <f>IF(OR(920807.43432="",8595.30172="",8310.63451=""),"-",(8595.30172-8310.63451)/920807.43432*100)</f>
        <v>3.0914955656306281E-2</v>
      </c>
    </row>
    <row r="54" spans="1:7" s="7" customFormat="1" ht="25.5" x14ac:dyDescent="0.25">
      <c r="A54" s="93" t="s">
        <v>315</v>
      </c>
      <c r="B54" s="19">
        <f>IF(8123.60499="","-",8123.60499)</f>
        <v>8123.6049899999998</v>
      </c>
      <c r="C54" s="73">
        <f>IF(OR(7913.16923="",8123.60499=""),"-",8123.60499/7913.16923*100)</f>
        <v>102.6593107500116</v>
      </c>
      <c r="D54" s="73">
        <f>IF(7913.16923="","-",7913.16923/920807.43432*100)</f>
        <v>0.8593728650598631</v>
      </c>
      <c r="E54" s="73">
        <f>IF(8123.60499="","-",8123.60499/1290328.17958*100)</f>
        <v>0.62957665488203329</v>
      </c>
      <c r="F54" s="73">
        <f>IF(OR(864616.67853="",8518.32224="",7913.16923=""),"-",(7913.16923-8518.32224)/864616.67853*100)</f>
        <v>-6.9990901751845136E-2</v>
      </c>
      <c r="G54" s="73">
        <f>IF(OR(920807.43432="",8123.60499="",7913.16923=""),"-",(8123.60499-7913.16923)/920807.43432*100)</f>
        <v>2.2853394983219536E-2</v>
      </c>
    </row>
    <row r="55" spans="1:7" s="7" customFormat="1" x14ac:dyDescent="0.25">
      <c r="A55" s="93" t="s">
        <v>70</v>
      </c>
      <c r="B55" s="19">
        <f>IF(6386.86227="","-",6386.86227)</f>
        <v>6386.8622699999996</v>
      </c>
      <c r="C55" s="73">
        <f>IF(OR(6609.38797="",6386.86227=""),"-",6386.86227/6609.38797*100)</f>
        <v>96.633187505257013</v>
      </c>
      <c r="D55" s="73">
        <f>IF(6609.38797="","-",6609.38797/920807.43432*100)</f>
        <v>0.71778177756361361</v>
      </c>
      <c r="E55" s="73">
        <f>IF(6386.86227="","-",6386.86227/1290328.17958*100)</f>
        <v>0.4949796781218026</v>
      </c>
      <c r="F55" s="73">
        <f>IF(OR(864616.67853="",4077.12899="",6609.38797=""),"-",(6609.38797-4077.12899)/864616.67853*100)</f>
        <v>0.29287648999615457</v>
      </c>
      <c r="G55" s="73">
        <f>IF(OR(920807.43432="",6386.86227="",6609.38797=""),"-",(6386.86227-6609.38797)/920807.43432*100)</f>
        <v>-2.4166366572000088E-2</v>
      </c>
    </row>
    <row r="56" spans="1:7" s="7" customFormat="1" x14ac:dyDescent="0.25">
      <c r="A56" s="93" t="s">
        <v>314</v>
      </c>
      <c r="B56" s="19">
        <f>IF(5103.51294="","-",5103.51294)</f>
        <v>5103.5129399999996</v>
      </c>
      <c r="C56" s="73">
        <f>IF(OR(5253.22755="",5103.51294=""),"-",5103.51294/5253.22755*100)</f>
        <v>97.150045213632524</v>
      </c>
      <c r="D56" s="73">
        <f>IF(5253.22755="","-",5253.22755/920807.43432*100)</f>
        <v>0.57050229550757425</v>
      </c>
      <c r="E56" s="73">
        <f>IF(5103.51294="","-",5103.51294/1290328.17958*100)</f>
        <v>0.39552053661737324</v>
      </c>
      <c r="F56" s="73">
        <f>IF(OR(864616.67853="",3745.29468="",5253.22755=""),"-",(5253.22755-3745.29468)/864616.67853*100)</f>
        <v>0.17440478624166145</v>
      </c>
      <c r="G56" s="73">
        <f>IF(OR(920807.43432="",5103.51294="",5253.22755=""),"-",(5103.51294-5253.22755)/920807.43432*100)</f>
        <v>-1.6259057477154448E-2</v>
      </c>
    </row>
    <row r="57" spans="1:7" s="7" customFormat="1" x14ac:dyDescent="0.25">
      <c r="A57" s="93" t="s">
        <v>65</v>
      </c>
      <c r="B57" s="19">
        <f>IF(4433.89257="","-",4433.89257)</f>
        <v>4433.89257</v>
      </c>
      <c r="C57" s="73">
        <f>IF(OR(3686.81747="",4433.89257=""),"-",4433.89257/3686.81747*100)</f>
        <v>120.26341434256034</v>
      </c>
      <c r="D57" s="73">
        <f>IF(3686.81747="","-",3686.81747/920807.43432*100)</f>
        <v>0.40038962899150027</v>
      </c>
      <c r="E57" s="73">
        <f>IF(4433.89257="","-",4433.89257/1290328.17958*100)</f>
        <v>0.34362518312536783</v>
      </c>
      <c r="F57" s="73">
        <f>IF(OR(864616.67853="",3855.0361="",3686.81747=""),"-",(3686.81747-3855.0361)/864616.67853*100)</f>
        <v>-1.9455862254010761E-2</v>
      </c>
      <c r="G57" s="73">
        <f>IF(OR(920807.43432="",4433.89257="",3686.81747=""),"-",(4433.89257-3686.81747)/920807.43432*100)</f>
        <v>8.1132609507187758E-2</v>
      </c>
    </row>
    <row r="58" spans="1:7" s="7" customFormat="1" x14ac:dyDescent="0.25">
      <c r="A58" s="93" t="s">
        <v>77</v>
      </c>
      <c r="B58" s="19">
        <f>IF(4079.45396="","-",4079.45396)</f>
        <v>4079.4539599999998</v>
      </c>
      <c r="C58" s="73">
        <f>IF(OR(4149.92432="",4079.45396=""),"-",4079.45396/4149.92432*100)</f>
        <v>98.301888069129888</v>
      </c>
      <c r="D58" s="73">
        <f>IF(4149.92432="","-",4149.92432/920807.43432*100)</f>
        <v>0.45068319013569275</v>
      </c>
      <c r="E58" s="73">
        <f>IF(4079.45396="","-",4079.45396/1290328.17958*100)</f>
        <v>0.31615631004260142</v>
      </c>
      <c r="F58" s="73">
        <f>IF(OR(864616.67853="",3522.95338="",4149.92432=""),"-",(4149.92432-3522.95338)/864616.67853*100)</f>
        <v>7.2514324043107828E-2</v>
      </c>
      <c r="G58" s="73">
        <f>IF(OR(920807.43432="",4079.45396="",4149.92432=""),"-",(4079.45396-4149.92432)/920807.43432*100)</f>
        <v>-7.6531050221202183E-3</v>
      </c>
    </row>
    <row r="59" spans="1:7" s="7" customFormat="1" x14ac:dyDescent="0.25">
      <c r="A59" s="93" t="s">
        <v>343</v>
      </c>
      <c r="B59" s="19">
        <f>IF(2989.16897="","-",2989.16897)</f>
        <v>2989.1689700000002</v>
      </c>
      <c r="C59" s="73">
        <f>IF(OR(2658.74773="",2989.16897=""),"-",2989.16897/2658.74773*100)</f>
        <v>112.42770181885591</v>
      </c>
      <c r="D59" s="73">
        <f>IF(2658.74773="","-",2658.74773/920807.43432*100)</f>
        <v>0.28874090617691833</v>
      </c>
      <c r="E59" s="73">
        <f>IF(2989.16897="","-",2989.16897/1290328.17958*100)</f>
        <v>0.23165958996361458</v>
      </c>
      <c r="F59" s="73">
        <f>IF(OR(864616.67853="",2430.26613="",2658.74773=""),"-",(2658.74773-2430.26613)/864616.67853*100)</f>
        <v>2.6425768282478525E-2</v>
      </c>
      <c r="G59" s="73">
        <f>IF(OR(920807.43432="",2989.16897="",2658.74773=""),"-",(2989.16897-2658.74773)/920807.43432*100)</f>
        <v>3.5883858848729903E-2</v>
      </c>
    </row>
    <row r="60" spans="1:7" s="7" customFormat="1" x14ac:dyDescent="0.25">
      <c r="A60" s="93" t="s">
        <v>61</v>
      </c>
      <c r="B60" s="19">
        <f>IF(2438.31458="","-",2438.31458)</f>
        <v>2438.3145800000002</v>
      </c>
      <c r="C60" s="73">
        <f>IF(OR(1646.21949="",2438.31458=""),"-",2438.31458/1646.21949*100)</f>
        <v>148.11600730106775</v>
      </c>
      <c r="D60" s="73">
        <f>IF(1646.21949="","-",1646.21949/920807.43432*100)</f>
        <v>0.17877999553899171</v>
      </c>
      <c r="E60" s="73">
        <f>IF(2438.31458="","-",2438.31458/1290328.17958*100)</f>
        <v>0.18896855998244325</v>
      </c>
      <c r="F60" s="73">
        <f>IF(OR(864616.67853="",1287.60258="",1646.21949=""),"-",(1646.21949-1287.60258)/864616.67853*100)</f>
        <v>4.1476982679736367E-2</v>
      </c>
      <c r="G60" s="73">
        <f>IF(OR(920807.43432="",2438.31458="",1646.21949=""),"-",(2438.31458-1646.21949)/920807.43432*100)</f>
        <v>8.6021795706389848E-2</v>
      </c>
    </row>
    <row r="61" spans="1:7" s="7" customFormat="1" x14ac:dyDescent="0.25">
      <c r="A61" s="93" t="s">
        <v>80</v>
      </c>
      <c r="B61" s="19">
        <f>IF(2182.76469="","-",2182.76469)</f>
        <v>2182.76469</v>
      </c>
      <c r="C61" s="73">
        <f>IF(OR(1429.55284="",2182.76469=""),"-",2182.76469/1429.55284*100)</f>
        <v>152.68863304136417</v>
      </c>
      <c r="D61" s="73">
        <f>IF(1429.55284="","-",1429.55284/920807.43432*100)</f>
        <v>0.15524992378625826</v>
      </c>
      <c r="E61" s="73">
        <f>IF(2182.76469="","-",2182.76469/1290328.17958*100)</f>
        <v>0.16916352944492669</v>
      </c>
      <c r="F61" s="73">
        <f>IF(OR(864616.67853="",1435.36436="",1429.55284=""),"-",(1429.55284-1435.36436)/864616.67853*100)</f>
        <v>-6.7214988379365711E-4</v>
      </c>
      <c r="G61" s="73">
        <f>IF(OR(920807.43432="",2182.76469="",1429.55284=""),"-",(2182.76469-1429.55284)/920807.43432*100)</f>
        <v>8.1799062640739162E-2</v>
      </c>
    </row>
    <row r="62" spans="1:7" s="7" customFormat="1" x14ac:dyDescent="0.25">
      <c r="A62" s="93" t="s">
        <v>72</v>
      </c>
      <c r="B62" s="19">
        <f>IF(2177.53102="","-",2177.53102)</f>
        <v>2177.5310199999999</v>
      </c>
      <c r="C62" s="73">
        <f>IF(OR(1525.63777="",2177.53102=""),"-",2177.53102/1525.63777*100)</f>
        <v>142.72922857697733</v>
      </c>
      <c r="D62" s="73">
        <f>IF(1525.63777="","-",1525.63777/920807.43432*100)</f>
        <v>0.16568477980704582</v>
      </c>
      <c r="E62" s="73">
        <f>IF(2177.53102="","-",2177.53102/1290328.17958*100)</f>
        <v>0.16875792177992913</v>
      </c>
      <c r="F62" s="73">
        <f>IF(OR(864616.67853="",1539.69205="",1525.63777=""),"-",(1525.63777-1539.69205)/864616.67853*100)</f>
        <v>-1.6254925852106858E-3</v>
      </c>
      <c r="G62" s="73">
        <f>IF(OR(920807.43432="",2177.53102="",1525.63777=""),"-",(2177.53102-1525.63777)/920807.43432*100)</f>
        <v>7.0795828281014203E-2</v>
      </c>
    </row>
    <row r="63" spans="1:7" s="7" customFormat="1" x14ac:dyDescent="0.25">
      <c r="A63" s="93" t="s">
        <v>71</v>
      </c>
      <c r="B63" s="19">
        <f>IF(1895.51936="","-",1895.51936)</f>
        <v>1895.51936</v>
      </c>
      <c r="C63" s="73" t="s">
        <v>360</v>
      </c>
      <c r="D63" s="73">
        <f>IF(349.94565="","-",349.94565/920807.43432*100)</f>
        <v>3.8004216403664103E-2</v>
      </c>
      <c r="E63" s="73">
        <f>IF(1895.51936="","-",1895.51936/1290328.17958*100)</f>
        <v>0.14690211296609743</v>
      </c>
      <c r="F63" s="73">
        <f>IF(OR(864616.67853="",551.99712="",349.94565=""),"-",(349.94565-551.99712)/864616.67853*100)</f>
        <v>-2.3368907287738532E-2</v>
      </c>
      <c r="G63" s="73">
        <f>IF(OR(920807.43432="",1895.51936="",349.94565=""),"-",(1895.51936-349.94565)/920807.43432*100)</f>
        <v>0.16784982965970285</v>
      </c>
    </row>
    <row r="64" spans="1:7" s="7" customFormat="1" x14ac:dyDescent="0.25">
      <c r="A64" s="93" t="s">
        <v>60</v>
      </c>
      <c r="B64" s="19">
        <f>IF(1853.75276="","-",1853.75276)</f>
        <v>1853.7527600000001</v>
      </c>
      <c r="C64" s="73">
        <f>IF(OR(2101.96397="",1853.75276=""),"-",1853.75276/2101.96397*100)</f>
        <v>88.191462197137483</v>
      </c>
      <c r="D64" s="73">
        <f>IF(2101.96397="","-",2101.96397/920807.43432*100)</f>
        <v>0.22827400080150992</v>
      </c>
      <c r="E64" s="73">
        <f>IF(1853.75276="","-",1853.75276/1290328.17958*100)</f>
        <v>0.14366521551156031</v>
      </c>
      <c r="F64" s="73">
        <f>IF(OR(864616.67853="",1801.15381="",2101.96397=""),"-",(2101.96397-1801.15381)/864616.67853*100)</f>
        <v>3.4791158610475777E-2</v>
      </c>
      <c r="G64" s="73">
        <f>IF(OR(920807.43432="",1853.75276="",2101.96397=""),"-",(1853.75276-2101.96397)/920807.43432*100)</f>
        <v>-2.6955821678752986E-2</v>
      </c>
    </row>
    <row r="65" spans="1:7" s="7" customFormat="1" x14ac:dyDescent="0.25">
      <c r="A65" s="93" t="s">
        <v>69</v>
      </c>
      <c r="B65" s="19">
        <f>IF(1722.65282="","-",1722.65282)</f>
        <v>1722.65282</v>
      </c>
      <c r="C65" s="73">
        <f>IF(OR(1660.69387="",1722.65282=""),"-",1722.65282/1660.69387*100)</f>
        <v>103.73090737066428</v>
      </c>
      <c r="D65" s="73">
        <f>IF(1660.69387="","-",1660.69387/920807.43432*100)</f>
        <v>0.18035191812133805</v>
      </c>
      <c r="E65" s="73">
        <f>IF(1722.65282="","-",1722.65282/1290328.17958*100)</f>
        <v>0.13350501424844655</v>
      </c>
      <c r="F65" s="73">
        <f>IF(OR(864616.67853="",1853.3526="",1660.69387=""),"-",(1660.69387-1853.3526)/864616.67853*100)</f>
        <v>-2.228255998109515E-2</v>
      </c>
      <c r="G65" s="73">
        <f>IF(OR(920807.43432="",1722.65282="",1660.69387=""),"-",(1722.65282-1660.69387)/920807.43432*100)</f>
        <v>6.7287630063234179E-3</v>
      </c>
    </row>
    <row r="66" spans="1:7" s="7" customFormat="1" x14ac:dyDescent="0.25">
      <c r="A66" s="93" t="s">
        <v>73</v>
      </c>
      <c r="B66" s="19">
        <f>IF(1647.79695="","-",1647.79695)</f>
        <v>1647.7969499999999</v>
      </c>
      <c r="C66" s="73" t="s">
        <v>280</v>
      </c>
      <c r="D66" s="73">
        <f>IF(642.96269="","-",642.96269/920807.43432*100)</f>
        <v>6.9825966432907491E-2</v>
      </c>
      <c r="E66" s="73">
        <f>IF(1647.79695="","-",1647.79695/1290328.17958*100)</f>
        <v>0.12770370949632021</v>
      </c>
      <c r="F66" s="73">
        <f>IF(OR(864616.67853="",1355.03116="",642.96269=""),"-",(642.96269-1355.03116)/864616.67853*100)</f>
        <v>-8.2356550328249664E-2</v>
      </c>
      <c r="G66" s="73">
        <f>IF(OR(920807.43432="",1647.79695="",642.96269=""),"-",(1647.79695-642.96269)/920807.43432*100)</f>
        <v>0.10912534179766395</v>
      </c>
    </row>
    <row r="67" spans="1:7" s="7" customFormat="1" x14ac:dyDescent="0.25">
      <c r="A67" s="93" t="s">
        <v>76</v>
      </c>
      <c r="B67" s="19">
        <f>IF(1633.72194="","-",1633.72194)</f>
        <v>1633.7219399999999</v>
      </c>
      <c r="C67" s="73">
        <f>IF(OR(1742.42111="",1633.72194=""),"-",1633.72194/1742.42111*100)</f>
        <v>93.761601637161064</v>
      </c>
      <c r="D67" s="73">
        <f>IF(1742.42111="","-",1742.42111/920807.43432*100)</f>
        <v>0.18922752413339788</v>
      </c>
      <c r="E67" s="73">
        <f>IF(1633.72194="","-",1633.72194/1290328.17958*100)</f>
        <v>0.12661290095452879</v>
      </c>
      <c r="F67" s="73">
        <f>IF(OR(864616.67853="",1833.32689="",1742.42111=""),"-",(1742.42111-1833.32689)/864616.67853*100)</f>
        <v>-1.0513997966654521E-2</v>
      </c>
      <c r="G67" s="73">
        <f>IF(OR(920807.43432="",1633.72194="",1742.42111=""),"-",(1633.72194-1742.42111)/920807.43432*100)</f>
        <v>-1.1804766767578556E-2</v>
      </c>
    </row>
    <row r="68" spans="1:7" s="7" customFormat="1" x14ac:dyDescent="0.25">
      <c r="A68" s="93" t="s">
        <v>81</v>
      </c>
      <c r="B68" s="19">
        <f>IF(1383.35564="","-",1383.35564)</f>
        <v>1383.35564</v>
      </c>
      <c r="C68" s="73">
        <f>IF(OR(1201.67074="",1383.35564=""),"-",1383.35564/1201.67074*100)</f>
        <v>115.11935790331384</v>
      </c>
      <c r="D68" s="73">
        <f>IF(1201.67074="","-",1201.67074/920807.43432*100)</f>
        <v>0.13050185035565146</v>
      </c>
      <c r="E68" s="73">
        <f>IF(1383.35564="","-",1383.35564/1290328.17958*100)</f>
        <v>0.10720959689885098</v>
      </c>
      <c r="F68" s="73">
        <f>IF(OR(864616.67853="",1199.04432="",1201.67074=""),"-",(1201.67074-1199.04432)/864616.67853*100)</f>
        <v>3.0376698312891993E-4</v>
      </c>
      <c r="G68" s="73">
        <f>IF(OR(920807.43432="",1383.35564="",1201.67074=""),"-",(1383.35564-1201.67074)/920807.43432*100)</f>
        <v>1.9731041825717995E-2</v>
      </c>
    </row>
    <row r="69" spans="1:7" s="7" customFormat="1" x14ac:dyDescent="0.25">
      <c r="A69" s="93" t="s">
        <v>64</v>
      </c>
      <c r="B69" s="19">
        <f>IF(1319.89513="","-",1319.89513)</f>
        <v>1319.8951300000001</v>
      </c>
      <c r="C69" s="73">
        <f>IF(OR(1065.66779="",1319.89513=""),"-",1319.89513/1065.66779*100)</f>
        <v>123.85615314506222</v>
      </c>
      <c r="D69" s="73">
        <f>IF(1065.66779="","-",1065.66779/920807.43432*100)</f>
        <v>0.11573188380988439</v>
      </c>
      <c r="E69" s="73">
        <f>IF(1319.89513="","-",1319.89513/1290328.17958*100)</f>
        <v>0.10229142871464098</v>
      </c>
      <c r="F69" s="73">
        <f>IF(OR(864616.67853="",1103.75143="",1065.66779=""),"-",(1065.66779-1103.75143)/864616.67853*100)</f>
        <v>-4.4046848673737048E-3</v>
      </c>
      <c r="G69" s="73">
        <f>IF(OR(920807.43432="",1319.89513="",1065.66779=""),"-",(1319.89513-1065.66779)/920807.43432*100)</f>
        <v>2.7609175439351499E-2</v>
      </c>
    </row>
    <row r="70" spans="1:7" s="7" customFormat="1" x14ac:dyDescent="0.25">
      <c r="A70" s="93" t="s">
        <v>82</v>
      </c>
      <c r="B70" s="19">
        <f>IF(1302.30848="","-",1302.30848)</f>
        <v>1302.3084799999999</v>
      </c>
      <c r="C70" s="73" t="s">
        <v>101</v>
      </c>
      <c r="D70" s="73">
        <f>IF(827.81553="","-",827.81553/920807.43432*100)</f>
        <v>8.9901047618205554E-2</v>
      </c>
      <c r="E70" s="73">
        <f>IF(1302.30848="","-",1302.30848/1290328.17958*100)</f>
        <v>0.10092846925375989</v>
      </c>
      <c r="F70" s="73">
        <f>IF(OR(864616.67853="",958.00956="",827.81553=""),"-",(827.81553-958.00956)/864616.67853*100)</f>
        <v>-1.5058005846169042E-2</v>
      </c>
      <c r="G70" s="73">
        <f>IF(OR(920807.43432="",1302.30848="",827.81553=""),"-",(1302.30848-827.81553)/920807.43432*100)</f>
        <v>5.1530095470005033E-2</v>
      </c>
    </row>
    <row r="71" spans="1:7" s="7" customFormat="1" x14ac:dyDescent="0.25">
      <c r="A71" s="93" t="s">
        <v>67</v>
      </c>
      <c r="B71" s="19">
        <f>IF(1227.47056="","-",1227.47056)</f>
        <v>1227.47056</v>
      </c>
      <c r="C71" s="73">
        <f>IF(OR(1029.04221="",1227.47056=""),"-",1227.47056/1029.04221*100)</f>
        <v>119.28281931214464</v>
      </c>
      <c r="D71" s="73">
        <f>IF(1029.04221="","-",1029.04221/920807.43432*100)</f>
        <v>0.11175433338675525</v>
      </c>
      <c r="E71" s="73">
        <f>IF(1227.47056="","-",1227.47056/1290328.17958*100)</f>
        <v>9.512855562059723E-2</v>
      </c>
      <c r="F71" s="73">
        <f>IF(OR(864616.67853="",841.80847="",1029.04221=""),"-",(1029.04221-841.80847)/864616.67853*100)</f>
        <v>2.1655115457445282E-2</v>
      </c>
      <c r="G71" s="73">
        <f>IF(OR(920807.43432="",1227.47056="",1029.04221=""),"-",(1227.47056-1029.04221)/920807.43432*100)</f>
        <v>2.1549386180459734E-2</v>
      </c>
    </row>
    <row r="72" spans="1:7" s="7" customFormat="1" x14ac:dyDescent="0.25">
      <c r="A72" s="93" t="s">
        <v>83</v>
      </c>
      <c r="B72" s="19">
        <f>IF(733.93011="","-",733.93011)</f>
        <v>733.93011000000001</v>
      </c>
      <c r="C72" s="73">
        <f>IF(OR(1311.00007="",733.93011=""),"-",733.93011/1311.00007*100)</f>
        <v>55.982461541744996</v>
      </c>
      <c r="D72" s="73">
        <f>IF(1311.00007="","-",1311.00007/920807.43432*100)</f>
        <v>0.14237505271318213</v>
      </c>
      <c r="E72" s="73">
        <f>IF(733.93011="","-",733.93011/1290328.17958*100)</f>
        <v>5.6879336715632549E-2</v>
      </c>
      <c r="F72" s="73">
        <f>IF(OR(864616.67853="",922.14014="",1311.00007=""),"-",(1311.00007-922.14014)/864616.67853*100)</f>
        <v>4.4974835630181238E-2</v>
      </c>
      <c r="G72" s="73">
        <f>IF(OR(920807.43432="",733.93011="",1311.00007=""),"-",(733.93011-1311.00007)/920807.43432*100)</f>
        <v>-6.2669993582985778E-2</v>
      </c>
    </row>
    <row r="73" spans="1:7" s="7" customFormat="1" x14ac:dyDescent="0.25">
      <c r="A73" s="93" t="s">
        <v>88</v>
      </c>
      <c r="B73" s="19">
        <f>IF(717.66165="","-",717.66165)</f>
        <v>717.66165000000001</v>
      </c>
      <c r="C73" s="73">
        <f>IF(OR(724.42749="",717.66165=""),"-",717.66165/724.42749*100)</f>
        <v>99.066043172933703</v>
      </c>
      <c r="D73" s="73">
        <f>IF(724.42749="","-",724.42749/920807.43432*100)</f>
        <v>7.8673071371863634E-2</v>
      </c>
      <c r="E73" s="73">
        <f>IF(717.66165="","-",717.66165/1290328.17958*100)</f>
        <v>5.5618536536464536E-2</v>
      </c>
      <c r="F73" s="73">
        <f>IF(OR(864616.67853="",295.86094="",724.42749=""),"-",(724.42749-295.86094)/864616.67853*100)</f>
        <v>4.9567231426606101E-2</v>
      </c>
      <c r="G73" s="73">
        <f>IF(OR(920807.43432="",717.66165="",724.42749=""),"-",(717.66165-724.42749)/920807.43432*100)</f>
        <v>-7.3477252114026198E-4</v>
      </c>
    </row>
    <row r="74" spans="1:7" s="7" customFormat="1" x14ac:dyDescent="0.25">
      <c r="A74" s="93" t="s">
        <v>62</v>
      </c>
      <c r="B74" s="19">
        <f>IF(657.83041="","-",657.83041)</f>
        <v>657.83041000000003</v>
      </c>
      <c r="C74" s="73">
        <f>IF(OR(874.29389="",657.83041=""),"-",657.83041/874.29389*100)</f>
        <v>75.241336754623774</v>
      </c>
      <c r="D74" s="73">
        <f>IF(874.29389="","-",874.29389/920807.43432*100)</f>
        <v>9.4948613294553882E-2</v>
      </c>
      <c r="E74" s="73">
        <f>IF(657.83041="","-",657.83041/1290328.17958*100)</f>
        <v>5.0981635556787024E-2</v>
      </c>
      <c r="F74" s="73">
        <f>IF(OR(864616.67853="",1290.3792="",874.29389=""),"-",(874.29389-1290.3792)/864616.67853*100)</f>
        <v>-4.8123673800442759E-2</v>
      </c>
      <c r="G74" s="73">
        <f>IF(OR(920807.43432="",657.83041="",874.29389=""),"-",(657.83041-874.29389)/920807.43432*100)</f>
        <v>-2.3508007421753109E-2</v>
      </c>
    </row>
    <row r="75" spans="1:7" s="7" customFormat="1" x14ac:dyDescent="0.25">
      <c r="A75" s="93" t="s">
        <v>78</v>
      </c>
      <c r="B75" s="19">
        <f>IF(619.84112="","-",619.84112)</f>
        <v>619.84112000000005</v>
      </c>
      <c r="C75" s="73">
        <f>IF(OR(652.29036="",619.84112=""),"-",619.84112/652.29036*100)</f>
        <v>95.025338102497798</v>
      </c>
      <c r="D75" s="73">
        <f>IF(652.29036="","-",652.29036/920807.43432*100)</f>
        <v>7.0838954561841139E-2</v>
      </c>
      <c r="E75" s="73">
        <f>IF(619.84112="","-",619.84112/1290328.17958*100)</f>
        <v>4.8037478356998869E-2</v>
      </c>
      <c r="F75" s="73">
        <f>IF(OR(864616.67853="",1358.33336="",652.29036=""),"-",(652.29036-1358.33336)/864616.67853*100)</f>
        <v>-8.1659655374725942E-2</v>
      </c>
      <c r="G75" s="73">
        <f>IF(OR(920807.43432="",619.84112="",652.29036=""),"-",(619.84112-652.29036)/920807.43432*100)</f>
        <v>-3.5239984811768063E-3</v>
      </c>
    </row>
    <row r="76" spans="1:7" s="7" customFormat="1" x14ac:dyDescent="0.25">
      <c r="A76" s="93" t="s">
        <v>86</v>
      </c>
      <c r="B76" s="19">
        <f>IF(589.55379="","-",589.55379)</f>
        <v>589.55379000000005</v>
      </c>
      <c r="C76" s="73" t="s">
        <v>100</v>
      </c>
      <c r="D76" s="73">
        <f>IF(356.99907="","-",356.99907/920807.43432*100)</f>
        <v>3.8770220210443622E-2</v>
      </c>
      <c r="E76" s="73">
        <f>IF(589.55379="","-",589.55379/1290328.17958*100)</f>
        <v>4.5690220467160453E-2</v>
      </c>
      <c r="F76" s="73">
        <f>IF(OR(864616.67853="",286.66481="",356.99907=""),"-",(356.99907-286.66481)/864616.67853*100)</f>
        <v>8.1347331998707917E-3</v>
      </c>
      <c r="G76" s="73">
        <f>IF(OR(920807.43432="",589.55379="",356.99907=""),"-",(589.55379-356.99907)/920807.43432*100)</f>
        <v>2.52555215490563E-2</v>
      </c>
    </row>
    <row r="77" spans="1:7" s="7" customFormat="1" x14ac:dyDescent="0.25">
      <c r="A77" s="93" t="s">
        <v>38</v>
      </c>
      <c r="B77" s="19">
        <f>IF(507.71593="","-",507.71593)</f>
        <v>507.71593000000001</v>
      </c>
      <c r="C77" s="73">
        <f>IF(OR(385.46187="",507.71593=""),"-",507.71593/385.46187*100)</f>
        <v>131.71625250507915</v>
      </c>
      <c r="D77" s="73">
        <f>IF(385.46187="","-",385.46187/920807.43432*100)</f>
        <v>4.186128995414299E-2</v>
      </c>
      <c r="E77" s="73">
        <f>IF(507.71593="","-",507.71593/1290328.17958*100)</f>
        <v>3.9347813837969564E-2</v>
      </c>
      <c r="F77" s="73">
        <f>IF(OR(864616.67853="",468.59148="",385.46187=""),"-",(385.46187-468.59148)/864616.67853*100)</f>
        <v>-9.614620220065026E-3</v>
      </c>
      <c r="G77" s="73">
        <f>IF(OR(920807.43432="",507.71593="",385.46187=""),"-",(507.71593-385.46187)/920807.43432*100)</f>
        <v>1.3276832423739334E-2</v>
      </c>
    </row>
    <row r="78" spans="1:7" s="7" customFormat="1" x14ac:dyDescent="0.25">
      <c r="A78" s="93" t="s">
        <v>79</v>
      </c>
      <c r="B78" s="19">
        <f>IF(489.29669="","-",489.29669)</f>
        <v>489.29669000000001</v>
      </c>
      <c r="C78" s="73" t="s">
        <v>323</v>
      </c>
      <c r="D78" s="73">
        <f>IF(142.47391="","-",142.47391/920807.43432*100)</f>
        <v>1.5472714998789562E-2</v>
      </c>
      <c r="E78" s="73">
        <f>IF(489.29669="","-",489.29669/1290328.17958*100)</f>
        <v>3.792032893207567E-2</v>
      </c>
      <c r="F78" s="73">
        <f>IF(OR(864616.67853="",624.78585="",142.47391=""),"-",(142.47391-624.78585)/864616.67853*100)</f>
        <v>-5.5783325949716224E-2</v>
      </c>
      <c r="G78" s="73">
        <f>IF(OR(920807.43432="",489.29669="",142.47391=""),"-",(489.29669-142.47391)/920807.43432*100)</f>
        <v>3.7665071661386239E-2</v>
      </c>
    </row>
    <row r="79" spans="1:7" s="7" customFormat="1" x14ac:dyDescent="0.25">
      <c r="A79" s="93" t="s">
        <v>87</v>
      </c>
      <c r="B79" s="19">
        <f>IF(457.87525="","-",457.87525)</f>
        <v>457.87524999999999</v>
      </c>
      <c r="C79" s="73">
        <f>IF(OR(411.58211="",457.87525=""),"-",457.87525/411.58211*100)</f>
        <v>111.24760743366615</v>
      </c>
      <c r="D79" s="73">
        <f>IF(411.58211="","-",411.58211/920807.43432*100)</f>
        <v>4.469795688649561E-2</v>
      </c>
      <c r="E79" s="73">
        <f>IF(457.87525="","-",457.87525/1290328.17958*100)</f>
        <v>3.5485177898620934E-2</v>
      </c>
      <c r="F79" s="73">
        <f>IF(OR(864616.67853="",277.67454="",411.58211=""),"-",(411.58211-277.67454)/864616.67853*100)</f>
        <v>1.5487507160706914E-2</v>
      </c>
      <c r="G79" s="73">
        <f>IF(OR(920807.43432="",457.87525="",411.58211=""),"-",(457.87525-411.58211)/920807.43432*100)</f>
        <v>5.0274507214623718E-3</v>
      </c>
    </row>
    <row r="80" spans="1:7" s="7" customFormat="1" x14ac:dyDescent="0.25">
      <c r="A80" s="93" t="s">
        <v>91</v>
      </c>
      <c r="B80" s="19">
        <f>IF(411.48322="","-",411.48322)</f>
        <v>411.48322000000002</v>
      </c>
      <c r="C80" s="73" t="s">
        <v>327</v>
      </c>
      <c r="D80" s="73">
        <f>IF(103.09831="","-",103.09831/920807.43432*100)</f>
        <v>1.1196511469972685E-2</v>
      </c>
      <c r="E80" s="73">
        <f>IF(411.48322="","-",411.48322/1290328.17958*100)</f>
        <v>3.1889811174544543E-2</v>
      </c>
      <c r="F80" s="73">
        <f>IF(OR(864616.67853="",257.92198="",103.09831=""),"-",(103.09831-257.92198)/864616.67853*100)</f>
        <v>-1.7906625426567922E-2</v>
      </c>
      <c r="G80" s="73">
        <f>IF(OR(920807.43432="",411.48322="",103.09831=""),"-",(411.48322-103.09831)/920807.43432*100)</f>
        <v>3.3490705928947762E-2</v>
      </c>
    </row>
    <row r="81" spans="1:7" s="7" customFormat="1" x14ac:dyDescent="0.25">
      <c r="A81" s="93" t="s">
        <v>319</v>
      </c>
      <c r="B81" s="19">
        <f>IF(356.26058="","-",356.26058)</f>
        <v>356.26058</v>
      </c>
      <c r="C81" s="73">
        <f>IF(OR(229.07848="",356.26058=""),"-",356.26058/229.07848*100)</f>
        <v>155.51900815825212</v>
      </c>
      <c r="D81" s="73">
        <f>IF(229.07848="","-",229.07848/920807.43432*100)</f>
        <v>2.4878000704802127E-2</v>
      </c>
      <c r="E81" s="73">
        <f>IF(356.26058="","-",356.26058/1290328.17958*100)</f>
        <v>2.7610075145065988E-2</v>
      </c>
      <c r="F81" s="73">
        <f>IF(OR(864616.67853="",204.19728="",229.07848=""),"-",(229.07848-204.19728)/864616.67853*100)</f>
        <v>2.8777145546512485E-3</v>
      </c>
      <c r="G81" s="73">
        <f>IF(OR(920807.43432="",356.26058="",229.07848=""),"-",(356.26058-229.07848)/920807.43432*100)</f>
        <v>1.3812019240909119E-2</v>
      </c>
    </row>
    <row r="82" spans="1:7" s="7" customFormat="1" x14ac:dyDescent="0.25">
      <c r="A82" s="93" t="s">
        <v>316</v>
      </c>
      <c r="B82" s="19">
        <f>IF(330.98001="","-",330.98001)</f>
        <v>330.98000999999999</v>
      </c>
      <c r="C82" s="73" t="s">
        <v>305</v>
      </c>
      <c r="D82" s="73">
        <f>IF(89.53087="","-",89.53087/920807.43432*100)</f>
        <v>9.7230828795509192E-3</v>
      </c>
      <c r="E82" s="73">
        <f>IF(330.98001="","-",330.98001/1290328.17958*100)</f>
        <v>2.5650839471531461E-2</v>
      </c>
      <c r="F82" s="73">
        <f>IF(OR(864616.67853="",70.49428="",89.53087=""),"-",(89.53087-70.49428)/864616.67853*100)</f>
        <v>2.2017375413536473E-3</v>
      </c>
      <c r="G82" s="73">
        <f>IF(OR(920807.43432="",330.98001="",89.53087=""),"-",(330.98001-89.53087)/920807.43432*100)</f>
        <v>2.622145858089275E-2</v>
      </c>
    </row>
    <row r="83" spans="1:7" s="7" customFormat="1" x14ac:dyDescent="0.25">
      <c r="A83" s="93" t="s">
        <v>85</v>
      </c>
      <c r="B83" s="19">
        <f>IF(309.47857="","-",309.47857)</f>
        <v>309.47856999999999</v>
      </c>
      <c r="C83" s="73">
        <f>IF(OR(484.29581="",309.47857=""),"-",309.47857/484.29581*100)</f>
        <v>63.902797341979891</v>
      </c>
      <c r="D83" s="73">
        <f>IF(484.29581="","-",484.29581/920807.43432*100)</f>
        <v>5.2594689394275349E-2</v>
      </c>
      <c r="E83" s="73">
        <f>IF(309.47857="","-",309.47857/1290328.17958*100)</f>
        <v>2.398448510213385E-2</v>
      </c>
      <c r="F83" s="73">
        <f>IF(OR(864616.67853="",301.87263="",484.29581=""),"-",(484.29581-301.87263)/864616.67853*100)</f>
        <v>2.1098734795418402E-2</v>
      </c>
      <c r="G83" s="73">
        <f>IF(OR(920807.43432="",309.47857="",484.29581=""),"-",(309.47857-484.29581)/920807.43432*100)</f>
        <v>-1.8985211618007782E-2</v>
      </c>
    </row>
    <row r="84" spans="1:7" s="7" customFormat="1" x14ac:dyDescent="0.25">
      <c r="A84" s="93" t="s">
        <v>94</v>
      </c>
      <c r="B84" s="19">
        <f>IF(303.88784="","-",303.88784)</f>
        <v>303.88783999999998</v>
      </c>
      <c r="C84" s="73">
        <f>IF(OR(200.48146="",303.88784=""),"-",303.88784/200.48146*100)</f>
        <v>151.57902381596782</v>
      </c>
      <c r="D84" s="73">
        <f>IF(200.48146="","-",200.48146/920807.43432*100)</f>
        <v>2.1772354623532338E-2</v>
      </c>
      <c r="E84" s="73">
        <f>IF(303.88784="","-",303.88784/1290328.17958*100)</f>
        <v>2.3551205407210049E-2</v>
      </c>
      <c r="F84" s="73">
        <f>IF(OR(864616.67853="",150.03282="",200.48146=""),"-",(200.48146-150.03282)/864616.67853*100)</f>
        <v>5.8347983855425445E-3</v>
      </c>
      <c r="G84" s="73">
        <f>IF(OR(920807.43432="",303.88784="",200.48146=""),"-",(303.88784-200.48146)/920807.43432*100)</f>
        <v>1.1229967976568713E-2</v>
      </c>
    </row>
    <row r="85" spans="1:7" s="7" customFormat="1" x14ac:dyDescent="0.25">
      <c r="A85" s="93" t="s">
        <v>138</v>
      </c>
      <c r="B85" s="19">
        <f>IF(261.60083="","-",261.60083)</f>
        <v>261.60082999999997</v>
      </c>
      <c r="C85" s="73" t="s">
        <v>100</v>
      </c>
      <c r="D85" s="73">
        <f>IF(156.8814="","-",156.8814/920807.43432*100)</f>
        <v>1.7037373304425389E-2</v>
      </c>
      <c r="E85" s="73">
        <f>IF(261.60083="","-",261.60083/1290328.17958*100)</f>
        <v>2.0273976352678795E-2</v>
      </c>
      <c r="F85" s="73">
        <f>IF(OR(864616.67853="",174.51585="",156.8814=""),"-",(156.8814-174.51585)/864616.67853*100)</f>
        <v>-2.039568566960985E-3</v>
      </c>
      <c r="G85" s="73">
        <f>IF(OR(920807.43432="",261.60083="",156.8814=""),"-",(261.60083-156.8814)/920807.43432*100)</f>
        <v>1.1372565652375885E-2</v>
      </c>
    </row>
    <row r="86" spans="1:7" s="7" customFormat="1" x14ac:dyDescent="0.25">
      <c r="A86" s="93" t="s">
        <v>99</v>
      </c>
      <c r="B86" s="19">
        <f>IF(249.01111="","-",249.01111)</f>
        <v>249.01111</v>
      </c>
      <c r="C86" s="73">
        <f>IF(OR(169.19177="",249.01111=""),"-",249.01111/169.19177*100)</f>
        <v>147.17684554041844</v>
      </c>
      <c r="D86" s="73">
        <f>IF(169.19177="","-",169.19177/920807.43432*100)</f>
        <v>1.8374283666046324E-2</v>
      </c>
      <c r="E86" s="73">
        <f>IF(249.01111="","-",249.01111/1290328.17958*100)</f>
        <v>1.9298277286407303E-2</v>
      </c>
      <c r="F86" s="73">
        <f>IF(OR(864616.67853="",55.1877="",169.19177=""),"-",(169.19177-55.1877)/864616.67853*100)</f>
        <v>1.3185504377943172E-2</v>
      </c>
      <c r="G86" s="73">
        <f>IF(OR(920807.43432="",249.01111="",169.19177=""),"-",(249.01111-169.19177)/920807.43432*100)</f>
        <v>8.6684074242890079E-3</v>
      </c>
    </row>
    <row r="87" spans="1:7" s="7" customFormat="1" x14ac:dyDescent="0.25">
      <c r="A87" s="93" t="s">
        <v>123</v>
      </c>
      <c r="B87" s="19">
        <f>IF(241.95475="","-",241.95475)</f>
        <v>241.95474999999999</v>
      </c>
      <c r="C87" s="73">
        <f>IF(OR(551.76763="",241.95475=""),"-",241.95475/551.76763*100)</f>
        <v>43.850841703055316</v>
      </c>
      <c r="D87" s="73">
        <f>IF(551.76763="","-",551.76763/920807.43432*100)</f>
        <v>5.992215195433024E-2</v>
      </c>
      <c r="E87" s="73">
        <f>IF(241.95475="","-",241.95475/1290328.17958*100)</f>
        <v>1.8751411759352254E-2</v>
      </c>
      <c r="F87" s="73">
        <f>IF(OR(864616.67853="",30.63145="",551.76763=""),"-",(551.76763-30.63145)/864616.67853*100)</f>
        <v>6.027366727253318E-2</v>
      </c>
      <c r="G87" s="73">
        <f>IF(OR(920807.43432="",241.95475="",551.76763=""),"-",(241.95475-551.76763)/920807.43432*100)</f>
        <v>-3.3645783955772619E-2</v>
      </c>
    </row>
    <row r="88" spans="1:7" s="7" customFormat="1" x14ac:dyDescent="0.25">
      <c r="A88" s="93" t="s">
        <v>84</v>
      </c>
      <c r="B88" s="19">
        <f>IF(216.49104="","-",216.49104)</f>
        <v>216.49104</v>
      </c>
      <c r="C88" s="73">
        <f>IF(OR(523.86957="",216.49104=""),"-",216.49104/523.86957*100)</f>
        <v>41.32537035888533</v>
      </c>
      <c r="D88" s="73">
        <f>IF(523.86957="","-",523.86957/920807.43432*100)</f>
        <v>5.6892413166371572E-2</v>
      </c>
      <c r="E88" s="73">
        <f>IF(216.49104="","-",216.49104/1290328.17958*100)</f>
        <v>1.6777982797404885E-2</v>
      </c>
      <c r="F88" s="73">
        <f>IF(OR(864616.67853="",587.99936="",523.86957=""),"-",(523.86957-587.99936)/864616.67853*100)</f>
        <v>-7.4171354303541725E-3</v>
      </c>
      <c r="G88" s="73">
        <f>IF(OR(920807.43432="",216.49104="",523.86957=""),"-",(216.49104-523.86957)/920807.43432*100)</f>
        <v>-3.3381412719261282E-2</v>
      </c>
    </row>
    <row r="89" spans="1:7" x14ac:dyDescent="0.25">
      <c r="A89" s="93" t="s">
        <v>359</v>
      </c>
      <c r="B89" s="19">
        <f>IF(204.65792="","-",204.65792)</f>
        <v>204.65791999999999</v>
      </c>
      <c r="C89" s="73">
        <f>IF(OR(654.66011="",204.65792=""),"-",204.65792/654.66011*100)</f>
        <v>31.261706169939078</v>
      </c>
      <c r="D89" s="73">
        <f>IF(654.66011="","-",654.66011/920807.43432*100)</f>
        <v>7.1096310216419448E-2</v>
      </c>
      <c r="E89" s="73">
        <f>IF(204.65792="","-",204.65792/1290328.17958*100)</f>
        <v>1.5860919976700489E-2</v>
      </c>
      <c r="F89" s="73">
        <f>IF(OR(864616.67853="",351.19899="",654.66011=""),"-",(654.66011-351.19899)/864616.67853*100)</f>
        <v>3.5097763845584981E-2</v>
      </c>
      <c r="G89" s="73">
        <f>IF(OR(920807.43432="",204.65792="",654.66011=""),"-",(204.65792-654.66011)/920807.43432*100)</f>
        <v>-4.8870390618894026E-2</v>
      </c>
    </row>
    <row r="90" spans="1:7" x14ac:dyDescent="0.25">
      <c r="A90" s="93" t="s">
        <v>126</v>
      </c>
      <c r="B90" s="19">
        <f>IF(184.05883="","-",184.05883)</f>
        <v>184.05883</v>
      </c>
      <c r="C90" s="73" t="s">
        <v>289</v>
      </c>
      <c r="D90" s="73">
        <f>IF(78.1355="","-",78.1355/920807.43432*100)</f>
        <v>8.4855418285910856E-3</v>
      </c>
      <c r="E90" s="73">
        <f>IF(184.05883="","-",184.05883/1290328.17958*100)</f>
        <v>1.4264497428856502E-2</v>
      </c>
      <c r="F90" s="73">
        <f>IF(OR(864616.67853="",0.93607="",78.1355=""),"-",(78.1355-0.93607)/864616.67853*100)</f>
        <v>8.9287463354572986E-3</v>
      </c>
      <c r="G90" s="73">
        <f>IF(OR(920807.43432="",184.05883="",78.1355=""),"-",(184.05883-78.1355)/920807.43432*100)</f>
        <v>1.1503309601124421E-2</v>
      </c>
    </row>
    <row r="91" spans="1:7" x14ac:dyDescent="0.25">
      <c r="A91" s="93" t="s">
        <v>66</v>
      </c>
      <c r="B91" s="19">
        <f>IF(181.71246="","-",181.71246)</f>
        <v>181.71245999999999</v>
      </c>
      <c r="C91" s="73">
        <f>IF(OR(277.46038="",181.71246=""),"-",181.71246/277.46038*100)</f>
        <v>65.49131807575553</v>
      </c>
      <c r="D91" s="73">
        <f>IF(277.46038="","-",277.46038/920807.43432*100)</f>
        <v>3.0132291471440992E-2</v>
      </c>
      <c r="E91" s="73">
        <f>IF(181.71246="","-",181.71246/1290328.17958*100)</f>
        <v>1.4082654542904515E-2</v>
      </c>
      <c r="F91" s="73">
        <f>IF(OR(864616.67853="",311.66623="",277.46038=""),"-",(277.46038-311.66623)/864616.67853*100)</f>
        <v>-3.9561866951440192E-3</v>
      </c>
      <c r="G91" s="73">
        <f>IF(OR(920807.43432="",181.71246="",277.46038=""),"-",(181.71246-277.46038)/920807.43432*100)</f>
        <v>-1.0398256620365814E-2</v>
      </c>
    </row>
    <row r="92" spans="1:7" x14ac:dyDescent="0.25">
      <c r="A92" s="93" t="s">
        <v>89</v>
      </c>
      <c r="B92" s="19">
        <f>IF(181.09875="","-",181.09875)</f>
        <v>181.09875</v>
      </c>
      <c r="C92" s="73">
        <f>IF(OR(129.85318="",181.09875=""),"-",181.09875/129.85318*100)</f>
        <v>139.46423953575874</v>
      </c>
      <c r="D92" s="73">
        <f>IF(129.85318="","-",129.85318/920807.43432*100)</f>
        <v>1.4102099435795096E-2</v>
      </c>
      <c r="E92" s="73">
        <f>IF(181.09875="","-",181.09875/1290328.17958*100)</f>
        <v>1.4035092224285714E-2</v>
      </c>
      <c r="F92" s="73">
        <f>IF(OR(864616.67853="",251.38321="",129.85318=""),"-",(129.85318-251.38321)/864616.67853*100)</f>
        <v>-1.4055943288836661E-2</v>
      </c>
      <c r="G92" s="73">
        <f>IF(OR(920807.43432="",181.09875="",129.85318=""),"-",(181.09875-129.85318)/920807.43432*100)</f>
        <v>5.5652863009130601E-3</v>
      </c>
    </row>
    <row r="93" spans="1:7" x14ac:dyDescent="0.25">
      <c r="A93" s="93" t="s">
        <v>209</v>
      </c>
      <c r="B93" s="19">
        <f>IF(181.04151="","-",181.04151)</f>
        <v>181.04150999999999</v>
      </c>
      <c r="C93" s="73" t="s">
        <v>365</v>
      </c>
      <c r="D93" s="73">
        <f>IF(4.44373="","-",4.44373/920807.43432*100)</f>
        <v>4.825905867366955E-4</v>
      </c>
      <c r="E93" s="73">
        <f>IF(181.04151="","-",181.04151/1290328.17958*100)</f>
        <v>1.4030656143534643E-2</v>
      </c>
      <c r="F93" s="73">
        <f>IF(OR(864616.67853="",9.35274="",4.44373=""),"-",(4.44373-9.35274)/864616.67853*100)</f>
        <v>-5.6776721082297166E-4</v>
      </c>
      <c r="G93" s="73">
        <f>IF(OR(920807.43432="",181.04151="",4.44373=""),"-",(181.04151-4.44373)/920807.43432*100)</f>
        <v>1.9178578866537316E-2</v>
      </c>
    </row>
    <row r="94" spans="1:7" x14ac:dyDescent="0.25">
      <c r="A94" s="93" t="s">
        <v>63</v>
      </c>
      <c r="B94" s="19">
        <f>IF(181.03229="","-",181.03229)</f>
        <v>181.03228999999999</v>
      </c>
      <c r="C94" s="73">
        <f>IF(OR(165.56809="",181.03229=""),"-",181.03229/165.56809*100)</f>
        <v>109.34008479532497</v>
      </c>
      <c r="D94" s="73">
        <f>IF(165.56809="","-",165.56809/920807.43432*100)</f>
        <v>1.7980750787733282E-2</v>
      </c>
      <c r="E94" s="73">
        <f>IF(181.03229="","-",181.03229/1290328.17958*100)</f>
        <v>1.4029941596635186E-2</v>
      </c>
      <c r="F94" s="73">
        <f>IF(OR(864616.67853="",170.2181="",165.56809=""),"-",(165.56809-170.2181)/864616.67853*100)</f>
        <v>-5.3781173963771015E-4</v>
      </c>
      <c r="G94" s="73">
        <f>IF(OR(920807.43432="",181.03229="",165.56809=""),"-",(181.03229-165.56809)/920807.43432*100)</f>
        <v>1.6794173704103525E-3</v>
      </c>
    </row>
    <row r="95" spans="1:7" x14ac:dyDescent="0.25">
      <c r="A95" s="93" t="s">
        <v>90</v>
      </c>
      <c r="B95" s="19">
        <f>IF(163.5464="","-",163.5464)</f>
        <v>163.54640000000001</v>
      </c>
      <c r="C95" s="73">
        <f>IF(OR(927.77893="",163.5464=""),"-",163.5464/927.77893*100)</f>
        <v>17.627733796455157</v>
      </c>
      <c r="D95" s="73">
        <f>IF(927.77893="","-",927.77893/920807.43432*100)</f>
        <v>0.10075710679781254</v>
      </c>
      <c r="E95" s="73">
        <f>IF(163.5464="","-",163.5464/1290328.17958*100)</f>
        <v>1.2674791001870094E-2</v>
      </c>
      <c r="F95" s="73">
        <f>IF(OR(864616.67853="",99.60756="",927.77893=""),"-",(927.77893-99.60756)/864616.67853*100)</f>
        <v>9.5784801584910026E-2</v>
      </c>
      <c r="G95" s="73">
        <f>IF(OR(920807.43432="",163.5464="",927.77893=""),"-",(163.5464-927.77893)/920807.43432*100)</f>
        <v>-8.2995912230484123E-2</v>
      </c>
    </row>
    <row r="96" spans="1:7" x14ac:dyDescent="0.25">
      <c r="A96" s="93" t="s">
        <v>302</v>
      </c>
      <c r="B96" s="19">
        <f>IF(160.40159="","-",160.40159)</f>
        <v>160.40159</v>
      </c>
      <c r="C96" s="73" t="s">
        <v>366</v>
      </c>
      <c r="D96" s="73">
        <f>IF(0.00706="","-",0.00706/920807.43432*100)</f>
        <v>7.6671839701356071E-7</v>
      </c>
      <c r="E96" s="73">
        <f>IF(160.40159="","-",160.40159/1290328.17958*100)</f>
        <v>1.2431069284421153E-2</v>
      </c>
      <c r="F96" s="73">
        <f>IF(OR(864616.67853="",0.98978="",0.00706=""),"-",(0.00706-0.98978)/864616.67853*100)</f>
        <v>-1.1365961638292664E-4</v>
      </c>
      <c r="G96" s="73">
        <f>IF(OR(920807.43432="",160.40159="",0.00706=""),"-",(160.40159-0.00706)/920807.43432*100)</f>
        <v>1.7418900415204459E-2</v>
      </c>
    </row>
    <row r="97" spans="1:7" x14ac:dyDescent="0.25">
      <c r="A97" s="93" t="s">
        <v>36</v>
      </c>
      <c r="B97" s="19">
        <f>IF(157.03521="","-",157.03521)</f>
        <v>157.03521000000001</v>
      </c>
      <c r="C97" s="73">
        <f>IF(OR(506.73574="",157.03521=""),"-",157.03521/506.73574*100)</f>
        <v>30.989566672364571</v>
      </c>
      <c r="D97" s="73">
        <f>IF(506.73574="","-",506.73574/920807.43432*100)</f>
        <v>5.5031673411087889E-2</v>
      </c>
      <c r="E97" s="73">
        <f>IF(157.03521="","-",157.03521/1290328.17958*100)</f>
        <v>1.2170175966482786E-2</v>
      </c>
      <c r="F97" s="73">
        <f>IF(OR(864616.67853="",473.91156="",506.73574=""),"-",(506.73574-473.91156)/864616.67853*100)</f>
        <v>3.7963852438987035E-3</v>
      </c>
      <c r="G97" s="73">
        <f>IF(OR(920807.43432="",157.03521="",506.73574=""),"-",(157.03521-506.73574)/920807.43432*100)</f>
        <v>-3.7977596288440885E-2</v>
      </c>
    </row>
    <row r="98" spans="1:7" x14ac:dyDescent="0.25">
      <c r="A98" s="93" t="s">
        <v>57</v>
      </c>
      <c r="B98" s="19">
        <f>IF(154.80971="","-",154.80971)</f>
        <v>154.80971</v>
      </c>
      <c r="C98" s="73">
        <f>IF(OR(670.90408="",154.80971=""),"-",154.80971/670.90408*100)</f>
        <v>23.074790363474911</v>
      </c>
      <c r="D98" s="73">
        <f>IF(670.90408="","-",670.90408/920807.43432*100)</f>
        <v>7.2860410873577586E-2</v>
      </c>
      <c r="E98" s="73">
        <f>IF(154.80971="","-",154.80971/1290328.17958*100)</f>
        <v>1.1997700464884083E-2</v>
      </c>
      <c r="F98" s="73">
        <f>IF(OR(864616.67853="",1311.68475="",670.90408=""),"-",(670.90408-1311.68475)/864616.67853*100)</f>
        <v>-7.4111532417977341E-2</v>
      </c>
      <c r="G98" s="73">
        <f>IF(OR(920807.43432="",154.80971="",670.90408=""),"-",(154.80971-670.90408)/920807.43432*100)</f>
        <v>-5.6048023806533079E-2</v>
      </c>
    </row>
    <row r="99" spans="1:7" x14ac:dyDescent="0.25">
      <c r="A99" s="93" t="s">
        <v>95</v>
      </c>
      <c r="B99" s="19">
        <f>IF(133.81987="","-",133.81987)</f>
        <v>133.81987000000001</v>
      </c>
      <c r="C99" s="73">
        <f>IF(OR(230.10364="",133.81987=""),"-",133.81987/230.10364*100)</f>
        <v>58.156346418509507</v>
      </c>
      <c r="D99" s="73">
        <f>IF(230.10364="","-",230.10364/920807.43432*100)</f>
        <v>2.4989333428864797E-2</v>
      </c>
      <c r="E99" s="73">
        <f>IF(133.81987="","-",133.81987/1290328.17958*100)</f>
        <v>1.037099492344329E-2</v>
      </c>
      <c r="F99" s="73">
        <f>IF(OR(864616.67853="",139.54267="",230.10364=""),"-",(230.10364-139.54267)/864616.67853*100)</f>
        <v>1.0474117866193556E-2</v>
      </c>
      <c r="G99" s="73">
        <f>IF(OR(920807.43432="",133.81987="",230.10364=""),"-",(133.81987-230.10364)/920807.43432*100)</f>
        <v>-1.0456450112297786E-2</v>
      </c>
    </row>
    <row r="100" spans="1:7" x14ac:dyDescent="0.25">
      <c r="A100" s="93" t="s">
        <v>104</v>
      </c>
      <c r="B100" s="19">
        <f>IF(132.03472="","-",132.03472)</f>
        <v>132.03471999999999</v>
      </c>
      <c r="C100" s="73" t="str">
        <f>IF(OR(""="",132.03472=""),"-",132.03472/""*100)</f>
        <v>-</v>
      </c>
      <c r="D100" s="73" t="str">
        <f>IF(""="","-",""/920807.43432*100)</f>
        <v>-</v>
      </c>
      <c r="E100" s="73">
        <f>IF(132.03472="","-",132.03472/1290328.17958*100)</f>
        <v>1.0232646398761678E-2</v>
      </c>
      <c r="F100" s="73" t="str">
        <f>IF(OR(864616.67853="",75.38107="",""=""),"-",(""-75.38107)/864616.67853*100)</f>
        <v>-</v>
      </c>
      <c r="G100" s="73" t="str">
        <f>IF(OR(920807.43432="",132.03472="",""=""),"-",(132.03472-"")/920807.43432*100)</f>
        <v>-</v>
      </c>
    </row>
    <row r="101" spans="1:7" x14ac:dyDescent="0.25">
      <c r="A101" s="93" t="s">
        <v>37</v>
      </c>
      <c r="B101" s="19">
        <f>IF(95.9208="","-",95.9208)</f>
        <v>95.9208</v>
      </c>
      <c r="C101" s="73">
        <f>IF(OR(376.47102="",95.9208=""),"-",95.9208/376.47102*100)</f>
        <v>25.478933278848391</v>
      </c>
      <c r="D101" s="73">
        <f>IF(376.47102="","-",376.47102/920807.43432*100)</f>
        <v>4.08848805915666E-2</v>
      </c>
      <c r="E101" s="73">
        <f>IF(95.9208="","-",95.9208/1290328.17958*100)</f>
        <v>7.4338297433155405E-3</v>
      </c>
      <c r="F101" s="73">
        <f>IF(OR(864616.67853="",472.27085="",376.47102=""),"-",(376.47102-472.27085)/864616.67853*100)</f>
        <v>-1.1080034930956512E-2</v>
      </c>
      <c r="G101" s="73">
        <f>IF(OR(920807.43432="",95.9208="",376.47102=""),"-",(95.9208-376.47102)/920807.43432*100)</f>
        <v>-3.0467849144504511E-2</v>
      </c>
    </row>
    <row r="102" spans="1:7" x14ac:dyDescent="0.25">
      <c r="A102" s="93" t="s">
        <v>98</v>
      </c>
      <c r="B102" s="19">
        <f>IF(88.73="","-",88.73)</f>
        <v>88.73</v>
      </c>
      <c r="C102" s="73" t="str">
        <f>IF(OR(""="",88.73=""),"-",88.73/""*100)</f>
        <v>-</v>
      </c>
      <c r="D102" s="73" t="str">
        <f>IF(""="","-",""/920807.43432*100)</f>
        <v>-</v>
      </c>
      <c r="E102" s="73">
        <f>IF(88.73="","-",88.73/1290328.17958*100)</f>
        <v>6.8765451614705873E-3</v>
      </c>
      <c r="F102" s="73" t="str">
        <f>IF(OR(864616.67853="",""="",""=""),"-",(""-"")/864616.67853*100)</f>
        <v>-</v>
      </c>
      <c r="G102" s="73" t="str">
        <f>IF(OR(920807.43432="",88.73="",""=""),"-",(88.73-"")/920807.43432*100)</f>
        <v>-</v>
      </c>
    </row>
    <row r="103" spans="1:7" x14ac:dyDescent="0.25">
      <c r="A103" s="93" t="s">
        <v>300</v>
      </c>
      <c r="B103" s="19">
        <f>IF(86.18886="","-",86.18886)</f>
        <v>86.188860000000005</v>
      </c>
      <c r="C103" s="73" t="s">
        <v>367</v>
      </c>
      <c r="D103" s="73">
        <f>IF(2.77062="","-",2.77062/920807.43432*100)</f>
        <v>3.0089027268182883E-4</v>
      </c>
      <c r="E103" s="73">
        <f>IF(86.18886="","-",86.18886/1290328.17958*100)</f>
        <v>6.6796076660167458E-3</v>
      </c>
      <c r="F103" s="73">
        <f>IF(OR(864616.67853="",3.42663="",2.77062=""),"-",(2.77062-3.42663)/864616.67853*100)</f>
        <v>-7.5872929159235251E-5</v>
      </c>
      <c r="G103" s="73">
        <f>IF(OR(920807.43432="",86.18886="",2.77062=""),"-",(86.18886-2.77062)/920807.43432*100)</f>
        <v>9.0592491861887399E-3</v>
      </c>
    </row>
    <row r="104" spans="1:7" x14ac:dyDescent="0.25">
      <c r="A104" s="93" t="s">
        <v>119</v>
      </c>
      <c r="B104" s="19">
        <f>IF(85.46838="","-",85.46838)</f>
        <v>85.468379999999996</v>
      </c>
      <c r="C104" s="73">
        <f>IF(OR(114.13523="",85.46838=""),"-",85.46838/114.13523*100)</f>
        <v>74.883434326105956</v>
      </c>
      <c r="D104" s="73">
        <f>IF(114.13523="","-",114.13523/920807.43432*100)</f>
        <v>1.2395124729231455E-2</v>
      </c>
      <c r="E104" s="73">
        <f>IF(85.46838="","-",85.46838/1290328.17958*100)</f>
        <v>6.6237707083030483E-3</v>
      </c>
      <c r="F104" s="73">
        <f>IF(OR(864616.67853="",53.13973="",114.13523=""),"-",(114.13523-53.13973)/864616.67853*100)</f>
        <v>7.0546291223184659E-3</v>
      </c>
      <c r="G104" s="73">
        <f>IF(OR(920807.43432="",85.46838="",114.13523=""),"-",(85.46838-114.13523)/920807.43432*100)</f>
        <v>-3.1132296429784989E-3</v>
      </c>
    </row>
    <row r="105" spans="1:7" x14ac:dyDescent="0.25">
      <c r="A105" s="94" t="s">
        <v>127</v>
      </c>
      <c r="B105" s="35">
        <f>IF(79.42584="","-",79.42584)</f>
        <v>79.425839999999994</v>
      </c>
      <c r="C105" s="50">
        <f>IF(OR(72.15525="",79.42584=""),"-",79.42584/72.15525*100)</f>
        <v>110.07631461328178</v>
      </c>
      <c r="D105" s="50">
        <f>IF(72.15525="","-",72.15525/920807.43432*100)</f>
        <v>7.8360846481746061E-3</v>
      </c>
      <c r="E105" s="50">
        <f>IF(79.42584="","-",79.42584/1290328.17958*100)</f>
        <v>6.1554758903159812E-3</v>
      </c>
      <c r="F105" s="50">
        <f>IF(OR(864616.67853="",0.39035="",72.15525=""),"-",(72.15525-0.39035)/864616.67853*100)</f>
        <v>8.3001984326757268E-3</v>
      </c>
      <c r="G105" s="50">
        <f>IF(OR(920807.43432="",79.42584="",72.15525=""),"-",(79.42584-72.15525)/920807.43432*100)</f>
        <v>7.8958854251314783E-4</v>
      </c>
    </row>
    <row r="106" spans="1:7" x14ac:dyDescent="0.25">
      <c r="A106" s="95" t="s">
        <v>301</v>
      </c>
      <c r="B106" s="90">
        <f>IF(75.94346="","-",75.94346)</f>
        <v>75.943460000000002</v>
      </c>
      <c r="C106" s="91" t="s">
        <v>368</v>
      </c>
      <c r="D106" s="91">
        <f>IF(0.48514="","-",0.48514/920807.43432*100)</f>
        <v>5.2686368714895018E-5</v>
      </c>
      <c r="E106" s="91">
        <f>IF(75.94346="","-",75.94346/1290328.17958*100)</f>
        <v>5.8855926113866239E-3</v>
      </c>
      <c r="F106" s="91">
        <f>IF(OR(864616.67853="",0.03189="",0.48514=""),"-",(0.48514-0.03189)/864616.67853*100)</f>
        <v>5.2422074574203733E-5</v>
      </c>
      <c r="G106" s="91">
        <f>IF(OR(920807.43432="",75.94346="",0.48514=""),"-",(75.94346-0.48514)/920807.43432*100)</f>
        <v>8.1947991716340377E-3</v>
      </c>
    </row>
    <row r="107" spans="1:7" x14ac:dyDescent="0.25">
      <c r="A107" s="51" t="s">
        <v>286</v>
      </c>
      <c r="B107" s="54"/>
      <c r="C107" s="54"/>
      <c r="D107" s="54"/>
      <c r="E107" s="54"/>
      <c r="F107" s="7"/>
      <c r="G107" s="7"/>
    </row>
    <row r="108" spans="1:7" x14ac:dyDescent="0.25">
      <c r="A108" s="116" t="s">
        <v>309</v>
      </c>
      <c r="B108" s="116"/>
      <c r="C108" s="116"/>
      <c r="D108" s="116"/>
      <c r="E108" s="116"/>
      <c r="F108" s="7"/>
      <c r="G108" s="7"/>
    </row>
    <row r="109" spans="1:7" x14ac:dyDescent="0.25">
      <c r="A109" s="7"/>
      <c r="B109" s="7"/>
      <c r="C109" s="7"/>
      <c r="D109" s="7"/>
      <c r="E109" s="7"/>
      <c r="F109" s="7"/>
      <c r="G109" s="7"/>
    </row>
  </sheetData>
  <mergeCells count="10">
    <mergeCell ref="A108:E108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17"/>
  <sheetViews>
    <sheetView workbookViewId="0">
      <selection activeCell="A113" sqref="A113"/>
    </sheetView>
  </sheetViews>
  <sheetFormatPr defaultRowHeight="15.75" x14ac:dyDescent="0.25"/>
  <cols>
    <col min="1" max="1" width="44.25" customWidth="1"/>
    <col min="2" max="2" width="14.625" customWidth="1"/>
    <col min="3" max="3" width="14.125" customWidth="1"/>
    <col min="4" max="4" width="16.125" customWidth="1"/>
  </cols>
  <sheetData>
    <row r="1" spans="1:5" x14ac:dyDescent="0.25">
      <c r="A1" s="130" t="s">
        <v>310</v>
      </c>
      <c r="B1" s="130"/>
      <c r="C1" s="130"/>
      <c r="D1" s="130"/>
    </row>
    <row r="2" spans="1:5" x14ac:dyDescent="0.25">
      <c r="A2" s="4"/>
    </row>
    <row r="3" spans="1:5" ht="21.75" customHeight="1" x14ac:dyDescent="0.25">
      <c r="A3" s="131"/>
      <c r="B3" s="135" t="s">
        <v>336</v>
      </c>
      <c r="C3" s="136"/>
      <c r="D3" s="133" t="s">
        <v>337</v>
      </c>
      <c r="E3" s="1"/>
    </row>
    <row r="4" spans="1:5" ht="31.5" customHeight="1" x14ac:dyDescent="0.25">
      <c r="A4" s="132"/>
      <c r="B4" s="84" t="s">
        <v>334</v>
      </c>
      <c r="C4" s="85" t="s">
        <v>335</v>
      </c>
      <c r="D4" s="134"/>
      <c r="E4" s="1"/>
    </row>
    <row r="5" spans="1:5" ht="16.5" customHeight="1" x14ac:dyDescent="0.25">
      <c r="A5" s="42" t="s">
        <v>204</v>
      </c>
      <c r="B5" s="26">
        <v>-495335.17267</v>
      </c>
      <c r="C5" s="26">
        <v>-623363.48829000001</v>
      </c>
      <c r="D5" s="96">
        <f>IF(-495335.17267="","-",-623363.48829/-495335.17267*100)</f>
        <v>125.84680488766634</v>
      </c>
    </row>
    <row r="6" spans="1:5" x14ac:dyDescent="0.25">
      <c r="A6" s="43" t="s">
        <v>125</v>
      </c>
      <c r="B6" s="97"/>
      <c r="C6" s="97"/>
      <c r="D6" s="97"/>
    </row>
    <row r="7" spans="1:5" x14ac:dyDescent="0.25">
      <c r="A7" s="27" t="s">
        <v>369</v>
      </c>
      <c r="B7" s="28">
        <v>-155115.66282</v>
      </c>
      <c r="C7" s="28">
        <v>-124594.47643</v>
      </c>
      <c r="D7" s="98">
        <f>IF(-155115.66282="","-",-124594.47643/-155115.66282*100)</f>
        <v>80.323594771072521</v>
      </c>
    </row>
    <row r="8" spans="1:5" x14ac:dyDescent="0.25">
      <c r="A8" s="63" t="s">
        <v>4</v>
      </c>
      <c r="B8" s="30">
        <v>-25786.331979999999</v>
      </c>
      <c r="C8" s="30">
        <v>-44295.848120000002</v>
      </c>
      <c r="D8" s="99" t="s">
        <v>100</v>
      </c>
    </row>
    <row r="9" spans="1:5" x14ac:dyDescent="0.25">
      <c r="A9" s="63" t="s">
        <v>311</v>
      </c>
      <c r="B9" s="30">
        <v>-22068.207549999999</v>
      </c>
      <c r="C9" s="30">
        <v>-23599.48605</v>
      </c>
      <c r="D9" s="99">
        <f>IF(OR(-22068.20755="",-23599.48605="",-22068.20755=0),"-",-23599.48605/-22068.20755*100)</f>
        <v>106.93884402043336</v>
      </c>
    </row>
    <row r="10" spans="1:5" x14ac:dyDescent="0.25">
      <c r="A10" s="63" t="s">
        <v>5</v>
      </c>
      <c r="B10" s="30">
        <v>-19319.855169999999</v>
      </c>
      <c r="C10" s="30">
        <v>-21050.410500000002</v>
      </c>
      <c r="D10" s="99">
        <f>IF(OR(-19319.85517="",-21050.4105="",-19319.85517=0),"-",-21050.4105/-19319.85517*100)</f>
        <v>108.95739287262991</v>
      </c>
    </row>
    <row r="11" spans="1:5" x14ac:dyDescent="0.25">
      <c r="A11" s="63" t="s">
        <v>41</v>
      </c>
      <c r="B11" s="30">
        <v>-12875.744280000001</v>
      </c>
      <c r="C11" s="30">
        <v>-19596.102729999999</v>
      </c>
      <c r="D11" s="99">
        <f>IF(OR(-12875.74428="",-19596.10273="",-12875.74428=0),"-",-19596.10273/-12875.74428*100)</f>
        <v>152.19394159946768</v>
      </c>
    </row>
    <row r="12" spans="1:5" x14ac:dyDescent="0.25">
      <c r="A12" s="63" t="s">
        <v>7</v>
      </c>
      <c r="B12" s="30">
        <v>-9256.0081100000007</v>
      </c>
      <c r="C12" s="30">
        <v>-8689.1405500000001</v>
      </c>
      <c r="D12" s="99">
        <f>IF(OR(-9256.00811="",-8689.14055="",-9256.00811=0),"-",-8689.14055/-9256.00811*100)</f>
        <v>93.875679955513775</v>
      </c>
    </row>
    <row r="13" spans="1:5" x14ac:dyDescent="0.25">
      <c r="A13" s="63" t="s">
        <v>39</v>
      </c>
      <c r="B13" s="30">
        <v>-5521.6533200000003</v>
      </c>
      <c r="C13" s="30">
        <v>-7658.8396000000002</v>
      </c>
      <c r="D13" s="99">
        <f>IF(OR(-5521.65332="",-7658.8396="",-5521.65332=0),"-",-7658.8396/-5521.65332*100)</f>
        <v>138.70554988048397</v>
      </c>
    </row>
    <row r="14" spans="1:5" x14ac:dyDescent="0.25">
      <c r="A14" s="63" t="s">
        <v>9</v>
      </c>
      <c r="B14" s="30">
        <v>-2119.62986</v>
      </c>
      <c r="C14" s="30">
        <v>-6349.5004799999997</v>
      </c>
      <c r="D14" s="99" t="s">
        <v>297</v>
      </c>
    </row>
    <row r="15" spans="1:5" x14ac:dyDescent="0.25">
      <c r="A15" s="63" t="s">
        <v>51</v>
      </c>
      <c r="B15" s="30">
        <v>-4371.1472800000001</v>
      </c>
      <c r="C15" s="30">
        <v>-4714.4930599999998</v>
      </c>
      <c r="D15" s="99">
        <f>IF(OR(-4371.14728="",-4714.49306="",-4371.14728=0),"-",-4714.49306/-4371.14728*100)</f>
        <v>107.85482066849963</v>
      </c>
    </row>
    <row r="16" spans="1:5" x14ac:dyDescent="0.25">
      <c r="A16" s="63" t="s">
        <v>43</v>
      </c>
      <c r="B16" s="30">
        <v>-1825.3566699999999</v>
      </c>
      <c r="C16" s="30">
        <v>-4184.6757399999997</v>
      </c>
      <c r="D16" s="99" t="s">
        <v>207</v>
      </c>
    </row>
    <row r="17" spans="1:4" x14ac:dyDescent="0.25">
      <c r="A17" s="63" t="s">
        <v>49</v>
      </c>
      <c r="B17" s="30">
        <v>-3056.7083499999999</v>
      </c>
      <c r="C17" s="30">
        <v>-3981.4385200000002</v>
      </c>
      <c r="D17" s="99">
        <f>IF(OR(-3056.70835="",-3981.43852="",-3056.70835=0),"-",-3981.43852/-3056.70835*100)</f>
        <v>130.25248287099421</v>
      </c>
    </row>
    <row r="18" spans="1:4" x14ac:dyDescent="0.25">
      <c r="A18" s="63" t="s">
        <v>50</v>
      </c>
      <c r="B18" s="30">
        <v>-4180.6142300000001</v>
      </c>
      <c r="C18" s="30">
        <v>-3508.7718500000001</v>
      </c>
      <c r="D18" s="99">
        <f>IF(OR(-4180.61423="",-3508.77185="",-4180.61423=0),"-",-3508.77185/-4180.61423*100)</f>
        <v>83.929577257359142</v>
      </c>
    </row>
    <row r="19" spans="1:4" x14ac:dyDescent="0.25">
      <c r="A19" s="63" t="s">
        <v>40</v>
      </c>
      <c r="B19" s="30">
        <v>-3094.0804499999999</v>
      </c>
      <c r="C19" s="30">
        <v>-3193.6855</v>
      </c>
      <c r="D19" s="99">
        <f>IF(OR(-3094.08045="",-3193.6855="",-3094.08045=0),"-",-3193.6855/-3094.08045*100)</f>
        <v>103.21921332071375</v>
      </c>
    </row>
    <row r="20" spans="1:4" x14ac:dyDescent="0.25">
      <c r="A20" s="63" t="s">
        <v>340</v>
      </c>
      <c r="B20" s="30">
        <v>-3909.9444699999999</v>
      </c>
      <c r="C20" s="30">
        <v>-3027.4277099999999</v>
      </c>
      <c r="D20" s="99">
        <f>IF(OR(-3909.94447="",-3027.42771="",-3909.94447=0),"-",-3027.42771/-3909.94447*100)</f>
        <v>77.4289183191392</v>
      </c>
    </row>
    <row r="21" spans="1:4" x14ac:dyDescent="0.25">
      <c r="A21" s="63" t="s">
        <v>3</v>
      </c>
      <c r="B21" s="30">
        <v>-31676.975539999999</v>
      </c>
      <c r="C21" s="30">
        <v>-2995.1780800000001</v>
      </c>
      <c r="D21" s="99">
        <f>IF(OR(-31676.97554="",-2995.17808="",-31676.97554=0),"-",-2995.17808/-31676.97554*100)</f>
        <v>9.4553789588208907</v>
      </c>
    </row>
    <row r="22" spans="1:4" x14ac:dyDescent="0.25">
      <c r="A22" s="63" t="s">
        <v>47</v>
      </c>
      <c r="B22" s="30">
        <v>-1985.8963200000001</v>
      </c>
      <c r="C22" s="30">
        <v>-2253.3237199999999</v>
      </c>
      <c r="D22" s="99">
        <f>IF(OR(-1985.89632="",-2253.32372="",-1985.89632=0),"-",-2253.32372/-1985.89632*100)</f>
        <v>113.46633242162409</v>
      </c>
    </row>
    <row r="23" spans="1:4" x14ac:dyDescent="0.25">
      <c r="A23" s="63" t="s">
        <v>48</v>
      </c>
      <c r="B23" s="30">
        <v>-1417.23026</v>
      </c>
      <c r="C23" s="30">
        <v>-1723.1797899999999</v>
      </c>
      <c r="D23" s="99">
        <f>IF(OR(-1417.23026="",-1723.17979="",-1417.23026=0),"-",-1723.17979/-1417.23026*100)</f>
        <v>121.58784910505649</v>
      </c>
    </row>
    <row r="24" spans="1:4" x14ac:dyDescent="0.25">
      <c r="A24" s="63" t="s">
        <v>44</v>
      </c>
      <c r="B24" s="30">
        <v>-1043.20669</v>
      </c>
      <c r="C24" s="30">
        <v>-1637.4076399999999</v>
      </c>
      <c r="D24" s="99" t="s">
        <v>101</v>
      </c>
    </row>
    <row r="25" spans="1:4" x14ac:dyDescent="0.25">
      <c r="A25" s="63" t="s">
        <v>42</v>
      </c>
      <c r="B25" s="30">
        <v>-242.31768</v>
      </c>
      <c r="C25" s="30">
        <v>-1609.9166499999999</v>
      </c>
      <c r="D25" s="99" t="s">
        <v>325</v>
      </c>
    </row>
    <row r="26" spans="1:4" x14ac:dyDescent="0.25">
      <c r="A26" s="63" t="s">
        <v>52</v>
      </c>
      <c r="B26" s="30">
        <v>-1088.5213100000001</v>
      </c>
      <c r="C26" s="30">
        <v>-1217.3777600000001</v>
      </c>
      <c r="D26" s="99">
        <f>IF(OR(-1088.52131="",-1217.37776="",-1088.52131=0),"-",-1217.37776/-1088.52131*100)</f>
        <v>111.83775171108041</v>
      </c>
    </row>
    <row r="27" spans="1:4" x14ac:dyDescent="0.25">
      <c r="A27" s="63" t="s">
        <v>312</v>
      </c>
      <c r="B27" s="30">
        <v>-919.80697999999995</v>
      </c>
      <c r="C27" s="30">
        <v>-751.00238000000002</v>
      </c>
      <c r="D27" s="99">
        <f>IF(OR(-919.80698="",-751.00238="",-919.80698=0),"-",-751.00238/-919.80698*100)</f>
        <v>81.647823546631486</v>
      </c>
    </row>
    <row r="28" spans="1:4" x14ac:dyDescent="0.25">
      <c r="A28" s="63" t="s">
        <v>53</v>
      </c>
      <c r="B28" s="30">
        <v>-525.62885000000006</v>
      </c>
      <c r="C28" s="30">
        <v>-404.34160000000003</v>
      </c>
      <c r="D28" s="99">
        <f>IF(OR(-525.62885="",-404.3416="",-525.62885=0),"-",-404.3416/-525.62885*100)</f>
        <v>76.925305755192085</v>
      </c>
    </row>
    <row r="29" spans="1:4" x14ac:dyDescent="0.25">
      <c r="A29" s="63" t="s">
        <v>45</v>
      </c>
      <c r="B29" s="30">
        <v>-160.16565</v>
      </c>
      <c r="C29" s="30">
        <v>-91.74588</v>
      </c>
      <c r="D29" s="99">
        <f>IF(OR(-160.16565="",-91.74588="",-160.16565=0),"-",-91.74588/-160.16565*100)</f>
        <v>57.281870363589192</v>
      </c>
    </row>
    <row r="30" spans="1:4" x14ac:dyDescent="0.25">
      <c r="A30" s="63" t="s">
        <v>54</v>
      </c>
      <c r="B30" s="30">
        <v>-5.1739699999999997</v>
      </c>
      <c r="C30" s="30">
        <v>-9.2607199999999992</v>
      </c>
      <c r="D30" s="99" t="s">
        <v>199</v>
      </c>
    </row>
    <row r="31" spans="1:4" x14ac:dyDescent="0.25">
      <c r="A31" s="63" t="s">
        <v>46</v>
      </c>
      <c r="B31" s="30">
        <v>1224.05864</v>
      </c>
      <c r="C31" s="30">
        <v>8085.7336100000002</v>
      </c>
      <c r="D31" s="99" t="s">
        <v>325</v>
      </c>
    </row>
    <row r="32" spans="1:4" x14ac:dyDescent="0.25">
      <c r="A32" s="63" t="s">
        <v>6</v>
      </c>
      <c r="B32" s="30">
        <v>-519.90319999999997</v>
      </c>
      <c r="C32" s="30">
        <v>8148.2660699999997</v>
      </c>
      <c r="D32" s="99" t="s">
        <v>21</v>
      </c>
    </row>
    <row r="33" spans="1:4" x14ac:dyDescent="0.25">
      <c r="A33" s="63" t="s">
        <v>8</v>
      </c>
      <c r="B33" s="30">
        <v>3813.7372</v>
      </c>
      <c r="C33" s="30">
        <v>8427.41957</v>
      </c>
      <c r="D33" s="99" t="s">
        <v>92</v>
      </c>
    </row>
    <row r="34" spans="1:4" x14ac:dyDescent="0.25">
      <c r="A34" s="63" t="s">
        <v>2</v>
      </c>
      <c r="B34" s="30">
        <v>-3183.3504899999998</v>
      </c>
      <c r="C34" s="30">
        <v>17286.658950000001</v>
      </c>
      <c r="D34" s="99" t="s">
        <v>370</v>
      </c>
    </row>
    <row r="35" spans="1:4" x14ac:dyDescent="0.25">
      <c r="A35" s="27" t="s">
        <v>135</v>
      </c>
      <c r="B35" s="74">
        <f>IF(-152600.40635="","-",-152600.40635)</f>
        <v>-152600.40635</v>
      </c>
      <c r="C35" s="28">
        <v>-356660.39860999997</v>
      </c>
      <c r="D35" s="65" t="s">
        <v>207</v>
      </c>
    </row>
    <row r="36" spans="1:4" x14ac:dyDescent="0.25">
      <c r="A36" s="63" t="s">
        <v>313</v>
      </c>
      <c r="B36" s="75">
        <f>IF(-83150.92739="","-",-83150.92739)</f>
        <v>-83150.927389999997</v>
      </c>
      <c r="C36" s="30">
        <v>-264947.43852000003</v>
      </c>
      <c r="D36" s="66" t="s">
        <v>317</v>
      </c>
    </row>
    <row r="37" spans="1:4" x14ac:dyDescent="0.25">
      <c r="A37" s="63" t="s">
        <v>11</v>
      </c>
      <c r="B37" s="75">
        <f>IF(-62434.7561="","-",-62434.7561)</f>
        <v>-62434.756099999999</v>
      </c>
      <c r="C37" s="30">
        <v>-69166.237989999994</v>
      </c>
      <c r="D37" s="66">
        <f>IF(OR(-62434.7561="",-69166.23799="",-62434.7561=0),"-",-69166.23799/-62434.7561*100)</f>
        <v>110.78162598924608</v>
      </c>
    </row>
    <row r="38" spans="1:4" x14ac:dyDescent="0.25">
      <c r="A38" s="63" t="s">
        <v>10</v>
      </c>
      <c r="B38" s="75">
        <f>IF(-6493.24104="","-",-6493.24104)</f>
        <v>-6493.2410399999999</v>
      </c>
      <c r="C38" s="30">
        <v>-12999.890310000001</v>
      </c>
      <c r="D38" s="66" t="s">
        <v>19</v>
      </c>
    </row>
    <row r="39" spans="1:4" x14ac:dyDescent="0.25">
      <c r="A39" s="63" t="s">
        <v>14</v>
      </c>
      <c r="B39" s="75">
        <f>IF(-128.52633="","-",-128.52633)</f>
        <v>-128.52633</v>
      </c>
      <c r="C39" s="30">
        <v>-4135.2328100000004</v>
      </c>
      <c r="D39" s="66" t="s">
        <v>372</v>
      </c>
    </row>
    <row r="40" spans="1:4" x14ac:dyDescent="0.25">
      <c r="A40" s="63" t="s">
        <v>341</v>
      </c>
      <c r="B40" s="75">
        <f>IF(148.7931="","-",148.7931)</f>
        <v>148.79310000000001</v>
      </c>
      <c r="C40" s="30">
        <v>-1626.85589</v>
      </c>
      <c r="D40" s="66" t="s">
        <v>21</v>
      </c>
    </row>
    <row r="41" spans="1:4" x14ac:dyDescent="0.25">
      <c r="A41" s="63" t="s">
        <v>15</v>
      </c>
      <c r="B41" s="75">
        <f>IF(-22.94438="","-",-22.94438)</f>
        <v>-22.944379999999999</v>
      </c>
      <c r="C41" s="30">
        <v>-1598.9974099999999</v>
      </c>
      <c r="D41" s="66" t="s">
        <v>373</v>
      </c>
    </row>
    <row r="42" spans="1:4" x14ac:dyDescent="0.25">
      <c r="A42" s="63" t="s">
        <v>12</v>
      </c>
      <c r="B42" s="75">
        <f>IF(-926.74008="","-",-926.74008)</f>
        <v>-926.74008000000003</v>
      </c>
      <c r="C42" s="30">
        <v>-1544.9711400000001</v>
      </c>
      <c r="D42" s="66" t="s">
        <v>100</v>
      </c>
    </row>
    <row r="43" spans="1:4" x14ac:dyDescent="0.25">
      <c r="A43" s="63" t="s">
        <v>13</v>
      </c>
      <c r="B43" s="75">
        <f>IF(298.28985="","-",298.28985)</f>
        <v>298.28985</v>
      </c>
      <c r="C43" s="30">
        <v>-543.22514999999999</v>
      </c>
      <c r="D43" s="66" t="s">
        <v>21</v>
      </c>
    </row>
    <row r="44" spans="1:4" x14ac:dyDescent="0.25">
      <c r="A44" s="63" t="s">
        <v>16</v>
      </c>
      <c r="B44" s="75">
        <f>IF(4.27659="","-",4.27659)</f>
        <v>4.2765899999999997</v>
      </c>
      <c r="C44" s="30">
        <v>-113.94882</v>
      </c>
      <c r="D44" s="66" t="s">
        <v>21</v>
      </c>
    </row>
    <row r="45" spans="1:4" x14ac:dyDescent="0.25">
      <c r="A45" s="63" t="s">
        <v>17</v>
      </c>
      <c r="B45" s="75">
        <f>IF(105.36943="","-",105.36943)</f>
        <v>105.36942999999999</v>
      </c>
      <c r="C45" s="30">
        <v>16.399429999999999</v>
      </c>
      <c r="D45" s="66">
        <f>IF(OR(105.36943="",16.39943="",105.36943=0),"-",16.39943/105.36943*100)</f>
        <v>15.563745575922733</v>
      </c>
    </row>
    <row r="46" spans="1:4" x14ac:dyDescent="0.25">
      <c r="A46" s="27" t="s">
        <v>134</v>
      </c>
      <c r="B46" s="74">
        <v>-187619.1035</v>
      </c>
      <c r="C46" s="28">
        <v>-142108.61324999999</v>
      </c>
      <c r="D46" s="98">
        <f>IF(-187619.1035="","-",-142108.61325/-187619.1035*100)</f>
        <v>75.743146939192158</v>
      </c>
    </row>
    <row r="47" spans="1:4" x14ac:dyDescent="0.25">
      <c r="A47" s="63" t="s">
        <v>58</v>
      </c>
      <c r="B47" s="30">
        <v>-113264.54416999999</v>
      </c>
      <c r="C47" s="30">
        <v>-126407.03065</v>
      </c>
      <c r="D47" s="30">
        <f>IF(OR(-113264.54417="",-126407.03065="",-113264.54417=0),"-",-126407.03065/-113264.54417*100)</f>
        <v>111.6033544091912</v>
      </c>
    </row>
    <row r="48" spans="1:4" x14ac:dyDescent="0.25">
      <c r="A48" s="63" t="s">
        <v>18</v>
      </c>
      <c r="B48" s="30">
        <v>-7581.1968900000002</v>
      </c>
      <c r="C48" s="100">
        <v>-11640.519560000001</v>
      </c>
      <c r="D48" s="30">
        <f>IF(OR(-7581.19689="",-11640.51956="",-7581.19689=0),"-",-11640.51956/-7581.19689*100)</f>
        <v>153.5446147738817</v>
      </c>
    </row>
    <row r="49" spans="1:5" x14ac:dyDescent="0.25">
      <c r="A49" s="63" t="s">
        <v>68</v>
      </c>
      <c r="B49" s="30">
        <v>-7004.6828100000002</v>
      </c>
      <c r="C49" s="30">
        <v>-10604.14892</v>
      </c>
      <c r="D49" s="30">
        <f>IF(OR(-7004.68281="",-10604.14892="",-7004.68281=0),"-",-10604.14892/-7004.68281*100)</f>
        <v>151.38656820921773</v>
      </c>
    </row>
    <row r="50" spans="1:5" x14ac:dyDescent="0.25">
      <c r="A50" s="63" t="s">
        <v>35</v>
      </c>
      <c r="B50" s="30">
        <v>-5712.4341800000002</v>
      </c>
      <c r="C50" s="30">
        <v>-9443.1988799999999</v>
      </c>
      <c r="D50" s="30" t="s">
        <v>100</v>
      </c>
    </row>
    <row r="51" spans="1:5" x14ac:dyDescent="0.25">
      <c r="A51" s="63" t="s">
        <v>74</v>
      </c>
      <c r="B51" s="30">
        <v>-8026.7111400000003</v>
      </c>
      <c r="C51" s="30">
        <v>-8186.5790399999996</v>
      </c>
      <c r="D51" s="30">
        <f>IF(OR(-8026.71114="",-8186.57904="",-8026.71114=0),"-",-8186.57904/-8026.71114*100)</f>
        <v>101.9916986822077</v>
      </c>
    </row>
    <row r="52" spans="1:5" x14ac:dyDescent="0.25">
      <c r="A52" s="63" t="s">
        <v>70</v>
      </c>
      <c r="B52" s="30">
        <v>-6542.1059599999999</v>
      </c>
      <c r="C52" s="100">
        <v>-6247.4342699999997</v>
      </c>
      <c r="D52" s="30">
        <f>IF(OR(-6542.10596="",-6247.43427="",-6542.10596=0),"-",-6247.43427/-6542.10596*100)</f>
        <v>95.495767084763017</v>
      </c>
    </row>
    <row r="53" spans="1:5" x14ac:dyDescent="0.25">
      <c r="A53" s="63" t="s">
        <v>77</v>
      </c>
      <c r="B53" s="30">
        <v>-4149.9243200000001</v>
      </c>
      <c r="C53" s="30">
        <v>-4079.4539599999998</v>
      </c>
      <c r="D53" s="30">
        <f>IF(OR(-4149.92432="",-4079.45396="",-4149.92432=0),"-",-4079.45396/-4149.92432*100)</f>
        <v>98.301888069129888</v>
      </c>
    </row>
    <row r="54" spans="1:5" x14ac:dyDescent="0.25">
      <c r="A54" s="63" t="s">
        <v>343</v>
      </c>
      <c r="B54" s="30">
        <v>-2621.8528200000001</v>
      </c>
      <c r="C54" s="100">
        <v>-2943.51046</v>
      </c>
      <c r="D54" s="30">
        <f>IF(OR(-2621.85282="",-2943.51046="",-2621.85282=0),"-",-2943.51046/-2621.85282*100)</f>
        <v>112.26833320109859</v>
      </c>
    </row>
    <row r="55" spans="1:5" x14ac:dyDescent="0.25">
      <c r="A55" s="63" t="s">
        <v>80</v>
      </c>
      <c r="B55" s="30">
        <v>-1429.03015</v>
      </c>
      <c r="C55" s="100">
        <v>-2182.51683</v>
      </c>
      <c r="D55" s="30">
        <f>IF(OR(-1429.03015="",-2182.51683="",-1429.03015=0),"-",-2182.51683/-1429.03015*100)</f>
        <v>152.72713665278511</v>
      </c>
    </row>
    <row r="56" spans="1:5" x14ac:dyDescent="0.25">
      <c r="A56" s="63" t="s">
        <v>72</v>
      </c>
      <c r="B56" s="30">
        <v>-1479.88777</v>
      </c>
      <c r="C56" s="30">
        <v>-2121.6012900000001</v>
      </c>
      <c r="D56" s="30">
        <f>IF(OR(-1479.88777="",-2121.60129="",-1479.88777=0),"-",-2121.60129/-1479.88777*100)</f>
        <v>143.3623098324544</v>
      </c>
    </row>
    <row r="57" spans="1:5" x14ac:dyDescent="0.25">
      <c r="A57" s="63" t="s">
        <v>65</v>
      </c>
      <c r="B57" s="30">
        <v>-2198.8871300000001</v>
      </c>
      <c r="C57" s="100">
        <v>-1921.2642800000001</v>
      </c>
      <c r="D57" s="30">
        <f>IF(OR(-2198.88713="",-1921.26428="",-2198.88713=0),"-",-1921.26428/-2198.88713*100)</f>
        <v>87.374392882093957</v>
      </c>
    </row>
    <row r="58" spans="1:5" x14ac:dyDescent="0.25">
      <c r="A58" s="63" t="s">
        <v>71</v>
      </c>
      <c r="B58" s="30">
        <v>-349.94565</v>
      </c>
      <c r="C58" s="30">
        <v>-1895.51936</v>
      </c>
      <c r="D58" s="30" t="s">
        <v>360</v>
      </c>
    </row>
    <row r="59" spans="1:5" x14ac:dyDescent="0.25">
      <c r="A59" s="63" t="s">
        <v>60</v>
      </c>
      <c r="B59" s="30">
        <v>-2101.9639699999998</v>
      </c>
      <c r="C59" s="30">
        <v>-1827.35537</v>
      </c>
      <c r="D59" s="30">
        <f>IF(OR(-2101.96397="",-1827.35537="",-2101.96397=0),"-",-1827.35537/-2101.96397*100)</f>
        <v>86.935618120989972</v>
      </c>
    </row>
    <row r="60" spans="1:5" x14ac:dyDescent="0.25">
      <c r="A60" s="63" t="s">
        <v>69</v>
      </c>
      <c r="B60" s="30">
        <v>-1660.6938700000001</v>
      </c>
      <c r="C60" s="30">
        <v>-1701.8808200000001</v>
      </c>
      <c r="D60" s="30">
        <f>IF(OR(-1660.69387="",-1701.88082="",-1660.69387=0),"-",-1701.88082/-1660.69387*100)</f>
        <v>102.48010489735834</v>
      </c>
    </row>
    <row r="61" spans="1:5" x14ac:dyDescent="0.25">
      <c r="A61" s="63" t="s">
        <v>61</v>
      </c>
      <c r="B61" s="30">
        <v>-814.18074999999999</v>
      </c>
      <c r="C61" s="30">
        <v>-1369.0142599999999</v>
      </c>
      <c r="D61" s="30" t="s">
        <v>100</v>
      </c>
      <c r="E61" s="1"/>
    </row>
    <row r="62" spans="1:5" x14ac:dyDescent="0.25">
      <c r="A62" s="63" t="s">
        <v>76</v>
      </c>
      <c r="B62" s="30">
        <v>-1727.6526100000001</v>
      </c>
      <c r="C62" s="30">
        <v>-1324.1270300000001</v>
      </c>
      <c r="D62" s="30">
        <f>IF(OR(-1727.65261="",-1324.12703="",-1727.65261=0),"-",-1324.12703/-1727.65261*100)</f>
        <v>76.643129662507789</v>
      </c>
    </row>
    <row r="63" spans="1:5" x14ac:dyDescent="0.25">
      <c r="A63" s="63" t="s">
        <v>81</v>
      </c>
      <c r="B63" s="30">
        <v>-1026.67138</v>
      </c>
      <c r="C63" s="30">
        <v>-1305.4909</v>
      </c>
      <c r="D63" s="30">
        <f>IF(OR(-1026.67138="",-1305.4909="",-1026.67138=0),"-",-1305.4909/-1026.67138*100)</f>
        <v>127.15762077637736</v>
      </c>
    </row>
    <row r="64" spans="1:5" x14ac:dyDescent="0.25">
      <c r="A64" s="63" t="s">
        <v>73</v>
      </c>
      <c r="B64" s="30">
        <v>-524.29849999999999</v>
      </c>
      <c r="C64" s="30">
        <v>-1205.5816400000001</v>
      </c>
      <c r="D64" s="30" t="s">
        <v>207</v>
      </c>
    </row>
    <row r="65" spans="1:5" x14ac:dyDescent="0.25">
      <c r="A65" s="63" t="s">
        <v>64</v>
      </c>
      <c r="B65" s="30">
        <v>-1046.6067800000001</v>
      </c>
      <c r="C65" s="30">
        <v>-1181.7051899999999</v>
      </c>
      <c r="D65" s="30">
        <f>IF(OR(-1046.60678="",-1181.70519="",-1046.60678=0),"-",-1181.70519/-1046.60678*100)</f>
        <v>112.90822996579477</v>
      </c>
    </row>
    <row r="66" spans="1:5" x14ac:dyDescent="0.25">
      <c r="A66" s="63" t="s">
        <v>83</v>
      </c>
      <c r="B66" s="30">
        <v>-1298.1963900000001</v>
      </c>
      <c r="C66" s="30">
        <v>-733.79136000000005</v>
      </c>
      <c r="D66" s="30">
        <f>IF(OR(-1298.19639="",-733.79136="",-1298.19639=0),"-",-733.79136/-1298.19639*100)</f>
        <v>56.523910068799374</v>
      </c>
    </row>
    <row r="67" spans="1:5" x14ac:dyDescent="0.25">
      <c r="A67" s="63" t="s">
        <v>78</v>
      </c>
      <c r="B67" s="30">
        <v>-639.99992999999995</v>
      </c>
      <c r="C67" s="30">
        <v>-619.84112000000005</v>
      </c>
      <c r="D67" s="30">
        <f>IF(OR(-639.99993="",-619.84112="",-639.99993=0),"-",-619.84112/-639.99993*100)</f>
        <v>96.850185592989064</v>
      </c>
    </row>
    <row r="68" spans="1:5" x14ac:dyDescent="0.25">
      <c r="A68" s="63" t="s">
        <v>86</v>
      </c>
      <c r="B68" s="30">
        <v>-176.35694000000001</v>
      </c>
      <c r="C68" s="30">
        <v>-526.59118999999998</v>
      </c>
      <c r="D68" s="30" t="s">
        <v>297</v>
      </c>
      <c r="E68" s="1"/>
    </row>
    <row r="69" spans="1:5" x14ac:dyDescent="0.25">
      <c r="A69" s="63" t="s">
        <v>38</v>
      </c>
      <c r="B69" s="30">
        <v>-36.97139</v>
      </c>
      <c r="C69" s="30">
        <v>-493.69779999999997</v>
      </c>
      <c r="D69" s="30" t="s">
        <v>374</v>
      </c>
    </row>
    <row r="70" spans="1:5" x14ac:dyDescent="0.25">
      <c r="A70" s="63" t="s">
        <v>87</v>
      </c>
      <c r="B70" s="30">
        <v>-411.58211</v>
      </c>
      <c r="C70" s="30">
        <v>-457.87524999999999</v>
      </c>
      <c r="D70" s="30">
        <f>IF(OR(-411.58211="",-457.87525="",-411.58211=0),"-",-457.87525/-411.58211*100)</f>
        <v>111.24760743366615</v>
      </c>
    </row>
    <row r="71" spans="1:5" x14ac:dyDescent="0.25">
      <c r="A71" s="63" t="s">
        <v>91</v>
      </c>
      <c r="B71" s="30">
        <v>-98.589320000000001</v>
      </c>
      <c r="C71" s="30">
        <v>-411.48322000000002</v>
      </c>
      <c r="D71" s="30" t="s">
        <v>296</v>
      </c>
    </row>
    <row r="72" spans="1:5" x14ac:dyDescent="0.25">
      <c r="A72" s="63" t="s">
        <v>319</v>
      </c>
      <c r="B72" s="30">
        <v>-229.07848000000001</v>
      </c>
      <c r="C72" s="100">
        <v>-356.26058</v>
      </c>
      <c r="D72" s="30">
        <f>IF(OR(-229.07848="",-356.26058="",-229.07848=0),"-",-356.26058/-229.07848*100)</f>
        <v>155.51900815825212</v>
      </c>
    </row>
    <row r="73" spans="1:5" x14ac:dyDescent="0.25">
      <c r="A73" s="63" t="s">
        <v>94</v>
      </c>
      <c r="B73" s="30">
        <v>-200.48146</v>
      </c>
      <c r="C73" s="100">
        <v>-299.64584000000002</v>
      </c>
      <c r="D73" s="30">
        <f>IF(OR(-200.48146="",-299.64584="",-200.48146=0),"-",-299.64584/-200.48146*100)</f>
        <v>149.46311743739298</v>
      </c>
    </row>
    <row r="74" spans="1:5" x14ac:dyDescent="0.25">
      <c r="A74" s="63" t="s">
        <v>138</v>
      </c>
      <c r="B74" s="30">
        <v>-156.88140000000001</v>
      </c>
      <c r="C74" s="30">
        <v>-261.60082999999997</v>
      </c>
      <c r="D74" s="30" t="s">
        <v>100</v>
      </c>
    </row>
    <row r="75" spans="1:5" x14ac:dyDescent="0.25">
      <c r="A75" s="63" t="s">
        <v>85</v>
      </c>
      <c r="B75" s="30">
        <v>-484.12605000000002</v>
      </c>
      <c r="C75" s="30">
        <v>-234.81986000000001</v>
      </c>
      <c r="D75" s="30">
        <f>IF(OR(-484.12605="",-234.81986="",-484.12605=0),"-",-234.81986/-484.12605*100)</f>
        <v>48.503867949266514</v>
      </c>
    </row>
    <row r="76" spans="1:5" x14ac:dyDescent="0.25">
      <c r="A76" s="63" t="s">
        <v>359</v>
      </c>
      <c r="B76" s="30">
        <v>-654.66011000000003</v>
      </c>
      <c r="C76" s="30">
        <v>-204.65791999999999</v>
      </c>
      <c r="D76" s="30">
        <f>IF(OR(-654.66011="",-204.65792="",-654.66011=0),"-",-204.65792/-654.66011*100)</f>
        <v>31.261706169939078</v>
      </c>
      <c r="E76" s="10"/>
    </row>
    <row r="77" spans="1:5" x14ac:dyDescent="0.25">
      <c r="A77" s="63" t="s">
        <v>126</v>
      </c>
      <c r="B77" s="75">
        <v>-76.861369999999994</v>
      </c>
      <c r="C77" s="100">
        <v>-184.05883</v>
      </c>
      <c r="D77" s="30" t="s">
        <v>289</v>
      </c>
    </row>
    <row r="78" spans="1:5" x14ac:dyDescent="0.25">
      <c r="A78" s="63" t="s">
        <v>84</v>
      </c>
      <c r="B78" s="30">
        <v>-505.81090999999998</v>
      </c>
      <c r="C78" s="100">
        <v>-183.91141999999999</v>
      </c>
      <c r="D78" s="30">
        <f>IF(OR(-505.81091="",-183.91142="",-505.81091=0),"-",-183.91142/-505.81091*100)</f>
        <v>36.359717903277335</v>
      </c>
    </row>
    <row r="79" spans="1:5" x14ac:dyDescent="0.25">
      <c r="A79" s="63" t="s">
        <v>209</v>
      </c>
      <c r="B79" s="30">
        <v>-4.4437300000000004</v>
      </c>
      <c r="C79" s="100">
        <v>-181.04150999999999</v>
      </c>
      <c r="D79" s="30" t="s">
        <v>365</v>
      </c>
    </row>
    <row r="80" spans="1:5" x14ac:dyDescent="0.25">
      <c r="A80" s="63" t="s">
        <v>63</v>
      </c>
      <c r="B80" s="30">
        <v>-165.56809000000001</v>
      </c>
      <c r="C80" s="30">
        <v>-181.03228999999999</v>
      </c>
      <c r="D80" s="30">
        <f>IF(OR(-165.56809="",-181.03229="",-165.56809=0),"-",-181.03229/-165.56809*100)</f>
        <v>109.34008479532497</v>
      </c>
    </row>
    <row r="81" spans="1:5" x14ac:dyDescent="0.25">
      <c r="A81" s="63" t="s">
        <v>89</v>
      </c>
      <c r="B81" s="30">
        <v>-129.85318000000001</v>
      </c>
      <c r="C81" s="30">
        <v>-179.74875</v>
      </c>
      <c r="D81" s="30">
        <f>IF(OR(-129.85318="",-179.74875="",-129.85318=0),"-",-179.74875/-129.85318*100)</f>
        <v>138.4246038487467</v>
      </c>
    </row>
    <row r="82" spans="1:5" x14ac:dyDescent="0.25">
      <c r="A82" s="63" t="s">
        <v>302</v>
      </c>
      <c r="B82" s="30">
        <v>-7.0600000000000003E-3</v>
      </c>
      <c r="C82" s="30">
        <v>-160.40159</v>
      </c>
      <c r="D82" s="30" t="s">
        <v>375</v>
      </c>
    </row>
    <row r="83" spans="1:5" x14ac:dyDescent="0.25">
      <c r="A83" s="63" t="s">
        <v>95</v>
      </c>
      <c r="B83" s="30">
        <v>-215.02828</v>
      </c>
      <c r="C83" s="30">
        <v>-90.514390000000006</v>
      </c>
      <c r="D83" s="30">
        <f>IF(OR(-215.02828="",-90.51439="",-215.02828=0),"-",-90.51439/-215.02828*100)</f>
        <v>42.094179426073637</v>
      </c>
    </row>
    <row r="84" spans="1:5" x14ac:dyDescent="0.25">
      <c r="A84" s="63" t="s">
        <v>98</v>
      </c>
      <c r="B84" s="30">
        <v>183.98168999999999</v>
      </c>
      <c r="C84" s="30">
        <v>-88.73</v>
      </c>
      <c r="D84" s="30" t="s">
        <v>21</v>
      </c>
    </row>
    <row r="85" spans="1:5" x14ac:dyDescent="0.25">
      <c r="A85" s="63" t="s">
        <v>300</v>
      </c>
      <c r="B85" s="30">
        <v>12.373810000000001</v>
      </c>
      <c r="C85" s="30">
        <v>-86.188860000000005</v>
      </c>
      <c r="D85" s="30" t="s">
        <v>21</v>
      </c>
    </row>
    <row r="86" spans="1:5" x14ac:dyDescent="0.25">
      <c r="A86" s="63" t="s">
        <v>119</v>
      </c>
      <c r="B86" s="30">
        <v>-114.13523000000001</v>
      </c>
      <c r="C86" s="30">
        <v>-85.468379999999996</v>
      </c>
      <c r="D86" s="30">
        <f>IF(OR(-114.13523="",-85.46838="",-114.13523=0),"-",-85.46838/-114.13523*100)</f>
        <v>74.883434326105956</v>
      </c>
    </row>
    <row r="87" spans="1:5" x14ac:dyDescent="0.25">
      <c r="A87" s="63" t="s">
        <v>301</v>
      </c>
      <c r="B87" s="30">
        <v>-0.48514000000000002</v>
      </c>
      <c r="C87" s="30">
        <v>-75.943460000000002</v>
      </c>
      <c r="D87" s="30" t="s">
        <v>368</v>
      </c>
    </row>
    <row r="88" spans="1:5" x14ac:dyDescent="0.25">
      <c r="A88" s="63" t="s">
        <v>127</v>
      </c>
      <c r="B88" s="30">
        <v>-37.134230000000002</v>
      </c>
      <c r="C88" s="30">
        <v>-60.957949999999997</v>
      </c>
      <c r="D88" s="30" t="s">
        <v>101</v>
      </c>
    </row>
    <row r="89" spans="1:5" x14ac:dyDescent="0.25">
      <c r="A89" s="63" t="s">
        <v>90</v>
      </c>
      <c r="B89" s="100">
        <v>-862.99698999999998</v>
      </c>
      <c r="C89" s="30">
        <v>-57.183770000000003</v>
      </c>
      <c r="D89" s="30">
        <f>IF(OR(-862.99699="",-57.18377="",-862.99699=0),"-",-57.18377/-862.99699*100)</f>
        <v>6.6261841770734335</v>
      </c>
    </row>
    <row r="90" spans="1:5" x14ac:dyDescent="0.25">
      <c r="A90" s="63" t="s">
        <v>371</v>
      </c>
      <c r="B90" s="30" t="s">
        <v>287</v>
      </c>
      <c r="C90" s="30">
        <v>-52.076000000000001</v>
      </c>
      <c r="D90" s="30" t="str">
        <f>IF(OR(0="",-52.076="",0=0),"-",-52.076/0*100)</f>
        <v>-</v>
      </c>
    </row>
    <row r="91" spans="1:5" x14ac:dyDescent="0.25">
      <c r="A91" s="63" t="s">
        <v>132</v>
      </c>
      <c r="B91" s="30">
        <v>128.05065999999999</v>
      </c>
      <c r="C91" s="30">
        <v>51.91357</v>
      </c>
      <c r="D91" s="30">
        <f>IF(OR(128.05066="",51.91357="",128.05066=0),"-",51.91357/128.05066*100)</f>
        <v>40.541431024252432</v>
      </c>
    </row>
    <row r="92" spans="1:5" x14ac:dyDescent="0.25">
      <c r="A92" s="63" t="s">
        <v>137</v>
      </c>
      <c r="B92" s="30">
        <v>208.64400000000001</v>
      </c>
      <c r="C92" s="30">
        <v>63.374400000000001</v>
      </c>
      <c r="D92" s="30">
        <f>IF(OR(208.644="",63.3744="",208.644=0),"-",63.3744/208.644*100)</f>
        <v>30.374417668372921</v>
      </c>
    </row>
    <row r="93" spans="1:5" x14ac:dyDescent="0.25">
      <c r="A93" s="63" t="s">
        <v>139</v>
      </c>
      <c r="B93" s="30">
        <v>216.96617000000001</v>
      </c>
      <c r="C93" s="30">
        <v>69.129140000000007</v>
      </c>
      <c r="D93" s="30">
        <f>IF(OR(216.96617="",69.12914="",216.96617=0),"-",69.12914/216.96617*100)</f>
        <v>31.861713740902559</v>
      </c>
    </row>
    <row r="94" spans="1:5" x14ac:dyDescent="0.25">
      <c r="A94" s="63" t="s">
        <v>124</v>
      </c>
      <c r="B94" s="101">
        <v>28.818729999999999</v>
      </c>
      <c r="C94" s="30">
        <v>73.472409999999996</v>
      </c>
      <c r="D94" s="30" t="s">
        <v>205</v>
      </c>
    </row>
    <row r="95" spans="1:5" x14ac:dyDescent="0.25">
      <c r="A95" s="63" t="s">
        <v>120</v>
      </c>
      <c r="B95" s="30">
        <v>119.43317999999999</v>
      </c>
      <c r="C95" s="30">
        <v>82.009749999999997</v>
      </c>
      <c r="D95" s="30">
        <f>IF(OR(119.43318="",82.00975="",119.43318=0),"-",82.00975/119.43318*100)</f>
        <v>68.665801245516533</v>
      </c>
    </row>
    <row r="96" spans="1:5" x14ac:dyDescent="0.25">
      <c r="A96" s="63" t="s">
        <v>342</v>
      </c>
      <c r="B96" s="30" t="s">
        <v>287</v>
      </c>
      <c r="C96" s="30">
        <v>103.65089</v>
      </c>
      <c r="D96" s="30" t="str">
        <f>IF(OR(0="",103.65089="",0=0),"-",103.65089/0*100)</f>
        <v>-</v>
      </c>
      <c r="E96" s="10"/>
    </row>
    <row r="97" spans="1:5" x14ac:dyDescent="0.25">
      <c r="A97" s="63" t="s">
        <v>208</v>
      </c>
      <c r="B97" s="30">
        <v>4.9133899999999997</v>
      </c>
      <c r="C97" s="30">
        <v>113.81531</v>
      </c>
      <c r="D97" s="30" t="s">
        <v>376</v>
      </c>
    </row>
    <row r="98" spans="1:5" x14ac:dyDescent="0.25">
      <c r="A98" s="63" t="s">
        <v>306</v>
      </c>
      <c r="B98" s="30">
        <v>182.67859999999999</v>
      </c>
      <c r="C98" s="100">
        <v>176.90536</v>
      </c>
      <c r="D98" s="30">
        <f>IF(OR(182.6786="",176.90536="",182.6786=0),"-",176.90536/182.6786*100)</f>
        <v>96.839673612563274</v>
      </c>
      <c r="E98" s="9"/>
    </row>
    <row r="99" spans="1:5" x14ac:dyDescent="0.25">
      <c r="A99" s="63" t="s">
        <v>37</v>
      </c>
      <c r="B99" s="30">
        <v>-321.36685</v>
      </c>
      <c r="C99" s="30">
        <v>189.83851999999999</v>
      </c>
      <c r="D99" s="30" t="s">
        <v>21</v>
      </c>
    </row>
    <row r="100" spans="1:5" x14ac:dyDescent="0.25">
      <c r="A100" s="63" t="s">
        <v>67</v>
      </c>
      <c r="B100" s="30">
        <v>1206.6029599999999</v>
      </c>
      <c r="C100" s="30">
        <v>250.59953999999999</v>
      </c>
      <c r="D100" s="30">
        <f>IF(OR(1206.60296="",250.59954="",1206.60296=0),"-",250.59954/1206.60296*100)</f>
        <v>20.769014191710585</v>
      </c>
      <c r="E100" s="9"/>
    </row>
    <row r="101" spans="1:5" x14ac:dyDescent="0.25">
      <c r="A101" s="63" t="s">
        <v>75</v>
      </c>
      <c r="B101" s="30">
        <v>231.81474</v>
      </c>
      <c r="C101" s="30">
        <v>322.19474000000002</v>
      </c>
      <c r="D101" s="30">
        <f>IF(OR(231.81474="",322.19474="",231.81474=0),"-",322.19474/231.81474*100)</f>
        <v>138.98802983796458</v>
      </c>
      <c r="E101" s="1"/>
    </row>
    <row r="102" spans="1:5" x14ac:dyDescent="0.25">
      <c r="A102" s="63" t="s">
        <v>66</v>
      </c>
      <c r="B102" s="30">
        <v>-269.86237999999997</v>
      </c>
      <c r="C102" s="30">
        <v>397.12704000000002</v>
      </c>
      <c r="D102" s="30" t="s">
        <v>21</v>
      </c>
    </row>
    <row r="103" spans="1:5" x14ac:dyDescent="0.25">
      <c r="A103" s="63" t="s">
        <v>79</v>
      </c>
      <c r="B103" s="30">
        <v>-142.47390999999999</v>
      </c>
      <c r="C103" s="30">
        <v>437.20715000000001</v>
      </c>
      <c r="D103" s="30" t="s">
        <v>21</v>
      </c>
    </row>
    <row r="104" spans="1:5" x14ac:dyDescent="0.25">
      <c r="A104" s="63" t="s">
        <v>82</v>
      </c>
      <c r="B104" s="100">
        <v>-827.26086999999995</v>
      </c>
      <c r="C104" s="30">
        <v>451.97417999999999</v>
      </c>
      <c r="D104" s="30" t="s">
        <v>21</v>
      </c>
    </row>
    <row r="105" spans="1:5" x14ac:dyDescent="0.25">
      <c r="A105" s="63" t="s">
        <v>123</v>
      </c>
      <c r="B105" s="30">
        <v>-74.176169999999999</v>
      </c>
      <c r="C105" s="30">
        <v>467.56862999999998</v>
      </c>
      <c r="D105" s="30" t="s">
        <v>21</v>
      </c>
      <c r="E105" s="10"/>
    </row>
    <row r="106" spans="1:5" x14ac:dyDescent="0.25">
      <c r="A106" s="63" t="s">
        <v>62</v>
      </c>
      <c r="B106" s="30">
        <v>-3.6009199999999999</v>
      </c>
      <c r="C106" s="30">
        <v>503.25652000000002</v>
      </c>
      <c r="D106" s="30" t="s">
        <v>21</v>
      </c>
      <c r="E106" s="8"/>
    </row>
    <row r="107" spans="1:5" x14ac:dyDescent="0.25">
      <c r="A107" s="63" t="s">
        <v>93</v>
      </c>
      <c r="B107" s="30">
        <v>99.424080000000004</v>
      </c>
      <c r="C107" s="30">
        <v>511.15532999999999</v>
      </c>
      <c r="D107" s="30" t="s">
        <v>353</v>
      </c>
    </row>
    <row r="108" spans="1:5" x14ac:dyDescent="0.25">
      <c r="A108" s="63" t="s">
        <v>36</v>
      </c>
      <c r="B108" s="30">
        <v>-43.591549999999998</v>
      </c>
      <c r="C108" s="30">
        <v>835.60594000000003</v>
      </c>
      <c r="D108" s="30" t="s">
        <v>21</v>
      </c>
    </row>
    <row r="109" spans="1:5" x14ac:dyDescent="0.25">
      <c r="A109" s="63" t="s">
        <v>88</v>
      </c>
      <c r="B109" s="30">
        <v>-528.47101999999995</v>
      </c>
      <c r="C109" s="100">
        <v>844.56744000000003</v>
      </c>
      <c r="D109" s="30" t="s">
        <v>21</v>
      </c>
    </row>
    <row r="110" spans="1:5" x14ac:dyDescent="0.25">
      <c r="A110" s="63" t="s">
        <v>56</v>
      </c>
      <c r="B110" s="30">
        <v>538.69146000000001</v>
      </c>
      <c r="C110" s="30">
        <v>1076.2797</v>
      </c>
      <c r="D110" s="30" t="s">
        <v>19</v>
      </c>
    </row>
    <row r="111" spans="1:5" x14ac:dyDescent="0.25">
      <c r="A111" s="63" t="s">
        <v>117</v>
      </c>
      <c r="B111" s="30">
        <v>-235.79025999999999</v>
      </c>
      <c r="C111" s="100">
        <v>1734.47002</v>
      </c>
      <c r="D111" s="30" t="s">
        <v>21</v>
      </c>
    </row>
    <row r="112" spans="1:5" x14ac:dyDescent="0.25">
      <c r="A112" s="63" t="s">
        <v>59</v>
      </c>
      <c r="B112" s="30">
        <v>4451.3504599999997</v>
      </c>
      <c r="C112" s="30">
        <v>2191.9168500000001</v>
      </c>
      <c r="D112" s="30">
        <f>IF(OR(4451.35046="",2191.91685="",4451.35046=0),"-",2191.91685/4451.35046*100)</f>
        <v>49.241614869389558</v>
      </c>
    </row>
    <row r="113" spans="1:7" x14ac:dyDescent="0.25">
      <c r="A113" s="63" t="s">
        <v>57</v>
      </c>
      <c r="B113" s="30">
        <v>2329.6122500000001</v>
      </c>
      <c r="C113" s="30">
        <v>2841.6074400000002</v>
      </c>
      <c r="D113" s="30">
        <f>IF(OR(2329.61225="",2841.60744="",2329.61225=0),"-",2841.60744/2329.61225*100)</f>
        <v>121.97769993697449</v>
      </c>
    </row>
    <row r="114" spans="1:7" x14ac:dyDescent="0.25">
      <c r="A114" s="63" t="s">
        <v>315</v>
      </c>
      <c r="B114" s="30">
        <v>-1844.9059500000001</v>
      </c>
      <c r="C114" s="100">
        <v>8742.1705199999997</v>
      </c>
      <c r="D114" s="30" t="s">
        <v>21</v>
      </c>
    </row>
    <row r="115" spans="1:7" x14ac:dyDescent="0.25">
      <c r="A115" s="63" t="s">
        <v>55</v>
      </c>
      <c r="B115" s="30">
        <v>-23867.208589999998</v>
      </c>
      <c r="C115" s="100">
        <v>13306.05551</v>
      </c>
      <c r="D115" s="30" t="s">
        <v>21</v>
      </c>
    </row>
    <row r="116" spans="1:7" x14ac:dyDescent="0.25">
      <c r="A116" s="89" t="s">
        <v>314</v>
      </c>
      <c r="B116" s="31">
        <v>1408.5803699999999</v>
      </c>
      <c r="C116" s="31">
        <v>20519.831630000001</v>
      </c>
      <c r="D116" s="31" t="s">
        <v>377</v>
      </c>
    </row>
    <row r="117" spans="1:7" x14ac:dyDescent="0.25">
      <c r="A117" s="51" t="s">
        <v>286</v>
      </c>
      <c r="B117" s="61"/>
      <c r="C117" s="61"/>
      <c r="D117" s="61"/>
      <c r="E117" s="61"/>
      <c r="F117" s="7"/>
      <c r="G117" s="7"/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workbookViewId="0">
      <selection activeCell="G25" sqref="G25"/>
    </sheetView>
  </sheetViews>
  <sheetFormatPr defaultRowHeight="15.75" x14ac:dyDescent="0.25"/>
  <cols>
    <col min="1" max="1" width="30.37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117" t="s">
        <v>295</v>
      </c>
      <c r="B1" s="117"/>
      <c r="C1" s="117"/>
      <c r="D1" s="117"/>
      <c r="E1" s="117"/>
    </row>
    <row r="2" spans="1:6" x14ac:dyDescent="0.25">
      <c r="A2" s="7"/>
      <c r="B2" s="7"/>
      <c r="C2" s="7"/>
      <c r="D2" s="7"/>
      <c r="E2" s="7"/>
    </row>
    <row r="3" spans="1:6" ht="18.75" customHeight="1" x14ac:dyDescent="0.25">
      <c r="A3" s="118"/>
      <c r="B3" s="121" t="s">
        <v>332</v>
      </c>
      <c r="C3" s="122"/>
      <c r="D3" s="121" t="s">
        <v>105</v>
      </c>
      <c r="E3" s="137"/>
      <c r="F3" s="1"/>
    </row>
    <row r="4" spans="1:6" ht="18.75" customHeight="1" x14ac:dyDescent="0.25">
      <c r="A4" s="119"/>
      <c r="B4" s="125" t="s">
        <v>116</v>
      </c>
      <c r="C4" s="127" t="s">
        <v>333</v>
      </c>
      <c r="D4" s="129" t="s">
        <v>330</v>
      </c>
      <c r="E4" s="121"/>
      <c r="F4" s="1"/>
    </row>
    <row r="5" spans="1:6" ht="23.25" customHeight="1" x14ac:dyDescent="0.25">
      <c r="A5" s="120"/>
      <c r="B5" s="126"/>
      <c r="C5" s="128"/>
      <c r="D5" s="82" t="s">
        <v>334</v>
      </c>
      <c r="E5" s="83" t="s">
        <v>335</v>
      </c>
      <c r="F5" s="1"/>
    </row>
    <row r="6" spans="1:6" ht="15.75" customHeight="1" x14ac:dyDescent="0.25">
      <c r="A6" s="42" t="s">
        <v>128</v>
      </c>
      <c r="B6" s="58">
        <v>666964.69128999999</v>
      </c>
      <c r="C6" s="26" t="s">
        <v>101</v>
      </c>
      <c r="D6" s="59">
        <v>100</v>
      </c>
      <c r="E6" s="59">
        <v>100</v>
      </c>
    </row>
    <row r="7" spans="1:6" ht="15.75" customHeight="1" x14ac:dyDescent="0.25">
      <c r="A7" s="43" t="s">
        <v>121</v>
      </c>
      <c r="B7" s="78"/>
      <c r="C7" s="37"/>
      <c r="D7" s="55"/>
      <c r="E7" s="55"/>
    </row>
    <row r="8" spans="1:6" x14ac:dyDescent="0.25">
      <c r="A8" s="44" t="s">
        <v>107</v>
      </c>
      <c r="B8" s="30">
        <v>84483.893689999997</v>
      </c>
      <c r="C8" s="38" t="s">
        <v>321</v>
      </c>
      <c r="D8" s="115">
        <f>IF(18014.73407="","-",18014.73407/425472.26165*100)</f>
        <v>4.2340560581171784</v>
      </c>
      <c r="E8" s="30">
        <f>IF(84483.89369="","-",84483.89369/666964.69129*100)</f>
        <v>12.666921471749385</v>
      </c>
    </row>
    <row r="9" spans="1:6" x14ac:dyDescent="0.25">
      <c r="A9" s="44" t="s">
        <v>108</v>
      </c>
      <c r="B9" s="30">
        <v>61094.976329999998</v>
      </c>
      <c r="C9" s="38" t="s">
        <v>380</v>
      </c>
      <c r="D9" s="115">
        <f>IF(4868.39175="","-",4868.39175/425472.26165*100)</f>
        <v>1.1442324656183611</v>
      </c>
      <c r="E9" s="30">
        <f>IF(61094.97633="","-",61094.97633/666964.69129*100)</f>
        <v>9.1601515234388273</v>
      </c>
    </row>
    <row r="10" spans="1:6" x14ac:dyDescent="0.25">
      <c r="A10" s="44" t="s">
        <v>109</v>
      </c>
      <c r="B10" s="30">
        <v>515272.92372999998</v>
      </c>
      <c r="C10" s="38">
        <v>129.22523752265349</v>
      </c>
      <c r="D10" s="115">
        <f>IF(398740.16377="","-",398740.16377/425472.26165*100)</f>
        <v>93.717076225761048</v>
      </c>
      <c r="E10" s="30">
        <f>IF(515272.92373="","-",515272.92373/666964.69129*100)</f>
        <v>77.256402094298636</v>
      </c>
    </row>
    <row r="11" spans="1:6" x14ac:dyDescent="0.25">
      <c r="A11" s="44" t="s">
        <v>110</v>
      </c>
      <c r="B11" s="30">
        <v>5982.8433699999996</v>
      </c>
      <c r="C11" s="38" t="s">
        <v>101</v>
      </c>
      <c r="D11" s="115">
        <f>IF(3725.6153="","-",3725.6153/425472.26165*100)</f>
        <v>0.87564234752975467</v>
      </c>
      <c r="E11" s="30">
        <f>IF(5982.84337="","-",5982.84337/666964.69129*100)</f>
        <v>0.89702550196898301</v>
      </c>
    </row>
    <row r="12" spans="1:6" x14ac:dyDescent="0.25">
      <c r="A12" s="44" t="s">
        <v>111</v>
      </c>
      <c r="B12" s="30">
        <v>124.6229</v>
      </c>
      <c r="C12" s="38" t="s">
        <v>199</v>
      </c>
      <c r="D12" s="115">
        <f>IF(69.19085="","-",69.19085/425472.26165*100)</f>
        <v>1.6262129458610268E-2</v>
      </c>
      <c r="E12" s="30">
        <f>IF(124.6229="","-",124.6229/666964.69129*100)</f>
        <v>1.868508207817755E-2</v>
      </c>
    </row>
    <row r="13" spans="1:6" x14ac:dyDescent="0.25">
      <c r="A13" s="44" t="s">
        <v>112</v>
      </c>
      <c r="B13" s="30">
        <v>0.89510000000000001</v>
      </c>
      <c r="C13" s="38">
        <v>94.317355615733959</v>
      </c>
      <c r="D13" s="115">
        <f>IF(0.94903="","-",0.94903/425472.26165*100)</f>
        <v>2.2305331875681396E-4</v>
      </c>
      <c r="E13" s="30">
        <f>IF(0.8951="","-",0.8951/666964.69129*100)</f>
        <v>1.3420500540572175E-4</v>
      </c>
    </row>
    <row r="14" spans="1:6" x14ac:dyDescent="0.25">
      <c r="A14" s="44" t="s">
        <v>113</v>
      </c>
      <c r="B14" s="30">
        <v>4.5361700000000003</v>
      </c>
      <c r="C14" s="38">
        <v>8.5239307527987371</v>
      </c>
      <c r="D14" s="115">
        <f>IF(53.21688="","-",53.21688/425472.26165*100)</f>
        <v>1.2507720196287915E-2</v>
      </c>
      <c r="E14" s="30">
        <f>IF(4.53617="","-",4.53617/666964.69129*100)</f>
        <v>6.8012146058683159E-4</v>
      </c>
    </row>
    <row r="15" spans="1:6" x14ac:dyDescent="0.25">
      <c r="A15" s="27" t="s">
        <v>201</v>
      </c>
      <c r="B15" s="28">
        <v>414120.16401000001</v>
      </c>
      <c r="C15" s="28">
        <f>IF(270590.66677="","-",414120.16401/270590.66677*100)</f>
        <v>153.04303321074963</v>
      </c>
      <c r="D15" s="28">
        <f>IF(270590.66677="","-",270590.66677/425472.26165*100)</f>
        <v>63.597722145419681</v>
      </c>
      <c r="E15" s="28">
        <f>IF(414120.16401="","-",414120.16401/666964.69129*100)</f>
        <v>62.090267958418544</v>
      </c>
    </row>
    <row r="16" spans="1:6" x14ac:dyDescent="0.25">
      <c r="A16" s="43" t="s">
        <v>121</v>
      </c>
      <c r="B16" s="28"/>
      <c r="C16" s="39"/>
      <c r="D16" s="100"/>
      <c r="E16" s="100"/>
    </row>
    <row r="17" spans="1:10" x14ac:dyDescent="0.25">
      <c r="A17" s="44" t="s">
        <v>107</v>
      </c>
      <c r="B17" s="30">
        <v>67943.535959999994</v>
      </c>
      <c r="C17" s="40" t="s">
        <v>381</v>
      </c>
      <c r="D17" s="30">
        <f>IF(5343.73391="","-",5343.73391/425472.26165*100)</f>
        <v>1.2559535348501372</v>
      </c>
      <c r="E17" s="30">
        <f>IF(67943.53596="","-",67943.53596/666964.69129*100)</f>
        <v>10.186976439275668</v>
      </c>
      <c r="J17" s="16"/>
    </row>
    <row r="18" spans="1:10" x14ac:dyDescent="0.25">
      <c r="A18" s="44" t="s">
        <v>108</v>
      </c>
      <c r="B18" s="30">
        <v>10170.75712</v>
      </c>
      <c r="C18" s="40" t="s">
        <v>382</v>
      </c>
      <c r="D18" s="30">
        <f>IF(1573.61797="","-",1573.61797/425472.26165*100)</f>
        <v>0.36985207070783904</v>
      </c>
      <c r="E18" s="30">
        <f>IF(10170.75712="","-",10170.75712/666964.69129*100)</f>
        <v>1.5249318671320335</v>
      </c>
    </row>
    <row r="19" spans="1:10" x14ac:dyDescent="0.25">
      <c r="A19" s="44" t="s">
        <v>109</v>
      </c>
      <c r="B19" s="30">
        <v>335178.83968999999</v>
      </c>
      <c r="C19" s="40">
        <v>127.51632342143023</v>
      </c>
      <c r="D19" s="30">
        <f>IF(262851.71239="","-",262851.71239/425472.26165*100)</f>
        <v>61.778812882101789</v>
      </c>
      <c r="E19" s="30">
        <f>IF(335178.83969="","-",335178.83969/666964.69129*100)</f>
        <v>50.254360398257184</v>
      </c>
    </row>
    <row r="20" spans="1:10" x14ac:dyDescent="0.25">
      <c r="A20" s="44" t="s">
        <v>110</v>
      </c>
      <c r="B20" s="30">
        <v>770.37786000000006</v>
      </c>
      <c r="C20" s="40">
        <v>102.47978679760618</v>
      </c>
      <c r="D20" s="30">
        <f>IF(751.7364="","-",751.7364/425472.26165*100)</f>
        <v>0.17668282230308821</v>
      </c>
      <c r="E20" s="30">
        <f>IF(770.37786="","-",770.37786/666964.69129*100)</f>
        <v>0.11550504397916253</v>
      </c>
    </row>
    <row r="21" spans="1:10" x14ac:dyDescent="0.25">
      <c r="A21" s="44" t="s">
        <v>111</v>
      </c>
      <c r="B21" s="30">
        <v>52.11721</v>
      </c>
      <c r="C21" s="40">
        <v>100.55739796312133</v>
      </c>
      <c r="D21" s="30">
        <f>IF(51.82832="","-",51.82832/425472.26165*100)</f>
        <v>1.2181362845842762E-2</v>
      </c>
      <c r="E21" s="30">
        <f>IF(52.11721="","-",52.11721/666964.69129*100)</f>
        <v>7.8140883139103303E-3</v>
      </c>
    </row>
    <row r="22" spans="1:10" x14ac:dyDescent="0.25">
      <c r="A22" s="33" t="s">
        <v>113</v>
      </c>
      <c r="B22" s="30">
        <v>4.5361700000000003</v>
      </c>
      <c r="C22" s="40">
        <v>25.148161248224561</v>
      </c>
      <c r="D22" s="30">
        <f>IF(18.03778="","-",18.03778/425472.26165*100)</f>
        <v>4.239472610987307E-3</v>
      </c>
      <c r="E22" s="30">
        <f>IF(4.53617="","-",4.53617/666964.69129*100)</f>
        <v>6.8012146058683159E-4</v>
      </c>
    </row>
    <row r="23" spans="1:10" x14ac:dyDescent="0.25">
      <c r="A23" s="27" t="s">
        <v>202</v>
      </c>
      <c r="B23" s="28">
        <v>78536.470310000004</v>
      </c>
      <c r="C23" s="39">
        <v>116.50317566928842</v>
      </c>
      <c r="D23" s="28">
        <f>IF(67411.44167="","-",67411.44167/425472.26165*100)</f>
        <v>15.843909872896411</v>
      </c>
      <c r="E23" s="28">
        <f>IF(78536.47031="","-",78536.47031/666964.69129*100)</f>
        <v>11.775206594235122</v>
      </c>
    </row>
    <row r="24" spans="1:10" x14ac:dyDescent="0.25">
      <c r="A24" s="43" t="s">
        <v>121</v>
      </c>
      <c r="B24" s="28"/>
      <c r="C24" s="39"/>
      <c r="D24" s="100"/>
      <c r="E24" s="100"/>
    </row>
    <row r="25" spans="1:10" x14ac:dyDescent="0.25">
      <c r="A25" s="44" t="s">
        <v>107</v>
      </c>
      <c r="B25" s="30">
        <v>71.496979999999994</v>
      </c>
      <c r="C25" s="40">
        <v>0.87647123903636803</v>
      </c>
      <c r="D25" s="30">
        <f>IF(8157.3675="","-",8157.3675/425472.26165*100)</f>
        <v>1.91725013244468</v>
      </c>
      <c r="E25" s="30">
        <f>IF(71.49698="","-",71.49698/666964.69129*100)</f>
        <v>1.0719754873637338E-2</v>
      </c>
    </row>
    <row r="26" spans="1:10" x14ac:dyDescent="0.25">
      <c r="A26" s="44" t="s">
        <v>108</v>
      </c>
      <c r="B26" s="30">
        <v>739.95408999999995</v>
      </c>
      <c r="C26" s="40">
        <v>152.95891436090741</v>
      </c>
      <c r="D26" s="30">
        <f>IF(483.76003="","-",483.76003/425472.26165*100)</f>
        <v>0.11369954603478907</v>
      </c>
      <c r="E26" s="30">
        <f>IF(739.95409="","-",739.95409/666964.69129*100)</f>
        <v>0.11094351764991166</v>
      </c>
      <c r="F26" s="1"/>
    </row>
    <row r="27" spans="1:10" x14ac:dyDescent="0.25">
      <c r="A27" s="44" t="s">
        <v>109</v>
      </c>
      <c r="B27" s="30">
        <v>76246.325970000005</v>
      </c>
      <c r="C27" s="40">
        <v>131.14483574857317</v>
      </c>
      <c r="D27" s="30">
        <f>IF(58139.02281="","-",58139.02281/425472.26165*100)</f>
        <v>13.66458593200279</v>
      </c>
      <c r="E27" s="30">
        <f>IF(76246.32597="","-",76246.32597/666964.69129*100)</f>
        <v>11.431838441481707</v>
      </c>
      <c r="F27" s="10"/>
    </row>
    <row r="28" spans="1:10" x14ac:dyDescent="0.25">
      <c r="A28" s="44" t="s">
        <v>110</v>
      </c>
      <c r="B28" s="30">
        <v>1435.2096300000001</v>
      </c>
      <c r="C28" s="40" t="s">
        <v>289</v>
      </c>
      <c r="D28" s="30">
        <f>IF(594.36057="","-",594.36057/425472.26165*100)</f>
        <v>0.13969431701494331</v>
      </c>
      <c r="E28" s="30">
        <f>IF(1435.20963="","-",1435.20963/666964.69129*100)</f>
        <v>0.21518524874594341</v>
      </c>
    </row>
    <row r="29" spans="1:10" x14ac:dyDescent="0.25">
      <c r="A29" s="44" t="s">
        <v>111</v>
      </c>
      <c r="B29" s="30">
        <v>42.588540000000002</v>
      </c>
      <c r="C29" s="40" t="s">
        <v>383</v>
      </c>
      <c r="D29" s="30">
        <f>IF(0.80263="","-",0.80263/425472.26165*100)</f>
        <v>1.886444951516618E-4</v>
      </c>
      <c r="E29" s="30">
        <f>IF(42.58854="","-",42.58854/666964.69129*100)</f>
        <v>6.3854264785183756E-3</v>
      </c>
    </row>
    <row r="30" spans="1:10" x14ac:dyDescent="0.25">
      <c r="A30" s="44" t="s">
        <v>112</v>
      </c>
      <c r="B30" s="30">
        <v>0.89510000000000001</v>
      </c>
      <c r="C30" s="40">
        <v>94.317355615733959</v>
      </c>
      <c r="D30" s="30">
        <f>IF(0.94903="","-",0.94903/425472.26165*100)</f>
        <v>2.2305331875681396E-4</v>
      </c>
      <c r="E30" s="30">
        <f>IF(0.8951="","-",0.8951/666964.69129*100)</f>
        <v>1.3420500540572175E-4</v>
      </c>
    </row>
    <row r="31" spans="1:10" x14ac:dyDescent="0.25">
      <c r="A31" s="27" t="s">
        <v>299</v>
      </c>
      <c r="B31" s="28">
        <v>174308.05697000001</v>
      </c>
      <c r="C31" s="39" t="s">
        <v>19</v>
      </c>
      <c r="D31" s="28">
        <f>IF(87470.15321="","-",87470.15321/425472.26165*100)</f>
        <v>20.558367981683915</v>
      </c>
      <c r="E31" s="28">
        <f>IF(174308.05697="","-",174308.05697/666964.69129*100)</f>
        <v>26.134525447346341</v>
      </c>
    </row>
    <row r="32" spans="1:10" x14ac:dyDescent="0.25">
      <c r="A32" s="43" t="s">
        <v>121</v>
      </c>
      <c r="B32" s="28"/>
      <c r="C32" s="39"/>
      <c r="D32" s="100"/>
      <c r="E32" s="100"/>
    </row>
    <row r="33" spans="1:5" x14ac:dyDescent="0.25">
      <c r="A33" s="44" t="s">
        <v>107</v>
      </c>
      <c r="B33" s="30">
        <v>16468.86075</v>
      </c>
      <c r="C33" s="40" t="s">
        <v>328</v>
      </c>
      <c r="D33" s="30">
        <f>IF(4513.63266="","-",4513.63266/425472.26165*100)</f>
        <v>1.0608523908223619</v>
      </c>
      <c r="E33" s="30">
        <f>IF(16468.86075="","-",16468.86075/666964.69129*100)</f>
        <v>2.4692252776000774</v>
      </c>
    </row>
    <row r="34" spans="1:5" x14ac:dyDescent="0.25">
      <c r="A34" s="44" t="s">
        <v>108</v>
      </c>
      <c r="B34" s="30">
        <v>50184.265119999996</v>
      </c>
      <c r="C34" s="40" t="s">
        <v>384</v>
      </c>
      <c r="D34" s="30">
        <f>IF(2811.01375="","-",2811.01375/425472.26165*100)</f>
        <v>0.66068084887573297</v>
      </c>
      <c r="E34" s="30">
        <f>IF(50184.26512="","-",50184.26512/666964.69129*100)</f>
        <v>7.5242761386568811</v>
      </c>
    </row>
    <row r="35" spans="1:5" x14ac:dyDescent="0.25">
      <c r="A35" s="44" t="s">
        <v>109</v>
      </c>
      <c r="B35" s="30">
        <v>103847.75807</v>
      </c>
      <c r="C35" s="40">
        <v>133.56722998485182</v>
      </c>
      <c r="D35" s="30">
        <f>IF(77749.42857="","-",77749.42857/425472.26165*100)</f>
        <v>18.273677411656479</v>
      </c>
      <c r="E35" s="30">
        <f>IF(103847.75807="","-",103847.75807/666964.69129*100)</f>
        <v>15.570203254559752</v>
      </c>
    </row>
    <row r="36" spans="1:5" x14ac:dyDescent="0.25">
      <c r="A36" s="44" t="s">
        <v>110</v>
      </c>
      <c r="B36" s="36">
        <v>3777.2558800000002</v>
      </c>
      <c r="C36" s="41" t="s">
        <v>101</v>
      </c>
      <c r="D36" s="30">
        <f>IF(2379.51833="","-",2379.51833/425472.26165*100)</f>
        <v>0.5592652082117231</v>
      </c>
      <c r="E36" s="36">
        <f>IF(3777.25588="","-",3777.25588/666964.69129*100)</f>
        <v>0.56633520924387715</v>
      </c>
    </row>
    <row r="37" spans="1:5" x14ac:dyDescent="0.25">
      <c r="A37" s="45" t="s">
        <v>111</v>
      </c>
      <c r="B37" s="31">
        <v>29.917149999999999</v>
      </c>
      <c r="C37" s="47" t="s">
        <v>199</v>
      </c>
      <c r="D37" s="31">
        <f>IF(16.5599="","-",16.5599/425472.26165*100)</f>
        <v>3.8921221176158424E-3</v>
      </c>
      <c r="E37" s="31">
        <f>IF(29.91715="","-",29.91715/666964.69129*100)</f>
        <v>4.4855672857488423E-3</v>
      </c>
    </row>
    <row r="38" spans="1:5" x14ac:dyDescent="0.25">
      <c r="A38" s="53" t="s">
        <v>20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workbookViewId="0">
      <selection activeCell="H31" sqref="H31"/>
    </sheetView>
  </sheetViews>
  <sheetFormatPr defaultRowHeight="15.75" x14ac:dyDescent="0.25"/>
  <cols>
    <col min="1" max="1" width="31" customWidth="1"/>
    <col min="2" max="2" width="14.5" customWidth="1"/>
    <col min="3" max="3" width="13.75" customWidth="1"/>
    <col min="4" max="5" width="11.625" customWidth="1"/>
  </cols>
  <sheetData>
    <row r="1" spans="1:5" x14ac:dyDescent="0.25">
      <c r="A1" s="117" t="s">
        <v>294</v>
      </c>
      <c r="B1" s="117"/>
      <c r="C1" s="117"/>
      <c r="D1" s="117"/>
      <c r="E1" s="117"/>
    </row>
    <row r="2" spans="1:5" x14ac:dyDescent="0.25">
      <c r="A2" s="7"/>
      <c r="B2" s="7"/>
      <c r="C2" s="7"/>
      <c r="D2" s="7"/>
      <c r="E2" s="7"/>
    </row>
    <row r="3" spans="1:5" ht="18.75" customHeight="1" x14ac:dyDescent="0.25">
      <c r="A3" s="118"/>
      <c r="B3" s="121" t="s">
        <v>332</v>
      </c>
      <c r="C3" s="122"/>
      <c r="D3" s="121" t="s">
        <v>105</v>
      </c>
      <c r="E3" s="137"/>
    </row>
    <row r="4" spans="1:5" ht="18.75" customHeight="1" x14ac:dyDescent="0.25">
      <c r="A4" s="119"/>
      <c r="B4" s="125" t="s">
        <v>116</v>
      </c>
      <c r="C4" s="127" t="s">
        <v>333</v>
      </c>
      <c r="D4" s="129" t="s">
        <v>330</v>
      </c>
      <c r="E4" s="121"/>
    </row>
    <row r="5" spans="1:5" ht="23.25" customHeight="1" x14ac:dyDescent="0.25">
      <c r="A5" s="120"/>
      <c r="B5" s="126"/>
      <c r="C5" s="128"/>
      <c r="D5" s="82" t="s">
        <v>334</v>
      </c>
      <c r="E5" s="83" t="s">
        <v>335</v>
      </c>
    </row>
    <row r="6" spans="1:5" ht="15.75" customHeight="1" x14ac:dyDescent="0.25">
      <c r="A6" s="42" t="s">
        <v>122</v>
      </c>
      <c r="B6" s="58">
        <v>1290328.17958</v>
      </c>
      <c r="C6" s="102">
        <v>140.130078395043</v>
      </c>
      <c r="D6" s="60">
        <v>100</v>
      </c>
      <c r="E6" s="60">
        <v>100</v>
      </c>
    </row>
    <row r="7" spans="1:5" ht="15.75" customHeight="1" x14ac:dyDescent="0.25">
      <c r="A7" s="43" t="s">
        <v>121</v>
      </c>
      <c r="B7" s="17"/>
      <c r="C7" s="39"/>
      <c r="D7" s="17"/>
      <c r="E7" s="17"/>
    </row>
    <row r="8" spans="1:5" x14ac:dyDescent="0.25">
      <c r="A8" s="44" t="s">
        <v>107</v>
      </c>
      <c r="B8" s="36">
        <v>40270.374450000003</v>
      </c>
      <c r="C8" s="40" t="s">
        <v>92</v>
      </c>
      <c r="D8" s="30">
        <f>IF(18785.62009="","-",18785.62009/920807.43432*100)</f>
        <v>2.0401247198740147</v>
      </c>
      <c r="E8" s="30">
        <f>IF(40270.37445="","-",40270.37445/1290328.17958*100)</f>
        <v>3.1209404775696639</v>
      </c>
    </row>
    <row r="9" spans="1:5" x14ac:dyDescent="0.25">
      <c r="A9" s="44" t="s">
        <v>108</v>
      </c>
      <c r="B9" s="36">
        <v>57745.020960000002</v>
      </c>
      <c r="C9" s="40">
        <v>123.23373046568899</v>
      </c>
      <c r="D9" s="30">
        <f>IF(46858.12946="","-",46858.12946/920807.43432*100)</f>
        <v>5.0888087686437817</v>
      </c>
      <c r="E9" s="30">
        <f>IF(57745.02096="","-",57745.02096/1290328.17958*100)</f>
        <v>4.4752197056407717</v>
      </c>
    </row>
    <row r="10" spans="1:5" x14ac:dyDescent="0.25">
      <c r="A10" s="44" t="s">
        <v>109</v>
      </c>
      <c r="B10" s="36">
        <v>944520.75928999996</v>
      </c>
      <c r="C10" s="40">
        <v>121.23236064950285</v>
      </c>
      <c r="D10" s="30">
        <f>IF(779099.53599="","-",779099.53599/920807.43432*100)</f>
        <v>84.610474128648974</v>
      </c>
      <c r="E10" s="30">
        <f>IF(944520.75929="","-",944520.75929/1290328.17958*100)</f>
        <v>73.200041217222747</v>
      </c>
    </row>
    <row r="11" spans="1:5" x14ac:dyDescent="0.25">
      <c r="A11" s="44" t="s">
        <v>110</v>
      </c>
      <c r="B11" s="36">
        <v>22440.05572</v>
      </c>
      <c r="C11" s="40">
        <v>106.95272644655027</v>
      </c>
      <c r="D11" s="30">
        <f>IF(20981.28441="","-",20981.28441/920807.43432*100)</f>
        <v>2.2785746104986986</v>
      </c>
      <c r="E11" s="30">
        <f>IF(22440.05572="","-",22440.05572/1290328.17958*100)</f>
        <v>1.7390967720556336</v>
      </c>
    </row>
    <row r="12" spans="1:5" x14ac:dyDescent="0.25">
      <c r="A12" s="44" t="s">
        <v>111</v>
      </c>
      <c r="B12" s="36">
        <v>1499.3061</v>
      </c>
      <c r="C12" s="40">
        <v>103.18493922526093</v>
      </c>
      <c r="D12" s="30">
        <f>IF(1453.02804="","-",1453.02804/920807.43432*100)</f>
        <v>0.15779933847656602</v>
      </c>
      <c r="E12" s="30">
        <f>IF(1499.3061="","-",1499.3061/1290328.17958*100)</f>
        <v>0.11619571855650103</v>
      </c>
    </row>
    <row r="13" spans="1:5" x14ac:dyDescent="0.25">
      <c r="A13" s="44" t="s">
        <v>112</v>
      </c>
      <c r="B13" s="36">
        <v>217084.93449000001</v>
      </c>
      <c r="C13" s="40" t="s">
        <v>385</v>
      </c>
      <c r="D13" s="30">
        <f>IF(49189.24451="","-",49189.24451/920807.43432*100)</f>
        <v>5.3419686545347433</v>
      </c>
      <c r="E13" s="30">
        <f>IF(217084.93449="","-",217084.93449/1290328.17958*100)</f>
        <v>16.824009420662335</v>
      </c>
    </row>
    <row r="14" spans="1:5" x14ac:dyDescent="0.25">
      <c r="A14" s="44" t="s">
        <v>113</v>
      </c>
      <c r="B14" s="36">
        <v>6767.7285700000002</v>
      </c>
      <c r="C14" s="40">
        <v>152.40600452216302</v>
      </c>
      <c r="D14" s="30">
        <f>IF(4440.59182="","-",4440.59182/920807.43432*100)</f>
        <v>0.48224977932321955</v>
      </c>
      <c r="E14" s="30">
        <f>IF(6767.72857="","-",6767.72857/1290328.17958*100)</f>
        <v>0.52449668829234486</v>
      </c>
    </row>
    <row r="15" spans="1:5" x14ac:dyDescent="0.25">
      <c r="A15" s="27" t="s">
        <v>201</v>
      </c>
      <c r="B15" s="103">
        <v>538714.64043999999</v>
      </c>
      <c r="C15" s="56">
        <v>126.54607249059202</v>
      </c>
      <c r="D15" s="28">
        <f>IF(425706.32959="","-",425706.32959/920807.43432*100)</f>
        <v>46.231851929429368</v>
      </c>
      <c r="E15" s="28">
        <f>IF(538714.64044="","-",538714.64044/1290328.17958*100)</f>
        <v>41.750203472681719</v>
      </c>
    </row>
    <row r="16" spans="1:5" x14ac:dyDescent="0.25">
      <c r="A16" s="43" t="s">
        <v>121</v>
      </c>
      <c r="B16" s="78"/>
      <c r="C16" s="56"/>
      <c r="D16" s="78"/>
      <c r="E16" s="78"/>
    </row>
    <row r="17" spans="1:6" x14ac:dyDescent="0.25">
      <c r="A17" s="44" t="s">
        <v>107</v>
      </c>
      <c r="B17" s="36">
        <v>12202.037259999999</v>
      </c>
      <c r="C17" s="41" t="s">
        <v>102</v>
      </c>
      <c r="D17" s="30">
        <f>IF(6290.60562="","-",6290.60562/920807.43432*100)</f>
        <v>0.68316190612052363</v>
      </c>
      <c r="E17" s="30">
        <f>IF(12202.03726="","-",12202.03726/1290328.17958*100)</f>
        <v>0.94565378429321334</v>
      </c>
    </row>
    <row r="18" spans="1:6" x14ac:dyDescent="0.25">
      <c r="A18" s="44" t="s">
        <v>108</v>
      </c>
      <c r="B18" s="36">
        <v>20916.94167</v>
      </c>
      <c r="C18" s="41">
        <v>148.41891595609951</v>
      </c>
      <c r="D18" s="30">
        <f>IF(14093.17777="","-",14093.17777/920807.43432*100)</f>
        <v>1.530523890742429</v>
      </c>
      <c r="E18" s="30">
        <f>IF(20916.94167="","-",20916.94167/1290328.17958*100)</f>
        <v>1.621055945380379</v>
      </c>
    </row>
    <row r="19" spans="1:6" x14ac:dyDescent="0.25">
      <c r="A19" s="44" t="s">
        <v>109</v>
      </c>
      <c r="B19" s="36">
        <v>494702.06335000001</v>
      </c>
      <c r="C19" s="41">
        <v>124.93563781019337</v>
      </c>
      <c r="D19" s="30">
        <f>IF(395965.53235="","-",395965.53235/920807.43432*100)</f>
        <v>43.001991251559943</v>
      </c>
      <c r="E19" s="30">
        <f>IF(494702.06335="","-",494702.06335/1290328.17958*100)</f>
        <v>38.339243548957043</v>
      </c>
    </row>
    <row r="20" spans="1:6" x14ac:dyDescent="0.25">
      <c r="A20" s="44" t="s">
        <v>110</v>
      </c>
      <c r="B20" s="36">
        <v>4001.2050899999999</v>
      </c>
      <c r="C20" s="41">
        <v>82.472674262517003</v>
      </c>
      <c r="D20" s="30">
        <f>IF(4851.5525="","-",4851.5525/920807.43432*100)</f>
        <v>0.52688024870072703</v>
      </c>
      <c r="E20" s="30">
        <f>IF(4001.20509="","-",4001.20509/1290328.17958*100)</f>
        <v>0.31009204893148862</v>
      </c>
    </row>
    <row r="21" spans="1:6" x14ac:dyDescent="0.25">
      <c r="A21" s="44" t="s">
        <v>111</v>
      </c>
      <c r="B21" s="36">
        <v>1091.6094399999999</v>
      </c>
      <c r="C21" s="41">
        <v>140.38530804065331</v>
      </c>
      <c r="D21" s="30">
        <f>IF(777.58097="","-",777.58097/920807.43432*100)</f>
        <v>8.4445557346550931E-2</v>
      </c>
      <c r="E21" s="30">
        <f>IF(1091.60944="","-",1091.60944/1290328.17958*100)</f>
        <v>8.4599364508594802E-2</v>
      </c>
    </row>
    <row r="22" spans="1:6" x14ac:dyDescent="0.25">
      <c r="A22" s="44" t="s">
        <v>113</v>
      </c>
      <c r="B22" s="36">
        <v>5800.7836299999999</v>
      </c>
      <c r="C22" s="41">
        <v>155.60541215649201</v>
      </c>
      <c r="D22" s="30">
        <f>IF(3727.88038="","-",3727.88038/920807.43432*100)</f>
        <v>0.40484907495919309</v>
      </c>
      <c r="E22" s="30">
        <f>IF(5800.78363="","-",5800.78363/1290328.17958*100)</f>
        <v>0.44955878061100291</v>
      </c>
    </row>
    <row r="23" spans="1:6" x14ac:dyDescent="0.25">
      <c r="A23" s="27" t="s">
        <v>202</v>
      </c>
      <c r="B23" s="103">
        <v>435196.86891999998</v>
      </c>
      <c r="C23" s="107" t="s">
        <v>19</v>
      </c>
      <c r="D23" s="28">
        <f>IF(220011.84802="","-",220011.84802/920807.43432*100)</f>
        <v>23.893361393468208</v>
      </c>
      <c r="E23" s="28">
        <f>IF(435196.86892="","-",435196.86892/1290328.17958*100)</f>
        <v>33.727610991310442</v>
      </c>
    </row>
    <row r="24" spans="1:6" x14ac:dyDescent="0.25">
      <c r="A24" s="44" t="s">
        <v>121</v>
      </c>
      <c r="B24" s="78"/>
      <c r="C24" s="100"/>
      <c r="D24" s="78"/>
      <c r="E24" s="78"/>
    </row>
    <row r="25" spans="1:6" x14ac:dyDescent="0.25">
      <c r="A25" s="44" t="s">
        <v>107</v>
      </c>
      <c r="B25" s="36">
        <v>25625.52968</v>
      </c>
      <c r="C25" s="100" t="s">
        <v>92</v>
      </c>
      <c r="D25" s="30">
        <f>IF(12030.64675="","-",12030.64675/920807.43432*100)</f>
        <v>1.3065323216992073</v>
      </c>
      <c r="E25" s="30">
        <f>IF(25625.52968="","-",25625.52968/1290328.17958*100)</f>
        <v>1.9859699327299103</v>
      </c>
    </row>
    <row r="26" spans="1:6" x14ac:dyDescent="0.25">
      <c r="A26" s="44" t="s">
        <v>108</v>
      </c>
      <c r="B26" s="36">
        <v>36828.079290000001</v>
      </c>
      <c r="C26" s="100">
        <v>112.40083500944115</v>
      </c>
      <c r="D26" s="30">
        <f>IF(32764.95169="","-",32764.95169/920807.43432*100)</f>
        <v>3.5582848779013543</v>
      </c>
      <c r="E26" s="30">
        <f>IF(36828.07929="","-",36828.07929/1290328.17958*100)</f>
        <v>2.8541637602603926</v>
      </c>
      <c r="F26" s="1"/>
    </row>
    <row r="27" spans="1:6" x14ac:dyDescent="0.25">
      <c r="A27" s="44" t="s">
        <v>109</v>
      </c>
      <c r="B27" s="36">
        <v>152261.41526000001</v>
      </c>
      <c r="C27" s="100">
        <v>124.40768026216379</v>
      </c>
      <c r="D27" s="30">
        <f>IF(122389.07995="","-",122389.07995/920807.43432*100)</f>
        <v>13.291495636151348</v>
      </c>
      <c r="E27" s="30">
        <f>IF(152261.41526="","-",152261.41526/1290328.17958*100)</f>
        <v>11.800208479486272</v>
      </c>
      <c r="F27" s="1"/>
    </row>
    <row r="28" spans="1:6" x14ac:dyDescent="0.25">
      <c r="A28" s="44" t="s">
        <v>110</v>
      </c>
      <c r="B28" s="36">
        <v>2934.7753400000001</v>
      </c>
      <c r="C28" s="100">
        <v>81.393406591102519</v>
      </c>
      <c r="D28" s="30">
        <f>IF(3605.66717="","-",3605.66717/920807.43432*100)</f>
        <v>0.39157667885932324</v>
      </c>
      <c r="E28" s="30">
        <f>IF(2934.77534="","-",2934.77534/1290328.17958*100)</f>
        <v>0.22744410193035275</v>
      </c>
      <c r="F28" s="10"/>
    </row>
    <row r="29" spans="1:6" x14ac:dyDescent="0.25">
      <c r="A29" s="44" t="s">
        <v>111</v>
      </c>
      <c r="B29" s="36">
        <v>27.263819999999999</v>
      </c>
      <c r="C29" s="100">
        <v>84.518142039404225</v>
      </c>
      <c r="D29" s="30">
        <f>IF(32.25795="","-",32.25795/920807.43432*100)</f>
        <v>3.5032243222299707E-3</v>
      </c>
      <c r="E29" s="30">
        <f>IF(27.26382="","-",27.26382/1290328.17958*100)</f>
        <v>2.1129368815981631E-3</v>
      </c>
    </row>
    <row r="30" spans="1:6" x14ac:dyDescent="0.25">
      <c r="A30" s="44" t="s">
        <v>112</v>
      </c>
      <c r="B30" s="36">
        <v>217084.93449000001</v>
      </c>
      <c r="C30" s="100" t="s">
        <v>385</v>
      </c>
      <c r="D30" s="30">
        <f>IF(49189.24451="","-",49189.24451/920807.43432*100)</f>
        <v>5.3419686545347433</v>
      </c>
      <c r="E30" s="30">
        <f>IF(217084.93449="","-",217084.93449/1290328.17958*100)</f>
        <v>16.824009420662335</v>
      </c>
    </row>
    <row r="31" spans="1:6" x14ac:dyDescent="0.25">
      <c r="A31" s="44" t="s">
        <v>113</v>
      </c>
      <c r="B31" s="36">
        <v>434.87103999999999</v>
      </c>
      <c r="C31" s="78" t="s">
        <v>396</v>
      </c>
      <c r="D31" s="78" t="s">
        <v>396</v>
      </c>
      <c r="E31" s="30">
        <f>IF(434.87104="","-",434.87104/1290328.17958*100)</f>
        <v>3.3702359359581678E-2</v>
      </c>
    </row>
    <row r="32" spans="1:6" x14ac:dyDescent="0.25">
      <c r="A32" s="27" t="s">
        <v>203</v>
      </c>
      <c r="B32" s="103">
        <v>316416.67022000003</v>
      </c>
      <c r="C32" s="56">
        <v>115.02327426532966</v>
      </c>
      <c r="D32" s="28">
        <f>IF(275089.25671="","-",275089.25671/920807.43432*100)</f>
        <v>29.874786677102421</v>
      </c>
      <c r="E32" s="28">
        <f>IF(316416.67022="","-",316416.67022/1290328.17958*100)</f>
        <v>24.522185536007839</v>
      </c>
    </row>
    <row r="33" spans="1:7" x14ac:dyDescent="0.25">
      <c r="A33" s="44" t="s">
        <v>121</v>
      </c>
      <c r="B33" s="78"/>
      <c r="C33" s="56"/>
      <c r="D33" s="78"/>
      <c r="E33" s="78"/>
    </row>
    <row r="34" spans="1:7" x14ac:dyDescent="0.25">
      <c r="A34" s="44" t="s">
        <v>107</v>
      </c>
      <c r="B34" s="36">
        <v>2442.8075100000001</v>
      </c>
      <c r="C34" s="41" t="s">
        <v>386</v>
      </c>
      <c r="D34" s="30">
        <f>IF(464.36772="","-",464.36772/920807.43432*100)</f>
        <v>5.0430492054283578E-2</v>
      </c>
      <c r="E34" s="30">
        <f>IF(2442.80751="","-",2442.80751/1290328.17958*100)</f>
        <v>0.18931676054654023</v>
      </c>
    </row>
    <row r="35" spans="1:7" x14ac:dyDescent="0.25">
      <c r="A35" s="44" t="s">
        <v>109</v>
      </c>
      <c r="B35" s="36">
        <v>297557.28068000003</v>
      </c>
      <c r="C35" s="41">
        <v>114.11814905887346</v>
      </c>
      <c r="D35" s="30">
        <f>IF(260744.92369="","-",260744.92369/920807.43432*100)</f>
        <v>28.316987240937681</v>
      </c>
      <c r="E35" s="30">
        <f>IF(297557.28068="","-",297557.28068/1290328.17958*100)</f>
        <v>23.060589188779439</v>
      </c>
    </row>
    <row r="36" spans="1:7" x14ac:dyDescent="0.25">
      <c r="A36" s="44" t="s">
        <v>110</v>
      </c>
      <c r="B36" s="36">
        <v>15504.075290000001</v>
      </c>
      <c r="C36" s="41">
        <v>123.79427615446836</v>
      </c>
      <c r="D36" s="30">
        <f>IF(12524.06474="","-",12524.06474/920807.43432*100)</f>
        <v>1.3601176829386483</v>
      </c>
      <c r="E36" s="30">
        <f>IF(15504.07529="","-",15504.07529/1290328.17958*100)</f>
        <v>1.2015606211937924</v>
      </c>
      <c r="G36" t="s">
        <v>397</v>
      </c>
    </row>
    <row r="37" spans="1:7" x14ac:dyDescent="0.25">
      <c r="A37" s="44" t="s">
        <v>111</v>
      </c>
      <c r="B37" s="36">
        <v>380.43284</v>
      </c>
      <c r="C37" s="41">
        <v>59.147897277864402</v>
      </c>
      <c r="D37" s="30">
        <f>IF(643.18912="","-",643.18912/920807.43432*100)</f>
        <v>6.9850556807785097E-2</v>
      </c>
      <c r="E37" s="30">
        <f>IF(380.43284="","-",380.43284/1290328.17958*100)</f>
        <v>2.9483417166308062E-2</v>
      </c>
    </row>
    <row r="38" spans="1:7" x14ac:dyDescent="0.25">
      <c r="A38" s="45" t="s">
        <v>113</v>
      </c>
      <c r="B38" s="31">
        <v>532.07389999999998</v>
      </c>
      <c r="C38" s="47">
        <v>74.654884170233032</v>
      </c>
      <c r="D38" s="31">
        <f>IF(712.71144="","-",712.71144/920807.43432*100)</f>
        <v>7.7400704364026435E-2</v>
      </c>
      <c r="E38" s="31">
        <f>IF(532.0739="","-",532.0739/1290328.17958*100)</f>
        <v>4.1235548321760226E-2</v>
      </c>
    </row>
    <row r="39" spans="1:7" x14ac:dyDescent="0.25">
      <c r="A39" s="53" t="s">
        <v>20</v>
      </c>
      <c r="B39" s="36"/>
      <c r="C39" s="41"/>
      <c r="D39" s="36"/>
      <c r="E39" s="36"/>
    </row>
    <row r="40" spans="1:7" x14ac:dyDescent="0.25">
      <c r="B40" s="1"/>
      <c r="C40" s="1"/>
      <c r="D40" s="1"/>
      <c r="E40" s="1"/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0"/>
  <sheetViews>
    <sheetView zoomScaleNormal="100" workbookViewId="0">
      <selection activeCell="J11" sqref="J11"/>
    </sheetView>
  </sheetViews>
  <sheetFormatPr defaultRowHeight="15.75" x14ac:dyDescent="0.25"/>
  <cols>
    <col min="1" max="1" width="5.625" customWidth="1"/>
    <col min="2" max="2" width="26.125" customWidth="1"/>
    <col min="3" max="3" width="10.5" customWidth="1"/>
    <col min="4" max="4" width="9.5" customWidth="1"/>
    <col min="5" max="5" width="7.75" customWidth="1"/>
    <col min="6" max="6" width="7.625" customWidth="1"/>
    <col min="7" max="7" width="9.625" customWidth="1"/>
    <col min="8" max="8" width="10.375" customWidth="1"/>
    <col min="10" max="10" width="9.125" customWidth="1"/>
  </cols>
  <sheetData>
    <row r="1" spans="1:11" x14ac:dyDescent="0.25">
      <c r="B1" s="130" t="s">
        <v>129</v>
      </c>
      <c r="C1" s="130"/>
      <c r="D1" s="130"/>
      <c r="E1" s="130"/>
      <c r="F1" s="130"/>
      <c r="G1" s="130"/>
      <c r="H1" s="130"/>
    </row>
    <row r="2" spans="1:11" x14ac:dyDescent="0.25">
      <c r="B2" s="130" t="s">
        <v>285</v>
      </c>
      <c r="C2" s="130"/>
      <c r="D2" s="130"/>
      <c r="E2" s="130"/>
      <c r="F2" s="130"/>
      <c r="G2" s="130"/>
      <c r="H2" s="130"/>
    </row>
    <row r="3" spans="1:11" x14ac:dyDescent="0.25">
      <c r="B3" s="6"/>
    </row>
    <row r="4" spans="1:11" ht="57" customHeight="1" x14ac:dyDescent="0.25">
      <c r="A4" s="138" t="s">
        <v>210</v>
      </c>
      <c r="B4" s="141"/>
      <c r="C4" s="144" t="s">
        <v>332</v>
      </c>
      <c r="D4" s="136"/>
      <c r="E4" s="144" t="s">
        <v>0</v>
      </c>
      <c r="F4" s="136"/>
      <c r="G4" s="133" t="s">
        <v>103</v>
      </c>
      <c r="H4" s="145"/>
    </row>
    <row r="5" spans="1:11" ht="19.5" customHeight="1" x14ac:dyDescent="0.25">
      <c r="A5" s="139"/>
      <c r="B5" s="142"/>
      <c r="C5" s="146" t="s">
        <v>106</v>
      </c>
      <c r="D5" s="131" t="s">
        <v>333</v>
      </c>
      <c r="E5" s="148" t="s">
        <v>330</v>
      </c>
      <c r="F5" s="148"/>
      <c r="G5" s="148" t="s">
        <v>338</v>
      </c>
      <c r="H5" s="144"/>
    </row>
    <row r="6" spans="1:11" ht="33" customHeight="1" x14ac:dyDescent="0.25">
      <c r="A6" s="140"/>
      <c r="B6" s="143"/>
      <c r="C6" s="147"/>
      <c r="D6" s="132"/>
      <c r="E6" s="86" t="s">
        <v>334</v>
      </c>
      <c r="F6" s="86" t="s">
        <v>335</v>
      </c>
      <c r="G6" s="86" t="s">
        <v>334</v>
      </c>
      <c r="H6" s="85" t="s">
        <v>335</v>
      </c>
      <c r="I6" s="1"/>
    </row>
    <row r="7" spans="1:11" ht="16.5" customHeight="1" x14ac:dyDescent="0.25">
      <c r="A7" s="104"/>
      <c r="B7" s="34" t="s">
        <v>97</v>
      </c>
      <c r="C7" s="25">
        <v>666964.69128999999</v>
      </c>
      <c r="D7" s="26" t="s">
        <v>101</v>
      </c>
      <c r="E7" s="26">
        <v>100</v>
      </c>
      <c r="F7" s="26">
        <v>100</v>
      </c>
      <c r="G7" s="26">
        <f>IF(464796.56015="","-",(425472.26165-464796.56015)/464796.56015*100)</f>
        <v>-8.4605399160676171</v>
      </c>
      <c r="H7" s="26">
        <f>IF(425472.26165="","-",(666964.69129-425472.26165)/425472.26165*100)</f>
        <v>56.758677687584566</v>
      </c>
    </row>
    <row r="8" spans="1:11" x14ac:dyDescent="0.25">
      <c r="A8" s="20" t="s">
        <v>211</v>
      </c>
      <c r="B8" s="21" t="s">
        <v>177</v>
      </c>
      <c r="C8" s="57">
        <v>221614.63587</v>
      </c>
      <c r="D8" s="28" t="s">
        <v>288</v>
      </c>
      <c r="E8" s="28">
        <f>IF(82735.49353="","-",82735.49353/425472.26165*100)</f>
        <v>19.445566958736194</v>
      </c>
      <c r="F8" s="28">
        <f>IF(221614.63587="","-",221614.63587/666964.69129*100)</f>
        <v>33.227341531583519</v>
      </c>
      <c r="G8" s="28">
        <f>IF(464796.56015="","-",(82735.49353-132462.50466)/464796.56015*100)</f>
        <v>-10.698661606693477</v>
      </c>
      <c r="H8" s="28">
        <f>IF(425472.26165="","-",(221614.63587-82735.49353)/425472.26165*100)</f>
        <v>32.641174256911746</v>
      </c>
    </row>
    <row r="9" spans="1:11" ht="13.5" customHeight="1" x14ac:dyDescent="0.25">
      <c r="A9" s="22" t="s">
        <v>212</v>
      </c>
      <c r="B9" s="23" t="s">
        <v>22</v>
      </c>
      <c r="C9" s="35">
        <v>460.67045999999999</v>
      </c>
      <c r="D9" s="30">
        <f>IF(OR(1874.67949="",460.67046=""),"-",460.67046/1874.67949*100)</f>
        <v>24.573291725723205</v>
      </c>
      <c r="E9" s="30">
        <f>IF(1874.67949="","-",1874.67949/425472.26165*100)</f>
        <v>0.44061144731971741</v>
      </c>
      <c r="F9" s="30">
        <f>IF(460.67046="","-",460.67046/666964.69129*100)</f>
        <v>6.9069692296454391E-2</v>
      </c>
      <c r="G9" s="30">
        <f>IF(OR(464796.56015="",3842.91655="",1874.67949=""),"-",(1874.67949-3842.91655)/464796.56015*100)</f>
        <v>-0.42346205388542613</v>
      </c>
      <c r="H9" s="30">
        <f>IF(OR(425472.26165="",460.67046="",1874.67949=""),"-",(460.67046-1874.67949)/425472.26165*100)</f>
        <v>-0.33233871099291201</v>
      </c>
      <c r="I9" s="20"/>
      <c r="J9" s="21"/>
      <c r="K9" s="18"/>
    </row>
    <row r="10" spans="1:11" x14ac:dyDescent="0.25">
      <c r="A10" s="22" t="s">
        <v>213</v>
      </c>
      <c r="B10" s="23" t="s">
        <v>178</v>
      </c>
      <c r="C10" s="35">
        <v>153.00864000000001</v>
      </c>
      <c r="D10" s="30">
        <f>IF(OR(774.06046="",153.00864=""),"-",153.00864/774.06046*100)</f>
        <v>19.767014065025361</v>
      </c>
      <c r="E10" s="30">
        <f>IF(774.06046="","-",774.06046/425472.26165*100)</f>
        <v>0.18192971193895457</v>
      </c>
      <c r="F10" s="30">
        <f>IF(153.00864="","-",153.00864/666964.69129*100)</f>
        <v>2.2941040507565791E-2</v>
      </c>
      <c r="G10" s="30">
        <f>IF(OR(464796.56015="",528.11897="",774.06046=""),"-",(774.06046-528.11897)/464796.56015*100)</f>
        <v>5.2913793062631394E-2</v>
      </c>
      <c r="H10" s="30">
        <f>IF(OR(425472.26165="",153.00864="",774.06046=""),"-",(153.00864-774.06046)/425472.26165*100)</f>
        <v>-0.14596764019152131</v>
      </c>
      <c r="I10" s="22"/>
      <c r="J10" s="23"/>
      <c r="K10" s="19"/>
    </row>
    <row r="11" spans="1:11" s="7" customFormat="1" x14ac:dyDescent="0.25">
      <c r="A11" s="22" t="s">
        <v>214</v>
      </c>
      <c r="B11" s="23" t="s">
        <v>179</v>
      </c>
      <c r="C11" s="35">
        <v>1631.3353999999999</v>
      </c>
      <c r="D11" s="30">
        <f>IF(OR(1472.47427="",1631.3354=""),"-",1631.3354/1472.47427*100)</f>
        <v>110.78872026741765</v>
      </c>
      <c r="E11" s="30">
        <f>IF(1472.47427="","-",1472.47427/425472.26165*100)</f>
        <v>0.34607996871280883</v>
      </c>
      <c r="F11" s="30">
        <f>IF(1631.3354="","-",1631.3354/666964.69129*100)</f>
        <v>0.24459096880297765</v>
      </c>
      <c r="G11" s="30">
        <f>IF(OR(464796.56015="",867.75144="",1472.47427=""),"-",(1472.47427-867.75144)/464796.56015*100)</f>
        <v>0.13010484195598235</v>
      </c>
      <c r="H11" s="30">
        <f>IF(OR(425472.26165="",1631.3354="",1472.47427=""),"-",(1631.3354-1472.47427)/425472.26165*100)</f>
        <v>3.7337599725991447E-2</v>
      </c>
      <c r="I11" s="22"/>
      <c r="J11" s="23"/>
      <c r="K11" s="19"/>
    </row>
    <row r="12" spans="1:11" s="7" customFormat="1" x14ac:dyDescent="0.25">
      <c r="A12" s="22" t="s">
        <v>215</v>
      </c>
      <c r="B12" s="23" t="s">
        <v>180</v>
      </c>
      <c r="C12" s="35">
        <v>3.6080000000000001E-2</v>
      </c>
      <c r="D12" s="30">
        <f>IF(OR(1.03854="",0.03608=""),"-",0.03608/1.03854*100)</f>
        <v>3.4741078822192692</v>
      </c>
      <c r="E12" s="30">
        <f>IF(1.03854="","-",1.03854/425472.26165*100)</f>
        <v>2.4409111794327005E-4</v>
      </c>
      <c r="F12" s="30">
        <f>IF(0.03608="","-",0.03608/666964.69129*100)</f>
        <v>5.4095817171695247E-6</v>
      </c>
      <c r="G12" s="30">
        <f>IF(OR(464796.56015="",1.92677="",1.03854=""),"-",(1.03854-1.92677)/464796.56015*100)</f>
        <v>-1.911008118720476E-4</v>
      </c>
      <c r="H12" s="30">
        <f>IF(OR(425472.26165="",0.03608="",1.03854=""),"-",(0.03608-1.03854)/425472.26165*100)</f>
        <v>-2.3561112917500581E-4</v>
      </c>
      <c r="I12" s="22"/>
      <c r="J12" s="23"/>
      <c r="K12" s="19"/>
    </row>
    <row r="13" spans="1:11" s="7" customFormat="1" ht="15.75" customHeight="1" x14ac:dyDescent="0.25">
      <c r="A13" s="22" t="s">
        <v>216</v>
      </c>
      <c r="B13" s="23" t="s">
        <v>181</v>
      </c>
      <c r="C13" s="35">
        <v>133010.98978</v>
      </c>
      <c r="D13" s="30" t="s">
        <v>298</v>
      </c>
      <c r="E13" s="30">
        <f>IF(22838.7273="","-",22838.7273/425472.26165*100)</f>
        <v>5.367853408687659</v>
      </c>
      <c r="F13" s="30">
        <f>IF(133010.98978="","-",133010.98978/666964.69129*100)</f>
        <v>19.942733328617255</v>
      </c>
      <c r="G13" s="30">
        <f>IF(OR(464796.56015="",51337.56666="",22838.7273=""),"-",(22838.7273-51337.56666)/464796.56015*100)</f>
        <v>-6.1314652050787126</v>
      </c>
      <c r="H13" s="30">
        <f>IF(OR(425472.26165="",133010.98978="",22838.7273=""),"-",(133010.98978-22838.7273)/425472.26165*100)</f>
        <v>25.894111652013969</v>
      </c>
      <c r="I13" s="22"/>
      <c r="J13" s="23"/>
      <c r="K13" s="19"/>
    </row>
    <row r="14" spans="1:11" s="7" customFormat="1" ht="15.75" customHeight="1" x14ac:dyDescent="0.25">
      <c r="A14" s="22" t="s">
        <v>217</v>
      </c>
      <c r="B14" s="23" t="s">
        <v>182</v>
      </c>
      <c r="C14" s="35">
        <v>66092.933189999996</v>
      </c>
      <c r="D14" s="30">
        <f>IF(OR(47870.22626="",66092.93319=""),"-",66092.93319/47870.22626*100)</f>
        <v>138.06689116325893</v>
      </c>
      <c r="E14" s="30">
        <f>IF(47870.22626="","-",47870.22626/425472.26165*100)</f>
        <v>11.251080405184858</v>
      </c>
      <c r="F14" s="30">
        <f>IF(66092.93319="","-",66092.93319/666964.69129*100)</f>
        <v>9.9095100614947569</v>
      </c>
      <c r="G14" s="30">
        <f>IF(OR(464796.56015="",63692.94778="",47870.22626=""),"-",(47870.22626-63692.94778)/464796.56015*100)</f>
        <v>-3.4042251764715434</v>
      </c>
      <c r="H14" s="30">
        <f>IF(OR(425472.26165="",66092.93319="",47870.22626=""),"-",(66092.93319-47870.22626)/425472.26165*100)</f>
        <v>4.2829365325324709</v>
      </c>
      <c r="I14" s="22"/>
      <c r="J14" s="23"/>
      <c r="K14" s="19"/>
    </row>
    <row r="15" spans="1:11" s="7" customFormat="1" ht="25.5" x14ac:dyDescent="0.25">
      <c r="A15" s="22" t="s">
        <v>218</v>
      </c>
      <c r="B15" s="23" t="s">
        <v>140</v>
      </c>
      <c r="C15" s="35">
        <v>7445.5281699999996</v>
      </c>
      <c r="D15" s="30" t="s">
        <v>387</v>
      </c>
      <c r="E15" s="30">
        <f>IF(1525.29546="","-",1525.29546/425472.26165*100)</f>
        <v>0.35849468872185408</v>
      </c>
      <c r="F15" s="30">
        <f>IF(7445.52817="","-",7445.52817/666964.69129*100)</f>
        <v>1.1163301846757945</v>
      </c>
      <c r="G15" s="30">
        <f>IF(OR(464796.56015="",3679.40021="",1525.29546=""),"-",(1525.29546-3679.40021)/464796.56015*100)</f>
        <v>-0.46345109552979974</v>
      </c>
      <c r="H15" s="30">
        <f>IF(OR(425472.26165="",7445.52817="",1525.29546=""),"-",(7445.52817-1525.29546)/425472.26165*100)</f>
        <v>1.3914497474032923</v>
      </c>
      <c r="I15" s="22"/>
      <c r="J15" s="23"/>
      <c r="K15" s="19"/>
    </row>
    <row r="16" spans="1:11" s="7" customFormat="1" ht="25.5" x14ac:dyDescent="0.25">
      <c r="A16" s="22" t="s">
        <v>219</v>
      </c>
      <c r="B16" s="23" t="s">
        <v>183</v>
      </c>
      <c r="C16" s="35">
        <v>1765.02386</v>
      </c>
      <c r="D16" s="30">
        <f>IF(OR(1566.22229="",1765.02386=""),"-",1765.02386/1566.22229*100)</f>
        <v>112.69306223448015</v>
      </c>
      <c r="E16" s="30">
        <f>IF(1566.22229="","-",1566.22229/425472.26165*100)</f>
        <v>0.36811384223406751</v>
      </c>
      <c r="F16" s="30">
        <f>IF(1765.02386="","-",1765.02386/666964.69129*100)</f>
        <v>0.26463527725676228</v>
      </c>
      <c r="G16" s="30">
        <f>IF(OR(464796.56015="",1850.0007="",1566.22229=""),"-",(1566.22229-1850.0007)/464796.56015*100)</f>
        <v>-6.1054326630218314E-2</v>
      </c>
      <c r="H16" s="30">
        <f>IF(OR(425472.26165="",1765.02386="",1566.22229=""),"-",(1765.02386-1566.22229)/425472.26165*100)</f>
        <v>4.6724919088506248E-2</v>
      </c>
      <c r="I16" s="22"/>
      <c r="J16" s="23"/>
      <c r="K16" s="19"/>
    </row>
    <row r="17" spans="1:11" s="7" customFormat="1" ht="25.5" x14ac:dyDescent="0.25">
      <c r="A17" s="22" t="s">
        <v>220</v>
      </c>
      <c r="B17" s="23" t="s">
        <v>141</v>
      </c>
      <c r="C17" s="35">
        <v>9889.4759300000005</v>
      </c>
      <c r="D17" s="30" t="s">
        <v>289</v>
      </c>
      <c r="E17" s="30">
        <f>IF(4149.99144="","-",4149.99144/425472.26165*100)</f>
        <v>0.97538472282685407</v>
      </c>
      <c r="F17" s="30">
        <f>IF(9889.47593="","-",9889.47593/666964.69129*100)</f>
        <v>1.4827585416661886</v>
      </c>
      <c r="G17" s="30">
        <f>IF(OR(464796.56015="",6135.62234="",4149.99144=""),"-",(4149.99144-6135.62234)/464796.56015*100)</f>
        <v>-0.42720430189052905</v>
      </c>
      <c r="H17" s="30">
        <f>IF(OR(425472.26165="",9889.47593="",4149.99144=""),"-",(9889.47593-4149.99144)/425472.26165*100)</f>
        <v>1.3489679603887759</v>
      </c>
      <c r="I17" s="22"/>
      <c r="J17" s="23"/>
      <c r="K17" s="19"/>
    </row>
    <row r="18" spans="1:11" s="7" customFormat="1" ht="25.5" x14ac:dyDescent="0.25">
      <c r="A18" s="22" t="s">
        <v>221</v>
      </c>
      <c r="B18" s="23" t="s">
        <v>184</v>
      </c>
      <c r="C18" s="35">
        <v>1165.63436</v>
      </c>
      <c r="D18" s="30" t="s">
        <v>199</v>
      </c>
      <c r="E18" s="30">
        <f>IF(662.77802="","-",662.77802/425472.26165*100)</f>
        <v>0.15577467199147552</v>
      </c>
      <c r="F18" s="30">
        <f>IF(1165.63436="","-",1165.63436/666964.69129*100)</f>
        <v>0.17476702668405211</v>
      </c>
      <c r="G18" s="30">
        <f>IF(OR(464796.56015="",526.25324="",662.77802=""),"-",(662.77802-526.25324)/464796.56015*100)</f>
        <v>2.9373018586011143E-2</v>
      </c>
      <c r="H18" s="30">
        <f>IF(OR(425472.26165="",1165.63436="",662.77802=""),"-",(1165.63436-662.77802)/425472.26165*100)</f>
        <v>0.11818780807235263</v>
      </c>
      <c r="I18" s="22"/>
      <c r="J18" s="23"/>
      <c r="K18" s="19"/>
    </row>
    <row r="19" spans="1:11" s="7" customFormat="1" x14ac:dyDescent="0.25">
      <c r="A19" s="20" t="s">
        <v>222</v>
      </c>
      <c r="B19" s="21" t="s">
        <v>185</v>
      </c>
      <c r="C19" s="57">
        <v>25467.4202</v>
      </c>
      <c r="D19" s="28">
        <f>IF(29238.86714="","-",25467.4202/29238.86714*100)</f>
        <v>87.101254908605881</v>
      </c>
      <c r="E19" s="28">
        <f>IF(29238.86714="","-",29238.86714/425472.26165*100)</f>
        <v>6.8720971436799188</v>
      </c>
      <c r="F19" s="28">
        <f>IF(25467.4202="","-",25467.4202/666964.69129*100)</f>
        <v>3.8184060614577007</v>
      </c>
      <c r="G19" s="28">
        <f>IF(464796.56015="","-",(29238.86714-30416.38494)/464796.56015*100)</f>
        <v>-0.25334047214548894</v>
      </c>
      <c r="H19" s="28">
        <f>IF(425472.26165="","-",(25467.4202-29238.86714)/425472.26165*100)</f>
        <v>-0.88641429299624896</v>
      </c>
      <c r="I19" s="22"/>
      <c r="J19" s="23"/>
      <c r="K19" s="19"/>
    </row>
    <row r="20" spans="1:11" s="7" customFormat="1" x14ac:dyDescent="0.25">
      <c r="A20" s="22" t="s">
        <v>223</v>
      </c>
      <c r="B20" s="23" t="s">
        <v>186</v>
      </c>
      <c r="C20" s="35">
        <v>23399.007669999999</v>
      </c>
      <c r="D20" s="30">
        <f>IF(OR(27436.31074="",23399.00767=""),"-",23399.00767/27436.31074*100)</f>
        <v>85.284817961644052</v>
      </c>
      <c r="E20" s="30">
        <f>IF(27436.31074="","-",27436.31074/425472.26165*100)</f>
        <v>6.4484369988306147</v>
      </c>
      <c r="F20" s="30">
        <f>IF(23399.00767="","-",23399.00767/666964.69129*100)</f>
        <v>3.5082828185017041</v>
      </c>
      <c r="G20" s="30">
        <f>IF(OR(464796.56015="",27624.26282="",27436.31074=""),"-",(27436.31074-27624.26282)/464796.56015*100)</f>
        <v>-4.0437493758418278E-2</v>
      </c>
      <c r="H20" s="30">
        <f>IF(OR(425472.26165="",23399.00767="",27436.31074=""),"-",(23399.00767-27436.31074)/425472.26165*100)</f>
        <v>-0.94889924300662154</v>
      </c>
      <c r="I20" s="20"/>
      <c r="J20" s="21"/>
      <c r="K20" s="18"/>
    </row>
    <row r="21" spans="1:11" s="7" customFormat="1" x14ac:dyDescent="0.25">
      <c r="A21" s="22" t="s">
        <v>224</v>
      </c>
      <c r="B21" s="23" t="s">
        <v>187</v>
      </c>
      <c r="C21" s="35">
        <v>2068.4125300000001</v>
      </c>
      <c r="D21" s="30">
        <f>IF(OR(1802.5564="",2068.41253=""),"-",2068.41253/1802.5564*100)</f>
        <v>114.74883837199215</v>
      </c>
      <c r="E21" s="30">
        <f>IF(1802.5564="","-",1802.5564/425472.26165*100)</f>
        <v>0.42366014484930409</v>
      </c>
      <c r="F21" s="30">
        <f>IF(2068.41253="","-",2068.41253/666964.69129*100)</f>
        <v>0.31012324295599675</v>
      </c>
      <c r="G21" s="30">
        <f>IF(OR(464796.56015="",2792.12212="",1802.5564=""),"-",(1802.5564-2792.12212)/464796.56015*100)</f>
        <v>-0.21290297838707015</v>
      </c>
      <c r="H21" s="30">
        <f>IF(OR(425472.26165="",2068.41253="",1802.5564=""),"-",(2068.41253-1802.5564)/425472.26165*100)</f>
        <v>6.2484950010371638E-2</v>
      </c>
      <c r="I21" s="22"/>
      <c r="J21" s="23"/>
      <c r="K21" s="19"/>
    </row>
    <row r="22" spans="1:11" s="7" customFormat="1" ht="25.5" x14ac:dyDescent="0.25">
      <c r="A22" s="20" t="s">
        <v>225</v>
      </c>
      <c r="B22" s="21" t="s">
        <v>23</v>
      </c>
      <c r="C22" s="57">
        <v>83405.600090000007</v>
      </c>
      <c r="D22" s="28" t="s">
        <v>101</v>
      </c>
      <c r="E22" s="28">
        <f>IF(51647.74563="","-",51647.74563/425472.26165*100)</f>
        <v>12.138921919306275</v>
      </c>
      <c r="F22" s="28">
        <f>IF(83405.60009="","-",83405.60009/666964.69129*100)</f>
        <v>12.505249705000468</v>
      </c>
      <c r="G22" s="28">
        <f>IF(464796.56015="","-",(51647.74563-45548.64138)/464796.56015*100)</f>
        <v>1.3122094208338553</v>
      </c>
      <c r="H22" s="28">
        <f>IF(425472.26165="","-",(83405.60009-51647.74563)/425472.26165*100)</f>
        <v>7.4641421597830284</v>
      </c>
      <c r="I22" s="22"/>
      <c r="J22" s="23"/>
      <c r="K22" s="19"/>
    </row>
    <row r="23" spans="1:11" s="7" customFormat="1" ht="15" customHeight="1" x14ac:dyDescent="0.25">
      <c r="A23" s="22" t="s">
        <v>226</v>
      </c>
      <c r="B23" s="23" t="s">
        <v>194</v>
      </c>
      <c r="C23" s="35">
        <v>240.81062</v>
      </c>
      <c r="D23" s="30">
        <f>IF(OR(247.37067="",240.81062=""),"-",240.81062/247.37067*100)</f>
        <v>97.34808900343765</v>
      </c>
      <c r="E23" s="30">
        <f>IF(247.37067="","-",247.37067/425472.26165*100)</f>
        <v>5.8140257849168764E-2</v>
      </c>
      <c r="F23" s="30">
        <f>IF(240.81062="","-",240.81062/666964.69129*100)</f>
        <v>3.6105452529164576E-2</v>
      </c>
      <c r="G23" s="30">
        <f>IF(OR(464796.56015="",414.05032="",247.37067=""),"-",(247.37067-414.05032)/464796.56015*100)</f>
        <v>-3.5860775291927473E-2</v>
      </c>
      <c r="H23" s="30">
        <f>IF(OR(425472.26165="",240.81062="",247.37067=""),"-",(240.81062-247.37067)/425472.26165*100)</f>
        <v>-1.541827891331818E-3</v>
      </c>
      <c r="I23" s="20"/>
      <c r="J23" s="21"/>
      <c r="K23" s="18"/>
    </row>
    <row r="24" spans="1:11" s="7" customFormat="1" ht="15" customHeight="1" x14ac:dyDescent="0.25">
      <c r="A24" s="22" t="s">
        <v>227</v>
      </c>
      <c r="B24" s="23" t="s">
        <v>188</v>
      </c>
      <c r="C24" s="35">
        <v>67847.624620000002</v>
      </c>
      <c r="D24" s="30" t="s">
        <v>100</v>
      </c>
      <c r="E24" s="30">
        <f>IF(39646.22502="","-",39646.22502/425472.26165*100)</f>
        <v>9.3181691483835412</v>
      </c>
      <c r="F24" s="30">
        <f>IF(67847.62462="","-",67847.62462/666964.69129*100)</f>
        <v>10.172596166788606</v>
      </c>
      <c r="G24" s="30">
        <f>IF(OR(464796.56015="",40216.58119="",39646.22502=""),"-",(39646.22502-40216.58119)/464796.56015*100)</f>
        <v>-0.12271092751115301</v>
      </c>
      <c r="H24" s="30">
        <f>IF(OR(425472.26165="",67847.62462="",39646.22502=""),"-",(67847.62462-39646.22502)/425472.26165*100)</f>
        <v>6.6282580891721929</v>
      </c>
      <c r="I24" s="22"/>
      <c r="J24" s="23"/>
      <c r="K24" s="19"/>
    </row>
    <row r="25" spans="1:11" s="7" customFormat="1" x14ac:dyDescent="0.25">
      <c r="A25" s="22" t="s">
        <v>228</v>
      </c>
      <c r="B25" s="23" t="s">
        <v>190</v>
      </c>
      <c r="C25" s="35">
        <v>609.32803000000001</v>
      </c>
      <c r="D25" s="30" t="s">
        <v>289</v>
      </c>
      <c r="E25" s="30">
        <f>IF(253.95627="","-",253.95627/425472.26165*100)</f>
        <v>5.9688090832325118E-2</v>
      </c>
      <c r="F25" s="30">
        <f>IF(609.32803="","-",609.32803/666964.69129*100)</f>
        <v>9.135836393699899E-2</v>
      </c>
      <c r="G25" s="30">
        <f>IF(OR(464796.56015="",306.931="",253.95627=""),"-",(253.95627-306.931)/464796.56015*100)</f>
        <v>-1.1397401474508309E-2</v>
      </c>
      <c r="H25" s="30">
        <f>IF(OR(425472.26165="",609.32803="",253.95627=""),"-",(609.32803-253.95627)/425472.26165*100)</f>
        <v>8.3524072432325625E-2</v>
      </c>
      <c r="I25" s="22"/>
      <c r="J25" s="23"/>
      <c r="K25" s="19"/>
    </row>
    <row r="26" spans="1:11" s="7" customFormat="1" ht="14.25" customHeight="1" x14ac:dyDescent="0.25">
      <c r="A26" s="22" t="s">
        <v>229</v>
      </c>
      <c r="B26" s="23" t="s">
        <v>142</v>
      </c>
      <c r="C26" s="35">
        <v>800.45794000000001</v>
      </c>
      <c r="D26" s="30" t="s">
        <v>100</v>
      </c>
      <c r="E26" s="30">
        <f>IF(483.42643="","-",483.42643/425472.26165*100)</f>
        <v>0.11362113904329538</v>
      </c>
      <c r="F26" s="30">
        <f>IF(800.45794="","-",800.45794/666964.69129*100)</f>
        <v>0.12001503984443405</v>
      </c>
      <c r="G26" s="30">
        <f>IF(OR(464796.56015="",301.15483="",483.42643=""),"-",(483.42643-301.15483)/464796.56015*100)</f>
        <v>3.9215350462399497E-2</v>
      </c>
      <c r="H26" s="30">
        <f>IF(OR(425472.26165="",800.45794="",483.42643=""),"-",(800.45794-483.42643)/425472.26165*100)</f>
        <v>7.4512850443067186E-2</v>
      </c>
      <c r="I26" s="22"/>
      <c r="J26" s="23"/>
      <c r="K26" s="19"/>
    </row>
    <row r="27" spans="1:11" s="7" customFormat="1" ht="38.25" x14ac:dyDescent="0.25">
      <c r="A27" s="22" t="s">
        <v>230</v>
      </c>
      <c r="B27" s="23" t="s">
        <v>143</v>
      </c>
      <c r="C27" s="35">
        <v>11.645960000000001</v>
      </c>
      <c r="D27" s="30" t="s">
        <v>388</v>
      </c>
      <c r="E27" s="30">
        <f>IF(0.08462="","-",0.08462/425472.26165*100)</f>
        <v>1.9888488070136451E-5</v>
      </c>
      <c r="F27" s="30">
        <f>IF(11.64596="","-",11.64596/666964.69129*100)</f>
        <v>1.7461134228073062E-3</v>
      </c>
      <c r="G27" s="30">
        <f>IF(OR(464796.56015="",12.29931="",0.08462=""),"-",(0.08462-12.29931)/464796.56015*100)</f>
        <v>-2.6279648016452732E-3</v>
      </c>
      <c r="H27" s="30">
        <f>IF(OR(425472.26165="",11.64596="",0.08462=""),"-",(11.64596-0.08462)/425472.26165*100)</f>
        <v>2.7172958244480196E-3</v>
      </c>
      <c r="I27" s="22"/>
      <c r="J27" s="23"/>
      <c r="K27" s="19"/>
    </row>
    <row r="28" spans="1:11" s="7" customFormat="1" ht="38.25" x14ac:dyDescent="0.25">
      <c r="A28" s="22" t="s">
        <v>231</v>
      </c>
      <c r="B28" s="23" t="s">
        <v>144</v>
      </c>
      <c r="C28" s="35">
        <v>1312.1891700000001</v>
      </c>
      <c r="D28" s="30" t="s">
        <v>100</v>
      </c>
      <c r="E28" s="30">
        <f>IF(750.57396="","-",750.57396/425472.26165*100)</f>
        <v>0.17640961060287255</v>
      </c>
      <c r="F28" s="30">
        <f>IF(1312.18917="","-",1312.18917/666964.69129*100)</f>
        <v>0.19674042526329974</v>
      </c>
      <c r="G28" s="30">
        <f>IF(OR(464796.56015="",1212.94652="",750.57396=""),"-",(750.57396-1212.94652)/464796.56015*100)</f>
        <v>-9.9478481478172356E-2</v>
      </c>
      <c r="H28" s="30">
        <f>IF(OR(425472.26165="",1312.18917="",750.57396=""),"-",(1312.18917-750.57396)/425472.26165*100)</f>
        <v>0.13199807851680664</v>
      </c>
      <c r="I28" s="22"/>
      <c r="J28" s="23"/>
      <c r="K28" s="19"/>
    </row>
    <row r="29" spans="1:11" s="7" customFormat="1" ht="25.5" x14ac:dyDescent="0.25">
      <c r="A29" s="22" t="s">
        <v>232</v>
      </c>
      <c r="B29" s="23" t="s">
        <v>145</v>
      </c>
      <c r="C29" s="35">
        <v>11869.40011</v>
      </c>
      <c r="D29" s="30">
        <f>IF(OR(9836.73631="",11869.40011=""),"-",11869.40011/9836.73631*100)</f>
        <v>120.66400619007749</v>
      </c>
      <c r="E29" s="30">
        <f>IF(9836.73631="","-",9836.73631/425472.26165*100)</f>
        <v>2.311957134844163</v>
      </c>
      <c r="F29" s="30">
        <f>IF(11869.40011="","-",11869.40011/666964.69129*100)</f>
        <v>1.779614463104932</v>
      </c>
      <c r="G29" s="30">
        <f>IF(OR(464796.56015="",2092.96293="",9836.73631=""),"-",(9836.73631-2092.96293)/464796.56015*100)</f>
        <v>1.6660565167480836</v>
      </c>
      <c r="H29" s="30">
        <f>IF(OR(425472.26165="",11869.40011="",9836.73631=""),"-",(11869.40011-9836.73631)/425472.26165*100)</f>
        <v>0.47774296545613604</v>
      </c>
      <c r="I29" s="22"/>
      <c r="J29" s="23"/>
      <c r="K29" s="19"/>
    </row>
    <row r="30" spans="1:11" s="7" customFormat="1" ht="25.5" x14ac:dyDescent="0.25">
      <c r="A30" s="22" t="s">
        <v>233</v>
      </c>
      <c r="B30" s="23" t="s">
        <v>146</v>
      </c>
      <c r="C30" s="35">
        <v>714.14364</v>
      </c>
      <c r="D30" s="30" t="s">
        <v>100</v>
      </c>
      <c r="E30" s="30">
        <f>IF(429.36781="","-",429.36781/425472.26165*100)</f>
        <v>0.10091558221325472</v>
      </c>
      <c r="F30" s="30">
        <f>IF(714.14364="","-",714.14364/666964.69129*100)</f>
        <v>0.10707368011022436</v>
      </c>
      <c r="G30" s="30">
        <f>IF(OR(464796.56015="",991.62338="",429.36781=""),"-",(429.36781-991.62338)/464796.56015*100)</f>
        <v>-0.12096810049939868</v>
      </c>
      <c r="H30" s="30">
        <f>IF(OR(425472.26165="",714.14364="",429.36781=""),"-",(714.14364-429.36781)/425472.26165*100)</f>
        <v>6.6931702878967214E-2</v>
      </c>
      <c r="I30" s="22"/>
      <c r="J30" s="23"/>
      <c r="K30" s="19"/>
    </row>
    <row r="31" spans="1:11" s="7" customFormat="1" ht="25.5" x14ac:dyDescent="0.25">
      <c r="A31" s="20" t="s">
        <v>234</v>
      </c>
      <c r="B31" s="21" t="s">
        <v>147</v>
      </c>
      <c r="C31" s="57">
        <v>1152.9434900000001</v>
      </c>
      <c r="D31" s="28">
        <f>IF(9354.0377="","-",1152.94349/9354.0377*100)</f>
        <v>12.325623725035873</v>
      </c>
      <c r="E31" s="28">
        <f>IF(9354.0377="","-",9354.0377/425472.26165*100)</f>
        <v>2.1985070574811703</v>
      </c>
      <c r="F31" s="28">
        <f>IF(1152.94349="","-",1152.94349/666964.69129*100)</f>
        <v>0.17286424679694082</v>
      </c>
      <c r="G31" s="28">
        <f>IF(464796.56015="","-",(9354.0377-1232.15984)/464796.56015*100)</f>
        <v>1.7474048984740536</v>
      </c>
      <c r="H31" s="28">
        <f>IF(425472.26165="","-",(1152.94349-9354.0377)/425472.26165*100)</f>
        <v>-1.9275273500076833</v>
      </c>
      <c r="I31" s="22"/>
      <c r="J31" s="23"/>
      <c r="K31" s="19"/>
    </row>
    <row r="32" spans="1:11" s="7" customFormat="1" x14ac:dyDescent="0.25">
      <c r="A32" s="22" t="s">
        <v>235</v>
      </c>
      <c r="B32" s="23" t="s">
        <v>191</v>
      </c>
      <c r="C32" s="35">
        <v>23.78332</v>
      </c>
      <c r="D32" s="30">
        <f>IF(OR(191.67455="",23.78332=""),"-",23.78332/191.67455*100)</f>
        <v>12.408178341882111</v>
      </c>
      <c r="E32" s="30">
        <f>IF(191.67455="","-",191.67455/425472.26165*100)</f>
        <v>4.5049834566577324E-2</v>
      </c>
      <c r="F32" s="30">
        <f>IF(23.78332="","-",23.78332/666964.69129*100)</f>
        <v>3.565903909245906E-3</v>
      </c>
      <c r="G32" s="30">
        <f>IF(OR(464796.56015="",24.74999="",191.67455=""),"-",(191.67455-24.74999)/464796.56015*100)</f>
        <v>3.5913467162091262E-2</v>
      </c>
      <c r="H32" s="30">
        <f>IF(OR(425472.26165="",23.78332="",191.67455=""),"-",(23.78332-191.67455)/425472.26165*100)</f>
        <v>-3.9459970750833552E-2</v>
      </c>
      <c r="I32" s="20"/>
      <c r="J32" s="21"/>
      <c r="K32" s="18"/>
    </row>
    <row r="33" spans="1:11" s="7" customFormat="1" ht="25.5" x14ac:dyDescent="0.25">
      <c r="A33" s="22" t="s">
        <v>236</v>
      </c>
      <c r="B33" s="23" t="s">
        <v>148</v>
      </c>
      <c r="C33" s="35">
        <v>1128.2650699999999</v>
      </c>
      <c r="D33" s="30">
        <f>IF(OR(9161.41412="",1128.26507=""),"-",1128.26507/9161.41412*100)</f>
        <v>12.315403006801311</v>
      </c>
      <c r="E33" s="30">
        <f>IF(9161.41412="","-",9161.41412/425472.26165*100)</f>
        <v>2.1532341695958355</v>
      </c>
      <c r="F33" s="30">
        <f>IF(1128.26507="","-",1128.26507/666964.69129*100)</f>
        <v>0.16916413788228918</v>
      </c>
      <c r="G33" s="30">
        <f>IF(OR(464796.56015="",1206.23427="",9161.41412=""),"-",(9161.41412-1206.23427)/464796.56015*100)</f>
        <v>1.7115401730668338</v>
      </c>
      <c r="H33" s="30">
        <f>IF(OR(425472.26165="",1128.26507="",9161.41412=""),"-",(1128.26507-9161.41412)/425472.26165*100)</f>
        <v>-1.8880547039299571</v>
      </c>
      <c r="I33" s="22"/>
      <c r="J33" s="23"/>
      <c r="K33" s="19"/>
    </row>
    <row r="34" spans="1:11" s="7" customFormat="1" x14ac:dyDescent="0.25">
      <c r="A34" s="22" t="s">
        <v>290</v>
      </c>
      <c r="B34" s="23" t="s">
        <v>291</v>
      </c>
      <c r="C34" s="35">
        <v>0.89510000000000001</v>
      </c>
      <c r="D34" s="30">
        <f>IF(OR(0.94903="",0.8951=""),"-",0.8951/0.94903*100)</f>
        <v>94.317355615733959</v>
      </c>
      <c r="E34" s="30">
        <f>IF(0.94903="","-",0.94903/425472.26165*100)</f>
        <v>2.2305331875681396E-4</v>
      </c>
      <c r="F34" s="30">
        <f>IF(0.8951="","-",0.8951/666964.69129*100)</f>
        <v>1.3420500540572175E-4</v>
      </c>
      <c r="G34" s="30">
        <f>IF(OR(464796.56015="",1.17558="",0.94903=""),"-",(0.94903-1.17558)/464796.56015*100)</f>
        <v>-4.8741754871612518E-5</v>
      </c>
      <c r="H34" s="30">
        <f>IF(OR(425472.26165="",0.8951="",0.94903=""),"-",(0.8951-0.94903)/425472.26165*100)</f>
        <v>-1.2675326892253126E-5</v>
      </c>
      <c r="I34" s="22"/>
      <c r="J34" s="23"/>
      <c r="K34" s="19"/>
    </row>
    <row r="35" spans="1:11" s="7" customFormat="1" ht="25.5" x14ac:dyDescent="0.25">
      <c r="A35" s="20" t="s">
        <v>237</v>
      </c>
      <c r="B35" s="21" t="s">
        <v>149</v>
      </c>
      <c r="C35" s="57">
        <v>53704.786630000002</v>
      </c>
      <c r="D35" s="28" t="s">
        <v>389</v>
      </c>
      <c r="E35" s="28">
        <f>IF(7686.31558="","-",7686.31558/425472.26165*100)</f>
        <v>1.8065374109682575</v>
      </c>
      <c r="F35" s="28">
        <f>IF(53704.78663="","-",53704.78663/666964.69129*100)</f>
        <v>8.0521184001701318</v>
      </c>
      <c r="G35" s="28">
        <f>IF(464796.56015="","-",(7686.31558-22328.39481)/464796.56015*100)</f>
        <v>-3.1502124768898208</v>
      </c>
      <c r="H35" s="28">
        <f>IF(425472.26165="","-",(53704.78663-7686.31558)/425472.26165*100)</f>
        <v>10.815856918977129</v>
      </c>
      <c r="I35" s="22"/>
      <c r="J35" s="23"/>
      <c r="K35" s="19"/>
    </row>
    <row r="36" spans="1:11" s="7" customFormat="1" x14ac:dyDescent="0.25">
      <c r="A36" s="22" t="s">
        <v>238</v>
      </c>
      <c r="B36" s="23" t="s">
        <v>195</v>
      </c>
      <c r="C36" s="35">
        <v>1.5959399999999999</v>
      </c>
      <c r="D36" s="30" t="s">
        <v>199</v>
      </c>
      <c r="E36" s="30">
        <f>IF(0.89174="","-",0.89174/425472.26165*100)</f>
        <v>2.0958828115886881E-4</v>
      </c>
      <c r="F36" s="30">
        <f>IF(1.59594="","-",1.59594/666964.69129*100)</f>
        <v>2.3928403120009785E-4</v>
      </c>
      <c r="G36" s="30" t="str">
        <f>IF(OR(464796.56015="",""="",0.89174=""),"-",(0.89174-"")/464796.56015*100)</f>
        <v>-</v>
      </c>
      <c r="H36" s="30">
        <f>IF(OR(425472.26165="",1.59594="",0.89174=""),"-",(1.59594-0.89174)/425472.26165*100)</f>
        <v>1.6551020206795187E-4</v>
      </c>
      <c r="I36" s="20"/>
      <c r="J36" s="21"/>
      <c r="K36" s="18"/>
    </row>
    <row r="37" spans="1:11" s="7" customFormat="1" ht="25.5" x14ac:dyDescent="0.25">
      <c r="A37" s="22" t="s">
        <v>239</v>
      </c>
      <c r="B37" s="23" t="s">
        <v>150</v>
      </c>
      <c r="C37" s="35">
        <v>53703.190690000003</v>
      </c>
      <c r="D37" s="30" t="s">
        <v>389</v>
      </c>
      <c r="E37" s="30">
        <f>IF(7681.86151="","-",7681.86151/425472.26165*100)</f>
        <v>1.8054905577650129</v>
      </c>
      <c r="F37" s="30">
        <f>IF(53703.19069="","-",53703.19069/666964.69129*100)</f>
        <v>8.0518791161389309</v>
      </c>
      <c r="G37" s="30">
        <f>IF(OR(464796.56015="",22319.71858="",7681.86151=""),"-",(7681.86151-22319.71858)/464796.56015*100)</f>
        <v>-3.1493040880672707</v>
      </c>
      <c r="H37" s="30">
        <f>IF(OR(425472.26165="",53703.19069="",7681.86151=""),"-",(53703.19069-7681.86151)/425472.26165*100)</f>
        <v>10.816528673697148</v>
      </c>
      <c r="I37" s="22"/>
      <c r="J37" s="23"/>
      <c r="K37" s="19"/>
    </row>
    <row r="38" spans="1:11" s="7" customFormat="1" ht="25.5" x14ac:dyDescent="0.25">
      <c r="A38" s="20" t="s">
        <v>241</v>
      </c>
      <c r="B38" s="21" t="s">
        <v>151</v>
      </c>
      <c r="C38" s="57">
        <v>28998.579880000001</v>
      </c>
      <c r="D38" s="28" t="s">
        <v>101</v>
      </c>
      <c r="E38" s="28">
        <f>IF(17625.00653="","-",17625.00653/425472.26165*100)</f>
        <v>4.1424572454264013</v>
      </c>
      <c r="F38" s="28">
        <f>IF(28998.57988="","-",28998.57988/666964.69129*100)</f>
        <v>4.3478433354414641</v>
      </c>
      <c r="G38" s="28">
        <f>IF(464796.56015="","-",(17625.00653-14263.29254)/464796.56015*100)</f>
        <v>0.72326567755043192</v>
      </c>
      <c r="H38" s="28">
        <f>IF(425472.26165="","-",(28998.57988-17625.00653)/425472.26165*100)</f>
        <v>2.6731644751394104</v>
      </c>
      <c r="I38" s="22"/>
      <c r="J38" s="23"/>
      <c r="K38" s="19"/>
    </row>
    <row r="39" spans="1:11" s="7" customFormat="1" x14ac:dyDescent="0.25">
      <c r="A39" s="22" t="s">
        <v>242</v>
      </c>
      <c r="B39" s="23" t="s">
        <v>24</v>
      </c>
      <c r="C39" s="35">
        <v>7627.0673699999998</v>
      </c>
      <c r="D39" s="30" t="s">
        <v>199</v>
      </c>
      <c r="E39" s="30">
        <f>IF(4165.42886="","-",4165.42886/425472.26165*100)</f>
        <v>0.97901302516086131</v>
      </c>
      <c r="F39" s="30">
        <f>IF(7627.06737="","-",7627.06737/666964.69129*100)</f>
        <v>1.1435488969061043</v>
      </c>
      <c r="G39" s="30">
        <f>IF(OR(464796.56015="",5038.06762="",4165.42886=""),"-",(4165.42886-5038.06762)/464796.56015*100)</f>
        <v>-0.18774638945657865</v>
      </c>
      <c r="H39" s="30">
        <f>IF(OR(425472.26165="",7627.06737="",4165.42886=""),"-",(7627.06737-4165.42886)/425472.26165*100)</f>
        <v>0.81359910434010785</v>
      </c>
      <c r="I39" s="20"/>
      <c r="J39" s="21"/>
      <c r="K39" s="18"/>
    </row>
    <row r="40" spans="1:11" s="7" customFormat="1" x14ac:dyDescent="0.25">
      <c r="A40" s="22" t="s">
        <v>243</v>
      </c>
      <c r="B40" s="23" t="s">
        <v>25</v>
      </c>
      <c r="C40" s="35">
        <v>472.73151999999999</v>
      </c>
      <c r="D40" s="30" t="s">
        <v>322</v>
      </c>
      <c r="E40" s="30">
        <f>IF(116.68014="","-",116.68014/425472.26165*100)</f>
        <v>2.7423677291560519E-2</v>
      </c>
      <c r="F40" s="30">
        <f>IF(472.73152="","-",472.73152/666964.69129*100)</f>
        <v>7.0878042896944549E-2</v>
      </c>
      <c r="G40" s="30">
        <f>IF(OR(464796.56015="",158.07754="",116.68014=""),"-",(116.68014-158.07754)/464796.56015*100)</f>
        <v>-8.9065633331365801E-3</v>
      </c>
      <c r="H40" s="30">
        <f>IF(OR(425472.26165="",472.73152="",116.68014=""),"-",(472.73152-116.68014)/425472.26165*100)</f>
        <v>8.3683805524528726E-2</v>
      </c>
      <c r="I40" s="22"/>
      <c r="J40" s="23"/>
      <c r="K40" s="19"/>
    </row>
    <row r="41" spans="1:11" s="7" customFormat="1" x14ac:dyDescent="0.25">
      <c r="A41" s="22" t="s">
        <v>244</v>
      </c>
      <c r="B41" s="23" t="s">
        <v>152</v>
      </c>
      <c r="C41" s="35">
        <v>524.00116000000003</v>
      </c>
      <c r="D41" s="30" t="s">
        <v>358</v>
      </c>
      <c r="E41" s="30">
        <f>IF(183.5842="","-",183.5842/425472.26165*100)</f>
        <v>4.3148335754733452E-2</v>
      </c>
      <c r="F41" s="30">
        <f>IF(524.00116="","-",524.00116/666964.69129*100)</f>
        <v>7.8565052519723469E-2</v>
      </c>
      <c r="G41" s="30">
        <f>IF(OR(464796.56015="",143.78568="",183.5842=""),"-",(183.5842-143.78568)/464796.56015*100)</f>
        <v>8.5625676720060377E-3</v>
      </c>
      <c r="H41" s="30">
        <f>IF(OR(425472.26165="",524.00116="",183.5842=""),"-",(524.00116-183.5842)/425472.26165*100)</f>
        <v>8.0009201699741406E-2</v>
      </c>
      <c r="I41" s="22"/>
      <c r="J41" s="23"/>
      <c r="K41" s="19"/>
    </row>
    <row r="42" spans="1:11" s="7" customFormat="1" x14ac:dyDescent="0.25">
      <c r="A42" s="22" t="s">
        <v>245</v>
      </c>
      <c r="B42" s="23" t="s">
        <v>153</v>
      </c>
      <c r="C42" s="35">
        <v>15949.949420000001</v>
      </c>
      <c r="D42" s="30">
        <f>IF(OR(10627.32254="",15949.94942=""),"-",15949.94942/10627.32254*100)</f>
        <v>150.08436377051939</v>
      </c>
      <c r="E42" s="30">
        <f>IF(10627.32254="","-",10627.32254/425472.26165*100)</f>
        <v>2.4977709472262135</v>
      </c>
      <c r="F42" s="30">
        <f>IF(15949.94942="","-",15949.94942/666964.69129*100)</f>
        <v>2.3914233584315596</v>
      </c>
      <c r="G42" s="30">
        <f>IF(OR(464796.56015="",5613.10363="",10627.32254=""),"-",(10627.32254-5613.10363)/464796.56015*100)</f>
        <v>1.0787986271632048</v>
      </c>
      <c r="H42" s="30">
        <f>IF(OR(425472.26165="",15949.94942="",10627.32254=""),"-",(15949.94942-10627.32254)/425472.26165*100)</f>
        <v>1.250992687363125</v>
      </c>
      <c r="I42" s="22"/>
      <c r="J42" s="23"/>
      <c r="K42" s="19"/>
    </row>
    <row r="43" spans="1:11" s="7" customFormat="1" ht="40.5" customHeight="1" x14ac:dyDescent="0.25">
      <c r="A43" s="22" t="s">
        <v>246</v>
      </c>
      <c r="B43" s="23" t="s">
        <v>154</v>
      </c>
      <c r="C43" s="35">
        <v>2382.1603300000002</v>
      </c>
      <c r="D43" s="30" t="s">
        <v>100</v>
      </c>
      <c r="E43" s="30">
        <f>IF(1404.95957="","-",1404.95957/425472.26165*100)</f>
        <v>0.33021178973019427</v>
      </c>
      <c r="F43" s="30">
        <f>IF(2382.16033="","-",2382.16033/666964.69129*100)</f>
        <v>0.35716438382856214</v>
      </c>
      <c r="G43" s="30">
        <f>IF(OR(464796.56015="",2218.29184="",1404.95957=""),"-",(1404.95957-2218.29184)/464796.56015*100)</f>
        <v>-0.17498672316712494</v>
      </c>
      <c r="H43" s="30">
        <f>IF(OR(425472.26165="",2382.16033="",1404.95957=""),"-",(2382.16033-1404.95957)/425472.26165*100)</f>
        <v>0.2296743755304689</v>
      </c>
      <c r="I43" s="22"/>
      <c r="J43" s="23"/>
      <c r="K43" s="19"/>
    </row>
    <row r="44" spans="1:11" s="7" customFormat="1" x14ac:dyDescent="0.25">
      <c r="A44" s="22" t="s">
        <v>247</v>
      </c>
      <c r="B44" s="23" t="s">
        <v>155</v>
      </c>
      <c r="C44" s="35">
        <v>50.344059999999999</v>
      </c>
      <c r="D44" s="30">
        <f>IF(OR(46.68694="",50.34406=""),"-",50.34406/46.68694*100)</f>
        <v>107.83328271246735</v>
      </c>
      <c r="E44" s="30">
        <f>IF(46.68694="","-",46.68694/425472.26165*100)</f>
        <v>1.0972969147024064E-2</v>
      </c>
      <c r="F44" s="30">
        <f>IF(50.34406="","-",50.34406/666964.69129*100)</f>
        <v>7.5482346603127932E-3</v>
      </c>
      <c r="G44" s="30" t="str">
        <f>IF(OR(464796.56015="",""="",46.68694=""),"-",(46.68694-"")/464796.56015*100)</f>
        <v>-</v>
      </c>
      <c r="H44" s="30">
        <f>IF(OR(425472.26165="",50.34406="",46.68694=""),"-",(50.34406-46.68694)/425472.26165*100)</f>
        <v>8.5954369523821091E-4</v>
      </c>
      <c r="I44" s="22"/>
      <c r="J44" s="23"/>
      <c r="K44" s="19"/>
    </row>
    <row r="45" spans="1:11" x14ac:dyDescent="0.25">
      <c r="A45" s="22" t="s">
        <v>248</v>
      </c>
      <c r="B45" s="23" t="s">
        <v>26</v>
      </c>
      <c r="C45" s="35">
        <v>434.97899999999998</v>
      </c>
      <c r="D45" s="30" t="s">
        <v>199</v>
      </c>
      <c r="E45" s="30">
        <f>IF(236.70523="","-",236.70523/425472.26165*100)</f>
        <v>5.5633528042943803E-2</v>
      </c>
      <c r="F45" s="30">
        <f>IF(434.979="","-",434.979/666964.69129*100)</f>
        <v>6.5217695281393651E-2</v>
      </c>
      <c r="G45" s="30">
        <f>IF(OR(464796.56015="",395.08138="",236.70523=""),"-",(236.70523-395.08138)/464796.56015*100)</f>
        <v>-3.4074294772940786E-2</v>
      </c>
      <c r="H45" s="30">
        <f>IF(OR(425472.26165="",434.979="",236.70523=""),"-",(434.979-236.70523)/425472.26165*100)</f>
        <v>4.6600868698487105E-2</v>
      </c>
      <c r="I45" s="22"/>
      <c r="J45" s="23"/>
      <c r="K45" s="19"/>
    </row>
    <row r="46" spans="1:11" x14ac:dyDescent="0.25">
      <c r="A46" s="22" t="s">
        <v>249</v>
      </c>
      <c r="B46" s="23" t="s">
        <v>27</v>
      </c>
      <c r="C46" s="35">
        <v>894.96069</v>
      </c>
      <c r="D46" s="30" t="s">
        <v>102</v>
      </c>
      <c r="E46" s="30">
        <f>IF(459.99763="","-",459.99763/425472.26165*100)</f>
        <v>0.10811459910832005</v>
      </c>
      <c r="F46" s="30">
        <f>IF(894.96069="","-",894.96069/666964.69129*100)</f>
        <v>0.13418411824305496</v>
      </c>
      <c r="G46" s="30">
        <f>IF(OR(464796.56015="",340.23729="",459.99763=""),"-",(459.99763-340.23729)/464796.56015*100)</f>
        <v>2.5766184663963687E-2</v>
      </c>
      <c r="H46" s="30">
        <f>IF(OR(425472.26165="",894.96069="",459.99763=""),"-",(894.96069-459.99763)/425472.26165*100)</f>
        <v>0.10223065031623782</v>
      </c>
      <c r="I46" s="22"/>
      <c r="J46" s="23"/>
      <c r="K46" s="19"/>
    </row>
    <row r="47" spans="1:11" x14ac:dyDescent="0.25">
      <c r="A47" s="22" t="s">
        <v>250</v>
      </c>
      <c r="B47" s="23" t="s">
        <v>156</v>
      </c>
      <c r="C47" s="35">
        <v>662.38633000000004</v>
      </c>
      <c r="D47" s="30" t="s">
        <v>100</v>
      </c>
      <c r="E47" s="30">
        <f>IF(383.64142="","-",383.64142/425472.26165*100)</f>
        <v>9.0168373964549839E-2</v>
      </c>
      <c r="F47" s="30">
        <f>IF(662.38633="","-",662.38633/666964.69129*100)</f>
        <v>9.9313552673808744E-2</v>
      </c>
      <c r="G47" s="30">
        <f>IF(OR(464796.56015="",356.64756="",383.64142=""),"-",(383.64142-356.64756)/464796.56015*100)</f>
        <v>5.8076720686763422E-3</v>
      </c>
      <c r="H47" s="30">
        <f>IF(OR(425472.26165="",662.38633="",383.64142=""),"-",(662.38633-383.64142)/425472.26165*100)</f>
        <v>6.5514237971475542E-2</v>
      </c>
      <c r="I47" s="22"/>
      <c r="J47" s="23"/>
      <c r="K47" s="19"/>
    </row>
    <row r="48" spans="1:11" ht="25.5" x14ac:dyDescent="0.25">
      <c r="A48" s="20" t="s">
        <v>251</v>
      </c>
      <c r="B48" s="21" t="s">
        <v>324</v>
      </c>
      <c r="C48" s="57">
        <v>45802.30863</v>
      </c>
      <c r="D48" s="28">
        <f>IF(30623.68799="","-",45802.30863/30623.68799*100)</f>
        <v>149.56496632592552</v>
      </c>
      <c r="E48" s="28">
        <f>IF(30623.68799="","-",30623.68799/425472.26165*100)</f>
        <v>7.1975756706770966</v>
      </c>
      <c r="F48" s="28">
        <f>IF(45802.30863="","-",45802.30863/666964.69129*100)</f>
        <v>6.8672763683205087</v>
      </c>
      <c r="G48" s="28">
        <f>IF(464796.56015="","-",(30623.68799-26830.95894)/464796.56015*100)</f>
        <v>0.81599765901365573</v>
      </c>
      <c r="H48" s="28">
        <f>IF(425472.26165="","-",(45802.30863-30623.68799)/425472.26165*100)</f>
        <v>3.5674759574541115</v>
      </c>
      <c r="I48" s="22"/>
      <c r="J48" s="23"/>
      <c r="K48" s="19"/>
    </row>
    <row r="49" spans="1:11" x14ac:dyDescent="0.25">
      <c r="A49" s="22" t="s">
        <v>252</v>
      </c>
      <c r="B49" s="23" t="s">
        <v>157</v>
      </c>
      <c r="C49" s="35">
        <v>259.76830000000001</v>
      </c>
      <c r="D49" s="30">
        <f>IF(OR(222.9804="",259.7683=""),"-",259.7683/222.9804*100)</f>
        <v>116.49826621532655</v>
      </c>
      <c r="E49" s="30">
        <f>IF(222.9804="","-",222.9804/425472.26165*100)</f>
        <v>5.2407740785561971E-2</v>
      </c>
      <c r="F49" s="30">
        <f>IF(259.7683="","-",259.7683/666964.69129*100)</f>
        <v>3.8947833879717522E-2</v>
      </c>
      <c r="G49" s="30">
        <f>IF(OR(464796.56015="",102.66342="",222.9804=""),"-",(222.9804-102.66342)/464796.56015*100)</f>
        <v>2.5885944586416711E-2</v>
      </c>
      <c r="H49" s="30">
        <f>IF(OR(425472.26165="",259.7683="",222.9804=""),"-",(259.7683-222.9804)/425472.26165*100)</f>
        <v>8.6463685922402844E-3</v>
      </c>
      <c r="I49" s="20"/>
      <c r="J49" s="21"/>
      <c r="K49" s="18"/>
    </row>
    <row r="50" spans="1:11" x14ac:dyDescent="0.25">
      <c r="A50" s="22" t="s">
        <v>253</v>
      </c>
      <c r="B50" s="23" t="s">
        <v>28</v>
      </c>
      <c r="C50" s="35">
        <v>76.707130000000006</v>
      </c>
      <c r="D50" s="30">
        <f>IF(OR(62.50941="",76.70713=""),"-",76.70713/62.50941*100)</f>
        <v>122.71293234090676</v>
      </c>
      <c r="E50" s="30">
        <f>IF(62.50941="","-",62.50941/425472.26165*100)</f>
        <v>1.469177091770584E-2</v>
      </c>
      <c r="F50" s="30">
        <f>IF(76.70713="","-",76.70713/666964.69129*100)</f>
        <v>1.1500928160325554E-2</v>
      </c>
      <c r="G50" s="30">
        <f>IF(OR(464796.56015="",43.65672="",62.50941=""),"-",(62.50941-43.65672)/464796.56015*100)</f>
        <v>4.0561165069543182E-3</v>
      </c>
      <c r="H50" s="30">
        <f>IF(OR(425472.26165="",76.70713="",62.50941=""),"-",(76.70713-62.50941)/425472.26165*100)</f>
        <v>3.336931988219544E-3</v>
      </c>
      <c r="I50" s="22"/>
      <c r="J50" s="23"/>
      <c r="K50" s="19"/>
    </row>
    <row r="51" spans="1:11" x14ac:dyDescent="0.25">
      <c r="A51" s="22" t="s">
        <v>254</v>
      </c>
      <c r="B51" s="23" t="s">
        <v>158</v>
      </c>
      <c r="C51" s="35">
        <v>4953.8347999999996</v>
      </c>
      <c r="D51" s="30">
        <f>IF(OR(3587.86161="",4953.8348=""),"-",4953.8348/3587.86161*100)</f>
        <v>138.07207017664206</v>
      </c>
      <c r="E51" s="30">
        <f>IF(3587.86161="","-",3587.86161/425472.26165*100)</f>
        <v>0.84326569165428455</v>
      </c>
      <c r="F51" s="30">
        <f>IF(4953.8348="","-",4953.8348/666964.69129*100)</f>
        <v>0.74274318636247638</v>
      </c>
      <c r="G51" s="30">
        <f>IF(OR(464796.56015="",3161.48904="",3587.86161=""),"-",(3587.86161-3161.48904)/464796.56015*100)</f>
        <v>9.1733159527342512E-2</v>
      </c>
      <c r="H51" s="30">
        <f>IF(OR(425472.26165="",4953.8348="",3587.86161=""),"-",(4953.8348-3587.86161)/425472.26165*100)</f>
        <v>0.32104870590216528</v>
      </c>
      <c r="I51" s="22"/>
      <c r="J51" s="23"/>
      <c r="K51" s="19"/>
    </row>
    <row r="52" spans="1:11" ht="25.5" x14ac:dyDescent="0.25">
      <c r="A52" s="22" t="s">
        <v>255</v>
      </c>
      <c r="B52" s="23" t="s">
        <v>159</v>
      </c>
      <c r="C52" s="35">
        <v>2763.0811199999998</v>
      </c>
      <c r="D52" s="30" t="s">
        <v>198</v>
      </c>
      <c r="E52" s="30">
        <f>IF(1248.65406="","-",1248.65406/425472.26165*100)</f>
        <v>0.29347484490708398</v>
      </c>
      <c r="F52" s="30">
        <f>IF(2763.08112="","-",2763.08112/666964.69129*100)</f>
        <v>0.41427697089269105</v>
      </c>
      <c r="G52" s="30">
        <f>IF(OR(464796.56015="",1422.03934="",1248.65406=""),"-",(1248.65406-1422.03934)/464796.56015*100)</f>
        <v>-3.7303477449154264E-2</v>
      </c>
      <c r="H52" s="30">
        <f>IF(OR(425472.26165="",2763.08112="",1248.65406=""),"-",(2763.08112-1248.65406)/425472.26165*100)</f>
        <v>0.35594025662847811</v>
      </c>
      <c r="I52" s="22"/>
      <c r="J52" s="23"/>
      <c r="K52" s="19"/>
    </row>
    <row r="53" spans="1:11" ht="26.25" customHeight="1" x14ac:dyDescent="0.25">
      <c r="A53" s="22" t="s">
        <v>256</v>
      </c>
      <c r="B53" s="23" t="s">
        <v>160</v>
      </c>
      <c r="C53" s="35">
        <v>15857.239939999999</v>
      </c>
      <c r="D53" s="30">
        <f>IF(OR(12172.45849="",15857.2399399999=""),"-",15857.2399399999/12172.45849*100)</f>
        <v>130.27146449525412</v>
      </c>
      <c r="E53" s="30">
        <f>IF(12172.45849="","-",12172.45849/425472.26165*100)</f>
        <v>2.8609288048049653</v>
      </c>
      <c r="F53" s="30">
        <f>IF(15857.2399399999="","-",15857.2399399999/666964.69129*100)</f>
        <v>2.3775231503379661</v>
      </c>
      <c r="G53" s="30">
        <f>IF(OR(464796.56015="",10662.72205="",12172.45849=""),"-",(12172.45849-10662.72205)/464796.56015*100)</f>
        <v>0.32481661213516205</v>
      </c>
      <c r="H53" s="30">
        <f>IF(OR(425472.26165="",15857.2399399999="",12172.45849=""),"-",(15857.2399399999-12172.45849)/425472.26165*100)</f>
        <v>0.86604504738103383</v>
      </c>
      <c r="I53" s="22"/>
      <c r="J53" s="23"/>
      <c r="K53" s="19"/>
    </row>
    <row r="54" spans="1:11" ht="14.25" customHeight="1" x14ac:dyDescent="0.25">
      <c r="A54" s="22" t="s">
        <v>257</v>
      </c>
      <c r="B54" s="23" t="s">
        <v>29</v>
      </c>
      <c r="C54" s="35">
        <v>12778.494430000001</v>
      </c>
      <c r="D54" s="30" t="s">
        <v>100</v>
      </c>
      <c r="E54" s="30">
        <f>IF(7345.56337="","-",7345.56337/425472.26165*100)</f>
        <v>1.7264494144726579</v>
      </c>
      <c r="F54" s="30">
        <f>IF(12778.49443="","-",12778.49443/666964.69129*100)</f>
        <v>1.9159176785332763</v>
      </c>
      <c r="G54" s="30">
        <f>IF(OR(464796.56015="",7217.26045="",7345.56337=""),"-",(7345.56337-7217.26045)/464796.56015*100)</f>
        <v>2.7604102740905384E-2</v>
      </c>
      <c r="H54" s="30">
        <f>IF(OR(425472.26165="",12778.49443="",7345.56337=""),"-",(12778.49443-7345.56337)/425472.26165*100)</f>
        <v>1.2769178039787732</v>
      </c>
      <c r="I54" s="22"/>
      <c r="J54" s="23"/>
      <c r="K54" s="19"/>
    </row>
    <row r="55" spans="1:11" ht="15.75" customHeight="1" x14ac:dyDescent="0.25">
      <c r="A55" s="22" t="s">
        <v>258</v>
      </c>
      <c r="B55" s="23" t="s">
        <v>161</v>
      </c>
      <c r="C55" s="35">
        <v>2225.6390099999999</v>
      </c>
      <c r="D55" s="30" t="s">
        <v>328</v>
      </c>
      <c r="E55" s="30">
        <f>IF(611.58663="","-",611.58663/425472.26165*100)</f>
        <v>0.14374300868128051</v>
      </c>
      <c r="F55" s="30">
        <f>IF(2225.63901="","-",2225.63901/666964.69129*100)</f>
        <v>0.33369667676040132</v>
      </c>
      <c r="G55" s="30">
        <f>IF(OR(464796.56015="",115.10279="",611.58663=""),"-",(611.58663-115.10279)/464796.56015*100)</f>
        <v>0.10681745145441134</v>
      </c>
      <c r="H55" s="30">
        <f>IF(OR(425472.26165="",2225.63901="",611.58663=""),"-",(2225.63901-611.58663)/425472.26165*100)</f>
        <v>0.37935548929573792</v>
      </c>
      <c r="I55" s="22"/>
      <c r="J55" s="23"/>
      <c r="K55" s="19"/>
    </row>
    <row r="56" spans="1:11" x14ac:dyDescent="0.25">
      <c r="A56" s="22" t="s">
        <v>259</v>
      </c>
      <c r="B56" s="23" t="s">
        <v>30</v>
      </c>
      <c r="C56" s="35">
        <v>632.17443000000003</v>
      </c>
      <c r="D56" s="30" t="s">
        <v>386</v>
      </c>
      <c r="E56" s="30">
        <f>IF(119.47394="","-",119.47394/425472.26165*100)</f>
        <v>2.8080312342025508E-2</v>
      </c>
      <c r="F56" s="30">
        <f>IF(632.17443="","-",632.17443/666964.69129*100)</f>
        <v>9.4783792643848813E-2</v>
      </c>
      <c r="G56" s="30">
        <f>IF(OR(464796.56015="",169.26283="",119.47394=""),"-",(119.47394-169.26283)/464796.56015*100)</f>
        <v>-1.0711974715116663E-2</v>
      </c>
      <c r="H56" s="30">
        <f>IF(OR(425472.26165="",632.17443="",119.47394=""),"-",(632.17443-119.47394)/425472.26165*100)</f>
        <v>0.12050150766861396</v>
      </c>
      <c r="I56" s="22"/>
      <c r="J56" s="23"/>
      <c r="K56" s="19"/>
    </row>
    <row r="57" spans="1:11" x14ac:dyDescent="0.25">
      <c r="A57" s="22" t="s">
        <v>260</v>
      </c>
      <c r="B57" s="23" t="s">
        <v>31</v>
      </c>
      <c r="C57" s="35">
        <v>6255.3694699999996</v>
      </c>
      <c r="D57" s="30">
        <f>IF(OR(5252.60008="",6255.36947=""),"-",6255.36947/5252.60008*100)</f>
        <v>119.09091449429363</v>
      </c>
      <c r="E57" s="30">
        <f>IF(5252.60008="","-",5252.60008/425472.26165*100)</f>
        <v>1.2345340821115314</v>
      </c>
      <c r="F57" s="30">
        <f>IF(6255.36947="","-",6255.36947/666964.69129*100)</f>
        <v>0.93788615074978987</v>
      </c>
      <c r="G57" s="30">
        <f>IF(OR(464796.56015="",3936.7623="",5252.60008=""),"-",(5252.60008-3936.7623)/464796.56015*100)</f>
        <v>0.28309972422673496</v>
      </c>
      <c r="H57" s="30">
        <f>IF(OR(425472.26165="",6255.36947="",5252.60008=""),"-",(6255.36947-5252.60008)/425472.26165*100)</f>
        <v>0.2356838460188253</v>
      </c>
      <c r="I57" s="22"/>
      <c r="J57" s="23"/>
      <c r="K57" s="19"/>
    </row>
    <row r="58" spans="1:11" ht="25.5" x14ac:dyDescent="0.25">
      <c r="A58" s="20" t="s">
        <v>261</v>
      </c>
      <c r="B58" s="21" t="s">
        <v>162</v>
      </c>
      <c r="C58" s="57">
        <v>111196.35606000001</v>
      </c>
      <c r="D58" s="28">
        <f>IF(107509.77485="","-",111196.35606/107509.77485*100)</f>
        <v>103.42906606877709</v>
      </c>
      <c r="E58" s="28">
        <f>IF(107509.77485="","-",107509.77485/425472.26165*100)</f>
        <v>25.268339334995048</v>
      </c>
      <c r="F58" s="28">
        <f>IF(111196.35606="","-",111196.35606/666964.69129*100)</f>
        <v>16.672000409036826</v>
      </c>
      <c r="G58" s="28">
        <f>IF(464796.56015="","-",(107509.77485-98817.28712)/464796.56015*100)</f>
        <v>1.8701704090053406</v>
      </c>
      <c r="H58" s="28">
        <f>IF(425472.26165="","-",(111196.35606-107509.77485)/425472.26165*100)</f>
        <v>0.86646805027977181</v>
      </c>
      <c r="I58" s="22"/>
      <c r="J58" s="23"/>
      <c r="K58" s="19"/>
    </row>
    <row r="59" spans="1:11" ht="25.5" x14ac:dyDescent="0.25">
      <c r="A59" s="22" t="s">
        <v>262</v>
      </c>
      <c r="B59" s="23" t="s">
        <v>163</v>
      </c>
      <c r="C59" s="35">
        <v>371.44254000000001</v>
      </c>
      <c r="D59" s="30" t="s">
        <v>101</v>
      </c>
      <c r="E59" s="30">
        <f>IF(228.26973="","-",228.26973/425472.26165*100)</f>
        <v>5.3650907609055415E-2</v>
      </c>
      <c r="F59" s="30">
        <f>IF(371.44254="","-",371.44254/666964.69129*100)</f>
        <v>5.5691484849307367E-2</v>
      </c>
      <c r="G59" s="30">
        <f>IF(OR(464796.56015="",491.84443="",228.26973=""),"-",(228.26973-491.84443)/464796.56015*100)</f>
        <v>-5.6707541018577827E-2</v>
      </c>
      <c r="H59" s="30">
        <f>IF(OR(425472.26165="",371.44254="",228.26973=""),"-",(371.44254-228.26973)/425472.26165*100)</f>
        <v>3.3650327625300312E-2</v>
      </c>
      <c r="I59" s="20"/>
      <c r="J59" s="21"/>
      <c r="K59" s="18"/>
    </row>
    <row r="60" spans="1:11" ht="25.5" x14ac:dyDescent="0.25">
      <c r="A60" s="22" t="s">
        <v>263</v>
      </c>
      <c r="B60" s="23" t="s">
        <v>164</v>
      </c>
      <c r="C60" s="35">
        <v>1496.60006</v>
      </c>
      <c r="D60" s="30">
        <f>IF(OR(2473.1538="",1496.60006=""),"-",1496.60006/2473.1538*100)</f>
        <v>60.513828941815092</v>
      </c>
      <c r="E60" s="30">
        <f>IF(2473.1538="","-",2473.1538/425472.26165*100)</f>
        <v>0.58127262877467067</v>
      </c>
      <c r="F60" s="30">
        <f>IF(1496.60006="","-",1496.60006/666964.69129*100)</f>
        <v>0.22438969851692941</v>
      </c>
      <c r="G60" s="30">
        <f>IF(OR(464796.56015="",926.98788="",2473.1538=""),"-",(2473.1538-926.98788)/464796.56015*100)</f>
        <v>0.33265433795401117</v>
      </c>
      <c r="H60" s="30">
        <f>IF(OR(425472.26165="",1496.60006="",2473.1538=""),"-",(1496.60006-2473.1538)/425472.26165*100)</f>
        <v>-0.22952230451237457</v>
      </c>
      <c r="I60" s="22"/>
      <c r="J60" s="23"/>
      <c r="K60" s="19"/>
    </row>
    <row r="61" spans="1:11" ht="25.5" x14ac:dyDescent="0.25">
      <c r="A61" s="22" t="s">
        <v>264</v>
      </c>
      <c r="B61" s="23" t="s">
        <v>165</v>
      </c>
      <c r="C61" s="35">
        <v>433.34568000000002</v>
      </c>
      <c r="D61" s="30">
        <f>IF(OR(1133.18414="",433.34568=""),"-",433.34568/1133.18414*100)</f>
        <v>38.241417674624358</v>
      </c>
      <c r="E61" s="30">
        <f>IF(1133.18414="","-",1133.18414/425472.26165*100)</f>
        <v>0.26633560919000043</v>
      </c>
      <c r="F61" s="30">
        <f>IF(433.34568="","-",433.34568/666964.69129*100)</f>
        <v>6.4972806755609624E-2</v>
      </c>
      <c r="G61" s="30">
        <f>IF(OR(464796.56015="",305.14696="",1133.18414=""),"-",(1133.18414-305.14696)/464796.56015*100)</f>
        <v>0.17815045355171613</v>
      </c>
      <c r="H61" s="30">
        <f>IF(OR(425472.26165="",433.34568="",1133.18414=""),"-",(433.34568-1133.18414)/425472.26165*100)</f>
        <v>-0.16448509646339718</v>
      </c>
      <c r="I61" s="22"/>
      <c r="J61" s="23"/>
      <c r="K61" s="19"/>
    </row>
    <row r="62" spans="1:11" ht="38.25" x14ac:dyDescent="0.25">
      <c r="A62" s="22" t="s">
        <v>265</v>
      </c>
      <c r="B62" s="23" t="s">
        <v>166</v>
      </c>
      <c r="C62" s="35">
        <v>2996.6442400000001</v>
      </c>
      <c r="D62" s="30">
        <f>IF(OR(3491.86648="",2996.64424=""),"-",2996.64424/3491.86648*100)</f>
        <v>85.817835738094999</v>
      </c>
      <c r="E62" s="30">
        <f>IF(3491.86648="","-",3491.86648/425472.26165*100)</f>
        <v>0.82070367324497007</v>
      </c>
      <c r="F62" s="30">
        <f>IF(2996.64424="","-",2996.64424/666964.69129*100)</f>
        <v>0.44929578418972749</v>
      </c>
      <c r="G62" s="30">
        <f>IF(OR(464796.56015="",3362.97639="",3491.86648=""),"-",(3491.86648-3362.97639)/464796.56015*100)</f>
        <v>2.7730431128493011E-2</v>
      </c>
      <c r="H62" s="30">
        <f>IF(OR(425472.26165="",2996.64424="",3491.86648=""),"-",(2996.64424-3491.86648)/425472.26165*100)</f>
        <v>-0.11639354304308971</v>
      </c>
      <c r="I62" s="22"/>
      <c r="J62" s="23"/>
      <c r="K62" s="19"/>
    </row>
    <row r="63" spans="1:11" ht="26.25" customHeight="1" x14ac:dyDescent="0.25">
      <c r="A63" s="22" t="s">
        <v>266</v>
      </c>
      <c r="B63" s="23" t="s">
        <v>167</v>
      </c>
      <c r="C63" s="35">
        <v>450.14197000000001</v>
      </c>
      <c r="D63" s="30">
        <f>IF(OR(411.83173="",450.14197=""),"-",450.14197/411.83173*100)</f>
        <v>109.30240125014166</v>
      </c>
      <c r="E63" s="30">
        <f>IF(411.83173="","-",411.83173/425472.26165*100)</f>
        <v>9.6794025632340533E-2</v>
      </c>
      <c r="F63" s="30">
        <f>IF(450.14197="","-",450.14197/666964.69129*100)</f>
        <v>6.7491124474575184E-2</v>
      </c>
      <c r="G63" s="30">
        <f>IF(OR(464796.56015="",185.99878="",411.83173=""),"-",(411.83173-185.99878)/464796.56015*100)</f>
        <v>4.8587483075846941E-2</v>
      </c>
      <c r="H63" s="30">
        <f>IF(OR(425472.26165="",450.14197="",411.83173=""),"-",(450.14197-411.83173)/425472.26165*100)</f>
        <v>9.0041686504852836E-3</v>
      </c>
      <c r="I63" s="22"/>
      <c r="J63" s="23"/>
      <c r="K63" s="19"/>
    </row>
    <row r="64" spans="1:11" ht="39.75" customHeight="1" x14ac:dyDescent="0.25">
      <c r="A64" s="22" t="s">
        <v>267</v>
      </c>
      <c r="B64" s="23" t="s">
        <v>168</v>
      </c>
      <c r="C64" s="35">
        <v>229.23763</v>
      </c>
      <c r="D64" s="30">
        <f>IF(OR(632.38667="",229.23763=""),"-",229.23763/632.38667*100)</f>
        <v>36.249598683033597</v>
      </c>
      <c r="E64" s="30">
        <f>IF(632.38667="","-",632.38667/425472.26165*100)</f>
        <v>0.148631703403549</v>
      </c>
      <c r="F64" s="30">
        <f>IF(229.23763="","-",229.23763/666964.69129*100)</f>
        <v>3.4370279715500891E-2</v>
      </c>
      <c r="G64" s="30">
        <f>IF(OR(464796.56015="",318.97348="",632.38667=""),"-",(632.38667-318.97348)/464796.56015*100)</f>
        <v>6.7430187069124334E-2</v>
      </c>
      <c r="H64" s="30">
        <f>IF(OR(425472.26165="",229.23763="",632.38667=""),"-",(229.23763-632.38667)/425472.26165*100)</f>
        <v>-9.4753307404005713E-2</v>
      </c>
      <c r="I64" s="22"/>
      <c r="J64" s="23"/>
      <c r="K64" s="19"/>
    </row>
    <row r="65" spans="1:11" ht="51" x14ac:dyDescent="0.25">
      <c r="A65" s="22" t="s">
        <v>268</v>
      </c>
      <c r="B65" s="23" t="s">
        <v>169</v>
      </c>
      <c r="C65" s="35">
        <v>91632.653009999995</v>
      </c>
      <c r="D65" s="30">
        <f>IF(OR(92499.5748="",91632.65301=""),"-",91632.65301/92499.5748*100)</f>
        <v>99.062782945895222</v>
      </c>
      <c r="E65" s="30">
        <f>IF(92499.5748="","-",92499.5748/425472.26165*100)</f>
        <v>21.740447765333187</v>
      </c>
      <c r="F65" s="30">
        <f>IF(91632.65301="","-",91632.65301/666964.69129*100)</f>
        <v>13.738756220028685</v>
      </c>
      <c r="G65" s="30">
        <f>IF(OR(464796.56015="",88750.56896="",92499.5748=""),"-",(92499.5748-88750.56896)/464796.56015*100)</f>
        <v>0.8065907025624528</v>
      </c>
      <c r="H65" s="30">
        <f>IF(OR(425472.26165="",91632.65301="",92499.5748=""),"-",(91632.65301-92499.5748)/425472.26165*100)</f>
        <v>-0.20375518409544421</v>
      </c>
      <c r="I65" s="22"/>
      <c r="J65" s="23"/>
      <c r="K65" s="19"/>
    </row>
    <row r="66" spans="1:11" ht="25.5" x14ac:dyDescent="0.25">
      <c r="A66" s="22" t="s">
        <v>269</v>
      </c>
      <c r="B66" s="23" t="s">
        <v>170</v>
      </c>
      <c r="C66" s="35">
        <v>13531.918079999999</v>
      </c>
      <c r="D66" s="30" t="s">
        <v>92</v>
      </c>
      <c r="E66" s="30">
        <f>IF(6457.40275="","-",6457.40275/425472.26165*100)</f>
        <v>1.5177024055476402</v>
      </c>
      <c r="F66" s="30">
        <f>IF(13531.91808="","-",13531.91808/666964.69129*100)</f>
        <v>2.0288807273781524</v>
      </c>
      <c r="G66" s="30">
        <f>IF(OR(464796.56015="",4449.45161="",6457.40275=""),"-",(6457.40275-4449.45161)/464796.56015*100)</f>
        <v>0.43200645446945451</v>
      </c>
      <c r="H66" s="30">
        <f>IF(OR(425472.26165="",13531.91808="",6457.40275=""),"-",(13531.91808-6457.40275)/425472.26165*100)</f>
        <v>1.6627441945485988</v>
      </c>
      <c r="I66" s="22"/>
      <c r="J66" s="23"/>
      <c r="K66" s="19"/>
    </row>
    <row r="67" spans="1:11" x14ac:dyDescent="0.25">
      <c r="A67" s="22" t="s">
        <v>270</v>
      </c>
      <c r="B67" s="23" t="s">
        <v>32</v>
      </c>
      <c r="C67" s="35">
        <v>54.37285</v>
      </c>
      <c r="D67" s="30">
        <f>IF(OR(182.10475="",54.37285=""),"-",54.37285/182.10475*100)</f>
        <v>29.858007547853639</v>
      </c>
      <c r="E67" s="30">
        <f>IF(182.10475="","-",182.10475/425472.26165*100)</f>
        <v>4.2800616259633432E-2</v>
      </c>
      <c r="F67" s="30">
        <f>IF(54.37285="","-",54.37285/666964.69129*100)</f>
        <v>8.152283128337056E-3</v>
      </c>
      <c r="G67" s="30">
        <f>IF(OR(464796.56015="",25.33863="",182.10475=""),"-",(182.10475-25.33863)/464796.56015*100)</f>
        <v>3.3727900212817442E-2</v>
      </c>
      <c r="H67" s="30">
        <f>IF(OR(425472.26165="",54.37285="",182.10475=""),"-",(54.37285-182.10475)/425472.26165*100)</f>
        <v>-3.0021205026304211E-2</v>
      </c>
      <c r="I67" s="22"/>
      <c r="J67" s="23"/>
      <c r="K67" s="19"/>
    </row>
    <row r="68" spans="1:11" x14ac:dyDescent="0.25">
      <c r="A68" s="20" t="s">
        <v>271</v>
      </c>
      <c r="B68" s="21" t="s">
        <v>33</v>
      </c>
      <c r="C68" s="57">
        <v>95568.914439999993</v>
      </c>
      <c r="D68" s="28">
        <f>IF(89051.3327="","-",95568.91444/89051.3327*100)</f>
        <v>107.31890421219939</v>
      </c>
      <c r="E68" s="28">
        <f>IF(89051.3327="","-",89051.3327/425472.26165*100)</f>
        <v>20.929997258729642</v>
      </c>
      <c r="F68" s="28">
        <f>IF(95568.91444="","-",95568.91444/666964.69129*100)</f>
        <v>14.328931604333771</v>
      </c>
      <c r="G68" s="28">
        <f>IF(464796.56015="","-",(89051.3327-92709.72105)/464796.56015*100)</f>
        <v>-0.78709454063501505</v>
      </c>
      <c r="H68" s="28">
        <f>IF(425472.26165="","-",(95568.91444-89051.3327)/425472.26165*100)</f>
        <v>1.5318464509823808</v>
      </c>
      <c r="I68" s="22"/>
      <c r="J68" s="23"/>
      <c r="K68" s="19"/>
    </row>
    <row r="69" spans="1:11" ht="38.25" x14ac:dyDescent="0.25">
      <c r="A69" s="22" t="s">
        <v>272</v>
      </c>
      <c r="B69" s="23" t="s">
        <v>196</v>
      </c>
      <c r="C69" s="35">
        <v>2253.9549000000002</v>
      </c>
      <c r="D69" s="30">
        <f>IF(OR(2285.94231="",2253.9549=""),"-",2253.9549/2285.94231*100)</f>
        <v>98.600690408499432</v>
      </c>
      <c r="E69" s="30">
        <f>IF(2285.94231="","-",2285.94231/425472.26165*100)</f>
        <v>0.53727176035754154</v>
      </c>
      <c r="F69" s="30">
        <f>IF(2253.9549="","-",2253.9549/666964.69129*100)</f>
        <v>0.33794216237152619</v>
      </c>
      <c r="G69" s="30">
        <f>IF(OR(464796.56015="",1346.25995="",2285.94231=""),"-",(2285.94231-1346.25995)/464796.56015*100)</f>
        <v>0.20217067865062169</v>
      </c>
      <c r="H69" s="30">
        <f>IF(OR(425472.26165="",2253.9549="",2285.94231=""),"-",(2253.9549-2285.94231)/425472.26165*100)</f>
        <v>-7.5180952751070429E-3</v>
      </c>
      <c r="I69" s="20"/>
      <c r="J69" s="21"/>
      <c r="K69" s="18"/>
    </row>
    <row r="70" spans="1:11" x14ac:dyDescent="0.25">
      <c r="A70" s="22" t="s">
        <v>273</v>
      </c>
      <c r="B70" s="23" t="s">
        <v>171</v>
      </c>
      <c r="C70" s="35">
        <v>25518.928169999999</v>
      </c>
      <c r="D70" s="30">
        <f>IF(OR(27910.69097="",25518.92817=""),"-",25518.92817/27910.69097*100)</f>
        <v>91.430657153666303</v>
      </c>
      <c r="E70" s="30">
        <f>IF(27910.69097="","-",27910.69097/425472.26165*100)</f>
        <v>6.559931982818604</v>
      </c>
      <c r="F70" s="30">
        <f>IF(25518.92817="","-",25518.92817/666964.69129*100)</f>
        <v>3.8261288046062734</v>
      </c>
      <c r="G70" s="30">
        <f>IF(OR(464796.56015="",24512.87512="",27910.69097=""),"-",(27910.69097-24512.87512)/464796.56015*100)</f>
        <v>0.73103291661699255</v>
      </c>
      <c r="H70" s="30">
        <f>IF(OR(425472.26165="",25518.92817="",27910.69097=""),"-",(25518.92817-27910.69097)/425472.26165*100)</f>
        <v>-0.56214306209402232</v>
      </c>
      <c r="I70" s="22"/>
      <c r="J70" s="23"/>
      <c r="K70" s="19"/>
    </row>
    <row r="71" spans="1:11" x14ac:dyDescent="0.25">
      <c r="A71" s="22" t="s">
        <v>274</v>
      </c>
      <c r="B71" s="23" t="s">
        <v>172</v>
      </c>
      <c r="C71" s="35">
        <v>2215.2257199999999</v>
      </c>
      <c r="D71" s="30">
        <f>IF(OR(2338.76402="",2215.22572=""),"-",2215.22572/2338.76402*100)</f>
        <v>94.717795427689182</v>
      </c>
      <c r="E71" s="30">
        <f>IF(2338.76402="","-",2338.76402/425472.26165*100)</f>
        <v>0.54968660258371982</v>
      </c>
      <c r="F71" s="30">
        <f>IF(2215.22572="","-",2215.22572/666964.69129*100)</f>
        <v>0.33213538121717562</v>
      </c>
      <c r="G71" s="30">
        <f>IF(OR(464796.56015="",2618.06162="",2338.76402=""),"-",(2338.76402-2618.06162)/464796.56015*100)</f>
        <v>-6.0090289805471986E-2</v>
      </c>
      <c r="H71" s="30">
        <f>IF(OR(425472.26165="",2215.22572="",2338.76402=""),"-",(2215.22572-2338.76402)/425472.26165*100)</f>
        <v>-2.9035570855057213E-2</v>
      </c>
      <c r="I71" s="22"/>
      <c r="J71" s="23"/>
      <c r="K71" s="19"/>
    </row>
    <row r="72" spans="1:11" x14ac:dyDescent="0.25">
      <c r="A72" s="22" t="s">
        <v>275</v>
      </c>
      <c r="B72" s="23" t="s">
        <v>173</v>
      </c>
      <c r="C72" s="35">
        <v>45152.14299</v>
      </c>
      <c r="D72" s="30">
        <f>IF(OR(38487.88998="",45152.14299=""),"-",45152.14299/38487.88998*100)</f>
        <v>117.31519450264236</v>
      </c>
      <c r="E72" s="30">
        <f>IF(38487.88998="","-",38487.88998/425472.26165*100)</f>
        <v>9.045922249018604</v>
      </c>
      <c r="F72" s="30">
        <f>IF(45152.14299="","-",45152.14299/666964.69129*100)</f>
        <v>6.7697951000478973</v>
      </c>
      <c r="G72" s="30">
        <f>IF(OR(464796.56015="",42942.40932="",38487.88998=""),"-",(38487.88998-42942.40932)/464796.56015*100)</f>
        <v>-0.95838044467507</v>
      </c>
      <c r="H72" s="30">
        <f>IF(OR(425472.26165="",45152.14299="",38487.88998=""),"-",(45152.14299-38487.88998)/425472.26165*100)</f>
        <v>1.5663190319753717</v>
      </c>
      <c r="I72" s="22"/>
      <c r="J72" s="23"/>
      <c r="K72" s="19"/>
    </row>
    <row r="73" spans="1:11" x14ac:dyDescent="0.25">
      <c r="A73" s="22" t="s">
        <v>276</v>
      </c>
      <c r="B73" s="23" t="s">
        <v>174</v>
      </c>
      <c r="C73" s="35">
        <v>5451.7419600000003</v>
      </c>
      <c r="D73" s="30">
        <f>IF(OR(5385.51882="",5451.74196=""),"-",5451.74196/5385.51882*100)</f>
        <v>101.22965200221881</v>
      </c>
      <c r="E73" s="30">
        <f>IF(5385.51882="","-",5385.51882/425472.26165*100)</f>
        <v>1.2657743654344757</v>
      </c>
      <c r="F73" s="30">
        <f>IF(5451.74196="","-",5451.74196/666964.69129*100)</f>
        <v>0.81739588784761497</v>
      </c>
      <c r="G73" s="30">
        <f>IF(OR(464796.56015="",7050.96535="",5385.51882=""),"-",(5385.51882-7050.96535)/464796.56015*100)</f>
        <v>-0.35831730971987491</v>
      </c>
      <c r="H73" s="30">
        <f>IF(OR(425472.26165="",5451.74196="",5385.51882=""),"-",(5451.74196-5385.51882)/425472.26165*100)</f>
        <v>1.5564619828137288E-2</v>
      </c>
      <c r="I73" s="22"/>
      <c r="J73" s="23"/>
      <c r="K73" s="19"/>
    </row>
    <row r="74" spans="1:11" ht="25.5" x14ac:dyDescent="0.25">
      <c r="A74" s="22" t="s">
        <v>277</v>
      </c>
      <c r="B74" s="23" t="s">
        <v>197</v>
      </c>
      <c r="C74" s="35">
        <v>2569.0788400000001</v>
      </c>
      <c r="D74" s="30">
        <f>IF(OR(3776.52259="",2569.07884=""),"-",2569.07884/3776.52259*100)</f>
        <v>68.027630678094269</v>
      </c>
      <c r="E74" s="30">
        <f>IF(3776.52259="","-",3776.52259/425472.26165*100)</f>
        <v>0.88760723797938812</v>
      </c>
      <c r="F74" s="30">
        <f>IF(2569.07884="","-",2569.07884/666964.69129*100)</f>
        <v>0.3851896320075136</v>
      </c>
      <c r="G74" s="30">
        <f>IF(OR(464796.56015="",2997.31265="",3776.52259=""),"-",(3776.52259-2997.31265)/464796.56015*100)</f>
        <v>0.16764537580668243</v>
      </c>
      <c r="H74" s="30">
        <f>IF(OR(425472.26165="",2569.07884="",3776.52259=""),"-",(2569.07884-3776.52259)/425472.26165*100)</f>
        <v>-0.28378906425473671</v>
      </c>
      <c r="I74" s="22"/>
      <c r="J74" s="23"/>
      <c r="K74" s="19"/>
    </row>
    <row r="75" spans="1:11" ht="25.5" x14ac:dyDescent="0.25">
      <c r="A75" s="22" t="s">
        <v>278</v>
      </c>
      <c r="B75" s="23" t="s">
        <v>175</v>
      </c>
      <c r="C75" s="35">
        <v>494.16415999999998</v>
      </c>
      <c r="D75" s="30">
        <f>IF(OR(461.12779="",494.16416=""),"-",494.16416/461.12779*100)</f>
        <v>107.16425483703769</v>
      </c>
      <c r="E75" s="30">
        <f>IF(461.12779="","-",461.12779/425472.26165*100)</f>
        <v>0.10838022394497029</v>
      </c>
      <c r="F75" s="30">
        <f>IF(494.16416="","-",494.16416/666964.69129*100)</f>
        <v>7.4091502361874603E-2</v>
      </c>
      <c r="G75" s="30">
        <f>IF(OR(464796.56015="",444.91495="",461.12779=""),"-",(461.12779-444.91495)/464796.56015*100)</f>
        <v>3.4881583449687735E-3</v>
      </c>
      <c r="H75" s="30">
        <f>IF(OR(425472.26165="",494.16416="",461.12779=""),"-",(494.16416-461.12779)/425472.26165*100)</f>
        <v>7.7646354363698098E-3</v>
      </c>
      <c r="I75" s="22"/>
      <c r="J75" s="23"/>
      <c r="K75" s="19"/>
    </row>
    <row r="76" spans="1:11" ht="15.75" customHeight="1" x14ac:dyDescent="0.25">
      <c r="A76" s="22" t="s">
        <v>279</v>
      </c>
      <c r="B76" s="23" t="s">
        <v>34</v>
      </c>
      <c r="C76" s="35">
        <v>11913.6777</v>
      </c>
      <c r="D76" s="30">
        <f>IF(OR(8404.87622="",11913.6777=""),"-",11913.6777/8404.87622*100)</f>
        <v>141.74721183460807</v>
      </c>
      <c r="E76" s="30">
        <f>IF(8404.87622="","-",8404.87622/425472.26165*100)</f>
        <v>1.975422836592337</v>
      </c>
      <c r="F76" s="30">
        <f>IF(11913.6777="","-",11913.6777/666964.69129*100)</f>
        <v>1.7862531338738989</v>
      </c>
      <c r="G76" s="30">
        <f>IF(OR(464796.56015="",10796.92209="",8404.87622=""),"-",(8404.87622-10796.92209)/464796.56015*100)</f>
        <v>-0.51464362585386492</v>
      </c>
      <c r="H76" s="30">
        <f>IF(OR(425472.26165="",11913.6777="",8404.87622=""),"-",(11913.6777-8404.87622)/425472.26165*100)</f>
        <v>0.82468395622142676</v>
      </c>
      <c r="I76" s="22"/>
      <c r="J76" s="23"/>
      <c r="K76" s="19"/>
    </row>
    <row r="77" spans="1:11" ht="25.5" x14ac:dyDescent="0.25">
      <c r="A77" s="79" t="s">
        <v>283</v>
      </c>
      <c r="B77" s="80" t="s">
        <v>176</v>
      </c>
      <c r="C77" s="57">
        <v>53.146000000000001</v>
      </c>
      <c r="D77" s="28" t="str">
        <f>IF(""="","-",53.146/""*100)</f>
        <v>-</v>
      </c>
      <c r="E77" s="28" t="str">
        <f>IF(""="","-",""/425472.26165*100)</f>
        <v>-</v>
      </c>
      <c r="F77" s="28">
        <f>IF(53.146="","-",53.146/666964.69129*100)</f>
        <v>7.9683378586666177E-3</v>
      </c>
      <c r="G77" s="28" t="s">
        <v>287</v>
      </c>
      <c r="H77" s="28" t="s">
        <v>287</v>
      </c>
      <c r="I77" s="22"/>
      <c r="J77" s="23"/>
      <c r="K77" s="19"/>
    </row>
    <row r="78" spans="1:11" x14ac:dyDescent="0.25">
      <c r="A78" s="105" t="s">
        <v>378</v>
      </c>
      <c r="B78" s="106" t="s">
        <v>379</v>
      </c>
      <c r="C78" s="90">
        <v>53.146000000000001</v>
      </c>
      <c r="D78" s="31" t="str">
        <f>IF(OR(""="",53.146=""),"-",53.146/""*100)</f>
        <v>-</v>
      </c>
      <c r="E78" s="31" t="str">
        <f>IF(""="","-",""/425472.26165*100)</f>
        <v>-</v>
      </c>
      <c r="F78" s="31">
        <f>IF(53.146="","-",53.146/666964.69129*100)</f>
        <v>7.9683378586666177E-3</v>
      </c>
      <c r="G78" s="31" t="str">
        <f>IF(OR(464796.56015="",187.21487="",""=""),"-",(""-187.21487)/464796.56015*100)</f>
        <v>-</v>
      </c>
      <c r="H78" s="31" t="str">
        <f>IF(OR(425472.26165="",53.146="",""=""),"-",(53.146-"")/425472.26165*100)</f>
        <v>-</v>
      </c>
      <c r="I78" s="22"/>
      <c r="J78" s="23"/>
      <c r="K78" s="19"/>
    </row>
    <row r="79" spans="1:11" x14ac:dyDescent="0.25">
      <c r="A79" s="51" t="s">
        <v>286</v>
      </c>
      <c r="B79" s="52"/>
      <c r="C79" s="35"/>
      <c r="D79" s="50"/>
      <c r="E79" s="50"/>
      <c r="F79" s="50"/>
      <c r="G79" s="50"/>
      <c r="H79" s="50"/>
      <c r="I79" s="1"/>
      <c r="J79" s="1"/>
      <c r="K79" s="1"/>
    </row>
    <row r="80" spans="1:11" x14ac:dyDescent="0.25">
      <c r="A80" s="116" t="s">
        <v>309</v>
      </c>
      <c r="B80" s="116"/>
      <c r="C80" s="116"/>
      <c r="D80" s="116"/>
      <c r="E80" s="116"/>
    </row>
  </sheetData>
  <mergeCells count="12">
    <mergeCell ref="A80:E80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83"/>
  <sheetViews>
    <sheetView zoomScaleNormal="100" workbookViewId="0">
      <selection activeCell="G6" sqref="G6"/>
    </sheetView>
  </sheetViews>
  <sheetFormatPr defaultRowHeight="15.75" x14ac:dyDescent="0.25"/>
  <cols>
    <col min="1" max="1" width="5.25" customWidth="1"/>
    <col min="2" max="2" width="26.75" customWidth="1"/>
    <col min="3" max="3" width="11.25" customWidth="1"/>
    <col min="4" max="4" width="9" customWidth="1"/>
    <col min="5" max="5" width="7.875" customWidth="1"/>
    <col min="6" max="6" width="7.625" customWidth="1"/>
    <col min="7" max="7" width="9.5" customWidth="1"/>
    <col min="8" max="8" width="9.875" customWidth="1"/>
    <col min="9" max="9" width="11.375" bestFit="1" customWidth="1"/>
  </cols>
  <sheetData>
    <row r="1" spans="1:14" x14ac:dyDescent="0.25">
      <c r="B1" s="130" t="s">
        <v>130</v>
      </c>
      <c r="C1" s="130"/>
      <c r="D1" s="130"/>
      <c r="E1" s="130"/>
      <c r="F1" s="130"/>
      <c r="G1" s="130"/>
      <c r="H1" s="130"/>
    </row>
    <row r="2" spans="1:14" x14ac:dyDescent="0.25">
      <c r="B2" s="130" t="s">
        <v>285</v>
      </c>
      <c r="C2" s="130"/>
      <c r="D2" s="130"/>
      <c r="E2" s="130"/>
      <c r="F2" s="130"/>
      <c r="G2" s="130"/>
      <c r="H2" s="130"/>
    </row>
    <row r="3" spans="1:14" x14ac:dyDescent="0.25">
      <c r="B3" s="5"/>
    </row>
    <row r="4" spans="1:14" ht="57" customHeight="1" x14ac:dyDescent="0.25">
      <c r="A4" s="138" t="s">
        <v>210</v>
      </c>
      <c r="B4" s="141"/>
      <c r="C4" s="144" t="s">
        <v>332</v>
      </c>
      <c r="D4" s="136"/>
      <c r="E4" s="144" t="s">
        <v>0</v>
      </c>
      <c r="F4" s="136"/>
      <c r="G4" s="133" t="s">
        <v>114</v>
      </c>
      <c r="H4" s="145"/>
    </row>
    <row r="5" spans="1:14" ht="19.5" customHeight="1" x14ac:dyDescent="0.25">
      <c r="A5" s="139"/>
      <c r="B5" s="142"/>
      <c r="C5" s="146" t="s">
        <v>106</v>
      </c>
      <c r="D5" s="131" t="s">
        <v>333</v>
      </c>
      <c r="E5" s="148" t="s">
        <v>330</v>
      </c>
      <c r="F5" s="148"/>
      <c r="G5" s="148" t="s">
        <v>338</v>
      </c>
      <c r="H5" s="144"/>
    </row>
    <row r="6" spans="1:14" ht="33" customHeight="1" x14ac:dyDescent="0.25">
      <c r="A6" s="140"/>
      <c r="B6" s="143"/>
      <c r="C6" s="147"/>
      <c r="D6" s="132"/>
      <c r="E6" s="86" t="s">
        <v>334</v>
      </c>
      <c r="F6" s="86" t="s">
        <v>335</v>
      </c>
      <c r="G6" s="86" t="s">
        <v>334</v>
      </c>
      <c r="H6" s="85" t="s">
        <v>335</v>
      </c>
    </row>
    <row r="7" spans="1:14" x14ac:dyDescent="0.25">
      <c r="A7" s="81"/>
      <c r="B7" s="34" t="s">
        <v>118</v>
      </c>
      <c r="C7" s="25">
        <v>1290328.17958</v>
      </c>
      <c r="D7" s="108">
        <f>IF(920807.43432="","-",1290328.17958/920807.43432*100)</f>
        <v>140.130078395043</v>
      </c>
      <c r="E7" s="108">
        <v>100</v>
      </c>
      <c r="F7" s="108">
        <v>100</v>
      </c>
      <c r="G7" s="108">
        <f>IF(864616.67853="","-",(920807.43432-864616.67853)/864616.67853*100)</f>
        <v>6.4989211040358486</v>
      </c>
      <c r="H7" s="108">
        <f>IF(920807.43432="","-",(1290328.17958-920807.43432)/920807.43432*100)</f>
        <v>40.130078395042986</v>
      </c>
      <c r="I7" s="15"/>
      <c r="J7" s="15"/>
      <c r="K7" s="15"/>
      <c r="L7" s="15"/>
      <c r="M7" s="15"/>
      <c r="N7" s="15"/>
    </row>
    <row r="8" spans="1:14" ht="12" customHeight="1" x14ac:dyDescent="0.25">
      <c r="A8" s="20" t="s">
        <v>211</v>
      </c>
      <c r="B8" s="21" t="s">
        <v>177</v>
      </c>
      <c r="C8" s="18">
        <v>149062.93648</v>
      </c>
      <c r="D8" s="62">
        <f>IF(115213.27541="","-",149062.93648/115213.27541*100)</f>
        <v>129.38000065490891</v>
      </c>
      <c r="E8" s="62">
        <f>IF(115213.27541="","-",115213.27541/920807.43432*100)</f>
        <v>12.512200826775793</v>
      </c>
      <c r="F8" s="62">
        <f>IF(149062.93648="","-",149062.93648/1290328.17958*100)</f>
        <v>11.552327449635316</v>
      </c>
      <c r="G8" s="62">
        <f>IF(864616.67853="","-",(115213.27541-107121.71687)/864616.67853*100)</f>
        <v>0.93585501424250406</v>
      </c>
      <c r="H8" s="62">
        <f>IF(920807.43432="","-",(149062.93648-115213.27541)/920807.43432*100)</f>
        <v>3.6760846848502458</v>
      </c>
    </row>
    <row r="9" spans="1:14" x14ac:dyDescent="0.25">
      <c r="A9" s="22" t="s">
        <v>212</v>
      </c>
      <c r="B9" s="23" t="s">
        <v>22</v>
      </c>
      <c r="C9" s="19">
        <v>991.73609999999996</v>
      </c>
      <c r="D9" s="73" t="s">
        <v>328</v>
      </c>
      <c r="E9" s="73">
        <f>IF(276.26526="","-",276.26526/920807.43432*100)</f>
        <v>3.0002501033673454E-2</v>
      </c>
      <c r="F9" s="73">
        <f>IF(991.7361="","-",991.7361/1290328.17958*100)</f>
        <v>7.6859214244457463E-2</v>
      </c>
      <c r="G9" s="73">
        <f>IF(OR(864616.67853="",622.00155="",276.26526=""),"-",(276.26526-622.00155)/864616.67853*100)</f>
        <v>-3.9987233485688972E-2</v>
      </c>
      <c r="H9" s="73">
        <f>IF(OR(920807.43432="",991.7361="",276.26526=""),"-",(991.7361-276.26526)/920807.43432*100)</f>
        <v>7.7700376140898836E-2</v>
      </c>
    </row>
    <row r="10" spans="1:14" ht="14.25" customHeight="1" x14ac:dyDescent="0.25">
      <c r="A10" s="22" t="s">
        <v>213</v>
      </c>
      <c r="B10" s="23" t="s">
        <v>178</v>
      </c>
      <c r="C10" s="19">
        <v>21404.021400000001</v>
      </c>
      <c r="D10" s="73" t="s">
        <v>323</v>
      </c>
      <c r="E10" s="73">
        <f>IF(6359.36916="","-",6359.36916/920807.43432*100)</f>
        <v>0.69062964991114362</v>
      </c>
      <c r="F10" s="73">
        <f>IF(21404.0214="","-",21404.0214/1290328.17958*100)</f>
        <v>1.6588044606579837</v>
      </c>
      <c r="G10" s="73">
        <f>IF(OR(864616.67853="",5305.47127="",6359.36916=""),"-",(6359.36916-5305.47127)/864616.67853*100)</f>
        <v>0.12189192230154657</v>
      </c>
      <c r="H10" s="73">
        <f>IF(OR(920807.43432="",21404.0214="",6359.36916=""),"-",(21404.0214-6359.36916)/920807.43432*100)</f>
        <v>1.6338543412293591</v>
      </c>
    </row>
    <row r="11" spans="1:14" s="7" customFormat="1" x14ac:dyDescent="0.25">
      <c r="A11" s="22" t="s">
        <v>214</v>
      </c>
      <c r="B11" s="23" t="s">
        <v>179</v>
      </c>
      <c r="C11" s="19">
        <v>18869.404180000001</v>
      </c>
      <c r="D11" s="73">
        <f>IF(OR(13871.1945="",18869.40418=""),"-",18869.40418/13871.1945*100)</f>
        <v>136.03301561375989</v>
      </c>
      <c r="E11" s="73">
        <f>IF(13871.1945="","-",13871.1945/920807.43432*100)</f>
        <v>1.5064164322525948</v>
      </c>
      <c r="F11" s="73">
        <f>IF(18869.40418="","-",18869.40418/1290328.17958*100)</f>
        <v>1.462372478460632</v>
      </c>
      <c r="G11" s="73">
        <f>IF(OR(864616.67853="",14623.755="",13871.1945=""),"-",(13871.1945-14623.755)/864616.67853*100)</f>
        <v>-8.7039785223607349E-2</v>
      </c>
      <c r="H11" s="73">
        <f>IF(OR(920807.43432="",18869.40418="",13871.1945=""),"-",(18869.40418-13871.1945)/920807.43432*100)</f>
        <v>0.54280726824182213</v>
      </c>
    </row>
    <row r="12" spans="1:14" s="7" customFormat="1" x14ac:dyDescent="0.25">
      <c r="A12" s="22" t="s">
        <v>215</v>
      </c>
      <c r="B12" s="23" t="s">
        <v>180</v>
      </c>
      <c r="C12" s="19">
        <v>12832.819460000001</v>
      </c>
      <c r="D12" s="73">
        <f>IF(OR(9849.38432="",12832.81946=""),"-",12832.81946/9849.38432*100)</f>
        <v>130.29057495443536</v>
      </c>
      <c r="E12" s="73">
        <f>IF(9849.38432="","-",9849.38432/920807.43432*100)</f>
        <v>1.0696464812182578</v>
      </c>
      <c r="F12" s="73">
        <f>IF(12832.81946="","-",12832.81946/1290328.17958*100)</f>
        <v>0.99453919267089597</v>
      </c>
      <c r="G12" s="73">
        <f>IF(OR(864616.67853="",9059.19969="",9849.38432=""),"-",(9849.38432-9059.19969)/864616.67853*100)</f>
        <v>9.1391323996138057E-2</v>
      </c>
      <c r="H12" s="73">
        <f>IF(OR(920807.43432="",12832.81946="",9849.38432=""),"-",(12832.81946-9849.38432)/920807.43432*100)</f>
        <v>0.32400206914089652</v>
      </c>
    </row>
    <row r="13" spans="1:14" s="7" customFormat="1" ht="15" customHeight="1" x14ac:dyDescent="0.25">
      <c r="A13" s="22" t="s">
        <v>216</v>
      </c>
      <c r="B13" s="23" t="s">
        <v>181</v>
      </c>
      <c r="C13" s="19">
        <v>26569.219779999999</v>
      </c>
      <c r="D13" s="73">
        <f>IF(OR(20861.05803="",26569.21978=""),"-",26569.21978/20861.05803*100)</f>
        <v>127.36276243415445</v>
      </c>
      <c r="E13" s="73">
        <f>IF(20861.05803="","-",20861.05803/920807.43432*100)</f>
        <v>2.2655179848113978</v>
      </c>
      <c r="F13" s="73">
        <f>IF(26569.21978="","-",26569.21978/1290328.17958*100)</f>
        <v>2.0591055981314956</v>
      </c>
      <c r="G13" s="73">
        <f>IF(OR(864616.67853="",17213.03349="",20861.05803=""),"-",(20861.05803-17213.03349)/864616.67853*100)</f>
        <v>0.42192391502350846</v>
      </c>
      <c r="H13" s="73">
        <f>IF(OR(920807.43432="",26569.21978="",20861.05803=""),"-",(26569.21978-20861.05803)/920807.43432*100)</f>
        <v>0.61990830408698594</v>
      </c>
    </row>
    <row r="14" spans="1:14" s="7" customFormat="1" ht="14.25" customHeight="1" x14ac:dyDescent="0.25">
      <c r="A14" s="22" t="s">
        <v>217</v>
      </c>
      <c r="B14" s="23" t="s">
        <v>182</v>
      </c>
      <c r="C14" s="19">
        <v>34125.903989999999</v>
      </c>
      <c r="D14" s="73">
        <f>IF(OR(31179.87947="",34125.90399=""),"-",34125.90399/31179.87947*100)</f>
        <v>109.44847950048859</v>
      </c>
      <c r="E14" s="73">
        <f>IF(31179.87947="","-",31179.87947/920807.43432*100)</f>
        <v>3.3861454966451037</v>
      </c>
      <c r="F14" s="73">
        <f>IF(34125.90399="","-",34125.90399/1290328.17958*100)</f>
        <v>2.6447460832102365</v>
      </c>
      <c r="G14" s="73">
        <f>IF(OR(864616.67853="",32189.07425="",31179.87947=""),"-",(31179.87947-32189.07425)/864616.67853*100)</f>
        <v>-0.11672164151584603</v>
      </c>
      <c r="H14" s="73">
        <f>IF(OR(920807.43432="",34125.90399="",31179.87947=""),"-",(34125.90399-31179.87947)/920807.43432*100)</f>
        <v>0.31993926310722998</v>
      </c>
    </row>
    <row r="15" spans="1:14" s="7" customFormat="1" ht="25.5" x14ac:dyDescent="0.25">
      <c r="A15" s="22" t="s">
        <v>218</v>
      </c>
      <c r="B15" s="23" t="s">
        <v>140</v>
      </c>
      <c r="C15" s="19">
        <v>3330.6527099999998</v>
      </c>
      <c r="D15" s="73">
        <f>IF(OR(4920.90474="",3330.65271=""),"-",3330.65271/4920.90474*100)</f>
        <v>67.683746911955055</v>
      </c>
      <c r="E15" s="73">
        <f>IF(4920.90474="","-",4920.90474/920807.43432*100)</f>
        <v>0.53441192551122274</v>
      </c>
      <c r="F15" s="73">
        <f>IF(3330.65271="","-",3330.65271/1290328.17958*100)</f>
        <v>0.25812446497790376</v>
      </c>
      <c r="G15" s="73">
        <f>IF(OR(864616.67853="",4325.8063="",4920.90474=""),"-",(4920.90474-4325.8063)/864616.67853*100)</f>
        <v>6.8828008385377379E-2</v>
      </c>
      <c r="H15" s="73">
        <f>IF(OR(920807.43432="",3330.65271="",4920.90474=""),"-",(3330.65271-4920.90474)/920807.43432*100)</f>
        <v>-0.17270191038090099</v>
      </c>
    </row>
    <row r="16" spans="1:14" s="7" customFormat="1" ht="25.5" x14ac:dyDescent="0.25">
      <c r="A16" s="22" t="s">
        <v>219</v>
      </c>
      <c r="B16" s="23" t="s">
        <v>183</v>
      </c>
      <c r="C16" s="19">
        <v>9228.2734500000006</v>
      </c>
      <c r="D16" s="73">
        <f>IF(OR(8130.57954="",9228.27345=""),"-",9228.27345/8130.57954*100)</f>
        <v>113.50080771733033</v>
      </c>
      <c r="E16" s="73">
        <f>IF(8130.57954="","-",8130.57954/920807.43432*100)</f>
        <v>0.88298369854108405</v>
      </c>
      <c r="F16" s="73">
        <f>IF(9228.27345="","-",9228.27345/1290328.17958*100)</f>
        <v>0.71518808904908138</v>
      </c>
      <c r="G16" s="73">
        <f>IF(OR(864616.67853="",7063.52829="",8130.57954=""),"-",(8130.57954-7063.52829)/864616.67853*100)</f>
        <v>0.12341321611030842</v>
      </c>
      <c r="H16" s="73">
        <f>IF(OR(920807.43432="",9228.27345="",8130.57954=""),"-",(9228.27345-8130.57954)/920807.43432*100)</f>
        <v>0.11920993131540347</v>
      </c>
    </row>
    <row r="17" spans="1:8" s="7" customFormat="1" ht="25.5" x14ac:dyDescent="0.25">
      <c r="A17" s="22" t="s">
        <v>220</v>
      </c>
      <c r="B17" s="23" t="s">
        <v>141</v>
      </c>
      <c r="C17" s="19">
        <v>6056.34447</v>
      </c>
      <c r="D17" s="73">
        <f>IF(OR(6610.84044="",6056.34447=""),"-",6056.34447/6610.84044*100)</f>
        <v>91.61232259298032</v>
      </c>
      <c r="E17" s="73">
        <f>IF(6610.84044="","-",6610.84044/920807.43432*100)</f>
        <v>0.71793951629875674</v>
      </c>
      <c r="F17" s="73">
        <f>IF(6056.34447="","-",6056.34447/1290328.17958*100)</f>
        <v>0.4693646597698371</v>
      </c>
      <c r="G17" s="73">
        <f>IF(OR(864616.67853="",5178.51956="",6610.84044=""),"-",(6610.84044-5178.51956)/864616.67853*100)</f>
        <v>0.16565964034318617</v>
      </c>
      <c r="H17" s="73">
        <f>IF(OR(920807.43432="",6056.34447="",6610.84044=""),"-",(6056.34447-6610.84044)/920807.43432*100)</f>
        <v>-6.0218450604657137E-2</v>
      </c>
    </row>
    <row r="18" spans="1:8" s="7" customFormat="1" ht="15" customHeight="1" x14ac:dyDescent="0.25">
      <c r="A18" s="22" t="s">
        <v>221</v>
      </c>
      <c r="B18" s="23" t="s">
        <v>184</v>
      </c>
      <c r="C18" s="19">
        <v>15654.560939999999</v>
      </c>
      <c r="D18" s="73">
        <f>IF(OR(13153.79995="",15654.56094=""),"-",15654.56094/13153.79995*100)</f>
        <v>119.01170003729607</v>
      </c>
      <c r="E18" s="73">
        <f>IF(13153.79995="","-",13153.79995/920807.43432*100)</f>
        <v>1.4285071405525576</v>
      </c>
      <c r="F18" s="73">
        <f>IF(15654.56094="","-",15654.56094/1290328.17958*100)</f>
        <v>1.213223208462791</v>
      </c>
      <c r="G18" s="73">
        <f>IF(OR(864616.67853="",11541.32747="",13153.79995=""),"-",(13153.79995-11541.32747)/864616.67853*100)</f>
        <v>0.18649564830758139</v>
      </c>
      <c r="H18" s="73">
        <f>IF(OR(920807.43432="",15654.56094="",13153.79995=""),"-",(15654.56094-13153.79995)/920807.43432*100)</f>
        <v>0.27158349257320741</v>
      </c>
    </row>
    <row r="19" spans="1:8" s="7" customFormat="1" x14ac:dyDescent="0.25">
      <c r="A19" s="20" t="s">
        <v>222</v>
      </c>
      <c r="B19" s="21" t="s">
        <v>185</v>
      </c>
      <c r="C19" s="18">
        <v>14010.093349999999</v>
      </c>
      <c r="D19" s="62">
        <f>IF(14628.78941="","-",14010.09335/14628.78941*100)</f>
        <v>95.770695423525126</v>
      </c>
      <c r="E19" s="62">
        <f>IF(14628.78941="","-",14628.78941/920807.43432*100)</f>
        <v>1.5886914966974721</v>
      </c>
      <c r="F19" s="62">
        <f>IF(14010.09335="","-",14010.09335/1290328.17958*100)</f>
        <v>1.0857775232468585</v>
      </c>
      <c r="G19" s="62">
        <f>IF(864616.67853="","-",(14628.78941-15425.3662)/864616.67853*100)</f>
        <v>-9.2130629651317991E-2</v>
      </c>
      <c r="H19" s="62">
        <f>IF(920807.43432="","-",(14010.09335-14628.78941)/920807.43432*100)</f>
        <v>-6.7190602175893191E-2</v>
      </c>
    </row>
    <row r="20" spans="1:8" s="7" customFormat="1" x14ac:dyDescent="0.25">
      <c r="A20" s="22" t="s">
        <v>223</v>
      </c>
      <c r="B20" s="23" t="s">
        <v>186</v>
      </c>
      <c r="C20" s="19">
        <v>9347.76793</v>
      </c>
      <c r="D20" s="73">
        <f>IF(OR(9009.63177="",9347.76793=""),"-",9347.76793/9009.63177*100)</f>
        <v>103.75305194076761</v>
      </c>
      <c r="E20" s="73">
        <f>IF(9009.63177="","-",9009.63177/920807.43432*100)</f>
        <v>0.97844906917519125</v>
      </c>
      <c r="F20" s="73">
        <f>IF(9347.76793="","-",9347.76793/1290328.17958*100)</f>
        <v>0.72444887106493205</v>
      </c>
      <c r="G20" s="73">
        <f>IF(OR(864616.67853="",7934.26045="",9009.63177=""),"-",(9009.63177-7934.26045)/864616.67853*100)</f>
        <v>0.12437550034638703</v>
      </c>
      <c r="H20" s="73">
        <f>IF(OR(920807.43432="",9347.76793="",9009.63177=""),"-",(9347.76793-9009.63177)/920807.43432*100)</f>
        <v>3.672170178010211E-2</v>
      </c>
    </row>
    <row r="21" spans="1:8" s="7" customFormat="1" x14ac:dyDescent="0.25">
      <c r="A21" s="22" t="s">
        <v>224</v>
      </c>
      <c r="B21" s="23" t="s">
        <v>187</v>
      </c>
      <c r="C21" s="19">
        <v>4662.3254200000001</v>
      </c>
      <c r="D21" s="73">
        <f>IF(OR(5619.15764="",4662.32542=""),"-",4662.32542/5619.15764*100)</f>
        <v>82.971963392007638</v>
      </c>
      <c r="E21" s="73">
        <f>IF(5619.15764="","-",5619.15764/920807.43432*100)</f>
        <v>0.61024242752228097</v>
      </c>
      <c r="F21" s="73">
        <f>IF(4662.32542="","-",4662.32542/1290328.17958*100)</f>
        <v>0.36132865218192634</v>
      </c>
      <c r="G21" s="73">
        <f>IF(OR(864616.67853="",7491.10575="",5619.15764=""),"-",(5619.15764-7491.10575)/864616.67853*100)</f>
        <v>-0.21650612999770483</v>
      </c>
      <c r="H21" s="73">
        <f>IF(OR(920807.43432="",4662.32542="",5619.15764=""),"-",(4662.32542-5619.15764)/920807.43432*100)</f>
        <v>-0.10391230395599531</v>
      </c>
    </row>
    <row r="22" spans="1:8" s="7" customFormat="1" ht="25.5" x14ac:dyDescent="0.25">
      <c r="A22" s="20" t="s">
        <v>225</v>
      </c>
      <c r="B22" s="21" t="s">
        <v>23</v>
      </c>
      <c r="C22" s="18">
        <v>30721.73227</v>
      </c>
      <c r="D22" s="62">
        <f>IF(29379.15977="","-",30721.73227/29379.15977*100)</f>
        <v>104.56981244702222</v>
      </c>
      <c r="E22" s="62">
        <f>IF(29379.15977="","-",29379.15977/920807.43432*100)</f>
        <v>3.1905867258441489</v>
      </c>
      <c r="F22" s="62">
        <f>IF(30721.73227="","-",30721.73227/1290328.17958*100)</f>
        <v>2.3809239196806415</v>
      </c>
      <c r="G22" s="62">
        <f>IF(864616.67853="","-",(29379.15977-28716.44377)/864616.67853*100)</f>
        <v>7.6648532980734319E-2</v>
      </c>
      <c r="H22" s="62">
        <f>IF(920807.43432="","-",(30721.73227-29379.15977)/920807.43432*100)</f>
        <v>0.14580382933066435</v>
      </c>
    </row>
    <row r="23" spans="1:8" s="7" customFormat="1" ht="15.75" customHeight="1" x14ac:dyDescent="0.25">
      <c r="A23" s="22" t="s">
        <v>227</v>
      </c>
      <c r="B23" s="23" t="s">
        <v>188</v>
      </c>
      <c r="C23" s="19">
        <v>11157.71184</v>
      </c>
      <c r="D23" s="73">
        <f>IF(OR(14344.20101="",11157.71184=""),"-",11157.71184/14344.20101*100)</f>
        <v>77.785523447569133</v>
      </c>
      <c r="E23" s="73">
        <f>IF(14344.20101="","-",14344.20101/920807.43432*100)</f>
        <v>1.5577850998339233</v>
      </c>
      <c r="F23" s="73">
        <f>IF(11157.71184="","-",11157.71184/1290328.17958*100)</f>
        <v>0.86471891543373258</v>
      </c>
      <c r="G23" s="73">
        <f>IF(OR(864616.67853="",15087.15247="",14344.20101=""),"-",(14344.20101-15087.15247)/864616.67853*100)</f>
        <v>-8.5928421050487702E-2</v>
      </c>
      <c r="H23" s="73">
        <f>IF(OR(920807.43432="",11157.71184="",14344.20101=""),"-",(11157.71184-14344.20101)/920807.43432*100)</f>
        <v>-0.34605380573986855</v>
      </c>
    </row>
    <row r="24" spans="1:8" s="7" customFormat="1" ht="25.5" x14ac:dyDescent="0.25">
      <c r="A24" s="22" t="s">
        <v>281</v>
      </c>
      <c r="B24" s="23" t="s">
        <v>189</v>
      </c>
      <c r="C24" s="19">
        <v>396.28354999999999</v>
      </c>
      <c r="D24" s="73" t="s">
        <v>199</v>
      </c>
      <c r="E24" s="73">
        <f>IF(218.46451="","-",218.46451/920807.43432*100)</f>
        <v>2.3725319959143485E-2</v>
      </c>
      <c r="F24" s="73">
        <f>IF(396.28355="","-",396.28355/1290328.17958*100)</f>
        <v>3.0711841860958947E-2</v>
      </c>
      <c r="G24" s="73">
        <f>IF(OR(864616.67853="",219.22696="",218.46451=""),"-",(218.46451-219.22696)/864616.67853*100)</f>
        <v>-8.8183586892667852E-5</v>
      </c>
      <c r="H24" s="73">
        <f>IF(OR(920807.43432="",396.28355="",218.46451=""),"-",(396.28355-218.46451)/920807.43432*100)</f>
        <v>1.9311208117179922E-2</v>
      </c>
    </row>
    <row r="25" spans="1:8" s="7" customFormat="1" x14ac:dyDescent="0.25">
      <c r="A25" s="22" t="s">
        <v>228</v>
      </c>
      <c r="B25" s="23" t="s">
        <v>190</v>
      </c>
      <c r="C25" s="19">
        <v>7911.1049000000003</v>
      </c>
      <c r="D25" s="73" t="s">
        <v>19</v>
      </c>
      <c r="E25" s="73">
        <f>IF(3908.63446="","-",3908.63446/920807.43432*100)</f>
        <v>0.42447902941687882</v>
      </c>
      <c r="F25" s="73">
        <f>IF(7911.1049="","-",7911.1049/1290328.17958*100)</f>
        <v>0.61310796936753365</v>
      </c>
      <c r="G25" s="73">
        <f>IF(OR(864616.67853="",4248.26472="",3908.63446=""),"-",(3908.63446-4248.26472)/864616.67853*100)</f>
        <v>-3.9281021108386542E-2</v>
      </c>
      <c r="H25" s="73">
        <f>IF(OR(920807.43432="",7911.1049="",3908.63446=""),"-",(7911.1049-3908.63446)/920807.43432*100)</f>
        <v>0.43466964870410219</v>
      </c>
    </row>
    <row r="26" spans="1:8" s="7" customFormat="1" x14ac:dyDescent="0.25">
      <c r="A26" s="22" t="s">
        <v>229</v>
      </c>
      <c r="B26" s="23" t="s">
        <v>142</v>
      </c>
      <c r="C26" s="19">
        <v>65.997879999999995</v>
      </c>
      <c r="D26" s="73">
        <f>IF(OR(57.58005="",65.99788=""),"-",65.99788/57.58005*100)</f>
        <v>114.61935166780854</v>
      </c>
      <c r="E26" s="73">
        <f>IF(57.58005="","-",57.58005/920807.43432*100)</f>
        <v>6.2532129795978292E-3</v>
      </c>
      <c r="F26" s="73">
        <f>IF(65.99788="","-",65.99788/1290328.17958*100)</f>
        <v>5.1148135059316622E-3</v>
      </c>
      <c r="G26" s="73">
        <f>IF(OR(864616.67853="",43.11882="",57.58005=""),"-",(57.58005-43.11882)/864616.67853*100)</f>
        <v>1.6725596855923053E-3</v>
      </c>
      <c r="H26" s="73">
        <f>IF(OR(920807.43432="",65.99788="",57.58005=""),"-",(65.99788-57.58005)/920807.43432*100)</f>
        <v>9.1417919602445588E-4</v>
      </c>
    </row>
    <row r="27" spans="1:8" s="7" customFormat="1" ht="14.25" customHeight="1" x14ac:dyDescent="0.25">
      <c r="A27" s="22" t="s">
        <v>230</v>
      </c>
      <c r="B27" s="23" t="s">
        <v>143</v>
      </c>
      <c r="C27" s="19">
        <v>1048.9266500000001</v>
      </c>
      <c r="D27" s="73">
        <f>IF(OR(1193.09528="",1048.92665=""),"-",1048.92665/1193.09528*100)</f>
        <v>87.916419382700113</v>
      </c>
      <c r="E27" s="73">
        <f>IF(1193.09528="","-",1193.09528/920807.43432*100)</f>
        <v>0.12957055248810842</v>
      </c>
      <c r="F27" s="73">
        <f>IF(1048.92665="","-",1048.92665/1290328.17958*100)</f>
        <v>8.1291462637158265E-2</v>
      </c>
      <c r="G27" s="73">
        <f>IF(OR(864616.67853="",1104.80865="",1193.09528=""),"-",(1193.09528-1104.80865)/864616.67853*100)</f>
        <v>1.0211071818566213E-2</v>
      </c>
      <c r="H27" s="73">
        <f>IF(OR(920807.43432="",1048.92665="",1193.09528=""),"-",(1048.92665-1193.09528)/920807.43432*100)</f>
        <v>-1.5656762166181455E-2</v>
      </c>
    </row>
    <row r="28" spans="1:8" s="7" customFormat="1" ht="38.25" x14ac:dyDescent="0.25">
      <c r="A28" s="22" t="s">
        <v>231</v>
      </c>
      <c r="B28" s="23" t="s">
        <v>144</v>
      </c>
      <c r="C28" s="19">
        <v>2813.8769200000002</v>
      </c>
      <c r="D28" s="73">
        <f>IF(OR(1928.03096="",2813.87692=""),"-",2813.87692/1928.03096*100)</f>
        <v>145.94562942080557</v>
      </c>
      <c r="E28" s="73">
        <f>IF(1928.03096="","-",1928.03096/920807.43432*100)</f>
        <v>0.20938481686171626</v>
      </c>
      <c r="F28" s="73">
        <f>IF(2813.87692="","-",2813.87692/1290328.17958*100)</f>
        <v>0.21807451503662528</v>
      </c>
      <c r="G28" s="73">
        <f>IF(OR(864616.67853="",1967.88193="",1928.03096=""),"-",(1928.03096-1967.88193)/864616.67853*100)</f>
        <v>-4.6090910561375703E-3</v>
      </c>
      <c r="H28" s="73">
        <f>IF(OR(920807.43432="",2813.87692="",1928.03096=""),"-",(2813.87692-1928.03096)/920807.43432*100)</f>
        <v>9.620317201871656E-2</v>
      </c>
    </row>
    <row r="29" spans="1:8" s="7" customFormat="1" ht="25.5" x14ac:dyDescent="0.25">
      <c r="A29" s="22" t="s">
        <v>232</v>
      </c>
      <c r="B29" s="23" t="s">
        <v>145</v>
      </c>
      <c r="C29" s="19">
        <v>119.14673000000001</v>
      </c>
      <c r="D29" s="73">
        <f>IF(OR(143.5172="",119.14673=""),"-",119.14673/143.5172*100)</f>
        <v>83.01912941445346</v>
      </c>
      <c r="E29" s="73">
        <f>IF(143.5172="","-",143.5172/920807.43432*100)</f>
        <v>1.5586016647007735E-2</v>
      </c>
      <c r="F29" s="73">
        <f>IF(119.14673="","-",119.14673/1290328.17958*100)</f>
        <v>9.2338315077937841E-3</v>
      </c>
      <c r="G29" s="73">
        <f>IF(OR(864616.67853="",167.6464="",143.5172=""),"-",(143.5172-167.6464)/864616.67853*100)</f>
        <v>-2.7907395958430815E-3</v>
      </c>
      <c r="H29" s="73">
        <f>IF(OR(920807.43432="",119.14673="",143.5172=""),"-",(119.14673-143.5172)/920807.43432*100)</f>
        <v>-2.6466413162701233E-3</v>
      </c>
    </row>
    <row r="30" spans="1:8" s="7" customFormat="1" ht="25.5" x14ac:dyDescent="0.25">
      <c r="A30" s="22" t="s">
        <v>233</v>
      </c>
      <c r="B30" s="23" t="s">
        <v>146</v>
      </c>
      <c r="C30" s="19">
        <v>7208.6837999999998</v>
      </c>
      <c r="D30" s="73">
        <f>IF(OR(7585.6363="",7208.6838=""),"-",7208.6838/7585.6363*100)</f>
        <v>95.030706916438902</v>
      </c>
      <c r="E30" s="73">
        <f>IF(7585.6363="","-",7585.6363/920807.43432*100)</f>
        <v>0.82380267765777304</v>
      </c>
      <c r="F30" s="73">
        <f>IF(7208.6838="","-",7208.6838/1290328.17958*100)</f>
        <v>0.55867057033090728</v>
      </c>
      <c r="G30" s="73">
        <f>IF(OR(864616.67853="",5878.34382="",7585.6363=""),"-",(7585.6363-5878.34382)/864616.67853*100)</f>
        <v>0.19746235787432379</v>
      </c>
      <c r="H30" s="73">
        <f>IF(OR(920807.43432="",7208.6838="",7585.6363=""),"-",(7208.6838-7585.6363)/920807.43432*100)</f>
        <v>-4.0937169483038882E-2</v>
      </c>
    </row>
    <row r="31" spans="1:8" s="7" customFormat="1" ht="25.5" x14ac:dyDescent="0.25">
      <c r="A31" s="20" t="s">
        <v>234</v>
      </c>
      <c r="B31" s="21" t="s">
        <v>147</v>
      </c>
      <c r="C31" s="18">
        <v>347789.63524999999</v>
      </c>
      <c r="D31" s="62" t="s">
        <v>318</v>
      </c>
      <c r="E31" s="62">
        <f>IF(125651.12205="","-",125651.12205/920807.43432*100)</f>
        <v>13.645754515740974</v>
      </c>
      <c r="F31" s="62">
        <f>IF(347789.63525="","-",347789.63525/1290328.17958*100)</f>
        <v>26.953579775588953</v>
      </c>
      <c r="G31" s="62">
        <f>IF(864616.67853="","-",(125651.12205-148449.19221)/864616.67853*100)</f>
        <v>-2.6367835280208474</v>
      </c>
      <c r="H31" s="62">
        <f>IF(920807.43432="","-",(347789.63525-125651.12205)/920807.43432*100)</f>
        <v>24.124317954062281</v>
      </c>
    </row>
    <row r="32" spans="1:8" s="7" customFormat="1" x14ac:dyDescent="0.25">
      <c r="A32" s="22" t="s">
        <v>235</v>
      </c>
      <c r="B32" s="23" t="s">
        <v>191</v>
      </c>
      <c r="C32" s="19">
        <v>3415.91275</v>
      </c>
      <c r="D32" s="73" t="s">
        <v>304</v>
      </c>
      <c r="E32" s="73">
        <f>IF(1033.81838="","-",1033.81838/920807.43432*100)</f>
        <v>0.11227302707036205</v>
      </c>
      <c r="F32" s="73">
        <f>IF(3415.91275="","-",3415.91275/1290328.17958*100)</f>
        <v>0.2647320894062683</v>
      </c>
      <c r="G32" s="73">
        <f>IF(OR(864616.67853="",2035.44398="",1033.81838=""),"-",(1033.81838-2035.44398)/864616.67853*100)</f>
        <v>-0.11584620385798471</v>
      </c>
      <c r="H32" s="73">
        <f>IF(OR(920807.43432="",3415.91275="",1033.81838=""),"-",(3415.91275-1033.81838)/920807.43432*100)</f>
        <v>0.258696257351477</v>
      </c>
    </row>
    <row r="33" spans="1:8" s="7" customFormat="1" ht="25.5" x14ac:dyDescent="0.25">
      <c r="A33" s="22" t="s">
        <v>236</v>
      </c>
      <c r="B33" s="23" t="s">
        <v>148</v>
      </c>
      <c r="C33" s="19">
        <v>121775.30111</v>
      </c>
      <c r="D33" s="73" t="s">
        <v>100</v>
      </c>
      <c r="E33" s="73">
        <f>IF(70467.04213="","-",70467.04213/920807.43432*100)</f>
        <v>7.6527447003117075</v>
      </c>
      <c r="F33" s="73">
        <f>IF(121775.30111="","-",121775.30111/1290328.17958*100)</f>
        <v>9.437544884870892</v>
      </c>
      <c r="G33" s="73">
        <f>IF(OR(864616.67853="",77772.08236="",70467.04213=""),"-",(70467.04213-77772.08236)/864616.67853*100)</f>
        <v>-0.84488773018117669</v>
      </c>
      <c r="H33" s="73">
        <f>IF(OR(920807.43432="",121775.30111="",70467.04213=""),"-",(121775.30111-70467.04213)/920807.43432*100)</f>
        <v>5.5720943454252447</v>
      </c>
    </row>
    <row r="34" spans="1:8" s="7" customFormat="1" ht="25.5" x14ac:dyDescent="0.25">
      <c r="A34" s="22" t="s">
        <v>282</v>
      </c>
      <c r="B34" s="23" t="s">
        <v>192</v>
      </c>
      <c r="C34" s="19">
        <v>222597.23887999999</v>
      </c>
      <c r="D34" s="73" t="s">
        <v>322</v>
      </c>
      <c r="E34" s="73">
        <f>IF(54149.84519="","-",54149.84519/920807.43432*100)</f>
        <v>5.8806915726075459</v>
      </c>
      <c r="F34" s="73">
        <f>IF(222597.23888="","-",222597.23888/1290328.17958*100)</f>
        <v>17.25121115718445</v>
      </c>
      <c r="G34" s="73">
        <f>IF(OR(864616.67853="",63141.40791="",54149.84519=""),"-",(54149.84519-63141.40791)/864616.67853*100)</f>
        <v>-1.0399478686077668</v>
      </c>
      <c r="H34" s="73">
        <f>IF(OR(920807.43432="",222597.23888="",54149.84519=""),"-",(222597.23888-54149.84519)/920807.43432*100)</f>
        <v>18.293444146049431</v>
      </c>
    </row>
    <row r="35" spans="1:8" s="7" customFormat="1" x14ac:dyDescent="0.25">
      <c r="A35" s="22" t="s">
        <v>290</v>
      </c>
      <c r="B35" s="23" t="s">
        <v>292</v>
      </c>
      <c r="C35" s="19">
        <v>1.18251</v>
      </c>
      <c r="D35" s="73" t="s">
        <v>318</v>
      </c>
      <c r="E35" s="73">
        <f>IF(0.41635="","-",0.41635/920807.43432*100)</f>
        <v>4.5215751359291218E-5</v>
      </c>
      <c r="F35" s="73">
        <f>IF(1.18251="","-",1.18251/1290328.17958*100)</f>
        <v>9.1644127340139564E-5</v>
      </c>
      <c r="G35" s="73">
        <f>IF(OR(864616.67853="",5500.25796="",0.41635=""),"-",(0.41635-5500.25796)/864616.67853*100)</f>
        <v>-0.63610172537391885</v>
      </c>
      <c r="H35" s="73">
        <f>IF(OR(920807.43432="",1.18251="",0.41635=""),"-",(1.18251-0.41635)/920807.43432*100)</f>
        <v>8.3205236126899392E-5</v>
      </c>
    </row>
    <row r="36" spans="1:8" s="7" customFormat="1" ht="25.5" x14ac:dyDescent="0.25">
      <c r="A36" s="20" t="s">
        <v>237</v>
      </c>
      <c r="B36" s="21" t="s">
        <v>149</v>
      </c>
      <c r="C36" s="18">
        <v>1531.5468000000001</v>
      </c>
      <c r="D36" s="62">
        <f>IF(1656.28713="","-",1531.5468/1656.28713*100)</f>
        <v>92.468677215405279</v>
      </c>
      <c r="E36" s="62">
        <f>IF(1656.28713="","-",1656.28713/920807.43432*100)</f>
        <v>0.1798733446611602</v>
      </c>
      <c r="F36" s="62">
        <f>IF(1531.5468="","-",1531.5468/1290328.17958*100)</f>
        <v>0.11869436196445128</v>
      </c>
      <c r="G36" s="62">
        <f>IF(864616.67853="","-",(1656.28713-1533.7229)/864616.67853*100)</f>
        <v>1.4175556988835868E-2</v>
      </c>
      <c r="H36" s="62">
        <f>IF(920807.43432="","-",(1531.5468-1656.28713)/920807.43432*100)</f>
        <v>-1.3546842189878536E-2</v>
      </c>
    </row>
    <row r="37" spans="1:8" s="7" customFormat="1" x14ac:dyDescent="0.25">
      <c r="A37" s="22" t="s">
        <v>238</v>
      </c>
      <c r="B37" s="23" t="s">
        <v>195</v>
      </c>
      <c r="C37" s="19">
        <v>233.35606000000001</v>
      </c>
      <c r="D37" s="73">
        <f>IF(OR(180.50403="",233.35606=""),"-",233.35606/180.50403*100)</f>
        <v>129.28024931077718</v>
      </c>
      <c r="E37" s="73">
        <f>IF(180.50403="","-",180.50403/920807.43432*100)</f>
        <v>1.9602798942788623E-2</v>
      </c>
      <c r="F37" s="73">
        <f>IF(233.35606="","-",233.35606/1290328.17958*100)</f>
        <v>1.8085016175958979E-2</v>
      </c>
      <c r="G37" s="73">
        <f>IF(OR(864616.67853="",267.89057="",180.50403=""),"-",(180.50403-267.89057)/864616.67853*100)</f>
        <v>-1.0106969038415089E-2</v>
      </c>
      <c r="H37" s="73">
        <f>IF(OR(920807.43432="",233.35606="",180.50403=""),"-",(233.35606-180.50403)/920807.43432*100)</f>
        <v>5.7397484023388994E-3</v>
      </c>
    </row>
    <row r="38" spans="1:8" s="7" customFormat="1" ht="25.5" x14ac:dyDescent="0.25">
      <c r="A38" s="22" t="s">
        <v>239</v>
      </c>
      <c r="B38" s="23" t="s">
        <v>150</v>
      </c>
      <c r="C38" s="19">
        <v>1029.46913</v>
      </c>
      <c r="D38" s="73">
        <f>IF(OR(1174.05991="",1029.46913=""),"-",1029.46913/1174.05991*100)</f>
        <v>87.684548397534499</v>
      </c>
      <c r="E38" s="73">
        <f>IF(1174.05991="","-",1174.05991/920807.43432*100)</f>
        <v>0.12750330484321323</v>
      </c>
      <c r="F38" s="73">
        <f>IF(1029.46913="","-",1029.46913/1290328.17958*100)</f>
        <v>7.9783511380421904E-2</v>
      </c>
      <c r="G38" s="73">
        <f>IF(OR(864616.67853="",957.63549="",1174.05991=""),"-",(1174.05991-957.63549)/864616.67853*100)</f>
        <v>2.5031256668326063E-2</v>
      </c>
      <c r="H38" s="73">
        <f>IF(OR(920807.43432="",1029.46913="",1174.05991=""),"-",(1029.46913-1174.05991)/920807.43432*100)</f>
        <v>-1.5702607799509972E-2</v>
      </c>
    </row>
    <row r="39" spans="1:8" s="7" customFormat="1" ht="63.75" x14ac:dyDescent="0.25">
      <c r="A39" s="22" t="s">
        <v>240</v>
      </c>
      <c r="B39" s="23" t="s">
        <v>193</v>
      </c>
      <c r="C39" s="19">
        <v>268.72161</v>
      </c>
      <c r="D39" s="73">
        <f>IF(OR(301.72319="",268.72161=""),"-",268.72161/301.72319*100)</f>
        <v>89.062299122583184</v>
      </c>
      <c r="E39" s="73">
        <f>IF(301.72319="","-",301.72319/920807.43432*100)</f>
        <v>3.2767240875158359E-2</v>
      </c>
      <c r="F39" s="73">
        <f>IF(268.72161="","-",268.72161/1290328.17958*100)</f>
        <v>2.0825834408070395E-2</v>
      </c>
      <c r="G39" s="73">
        <f>IF(OR(864616.67853="",308.19684="",301.72319=""),"-",(301.72319-308.19684)/864616.67853*100)</f>
        <v>-7.4873064107511332E-4</v>
      </c>
      <c r="H39" s="73">
        <f>IF(OR(920807.43432="",268.72161="",301.72319=""),"-",(268.72161-301.72319)/920807.43432*100)</f>
        <v>-3.5839827927074759E-3</v>
      </c>
    </row>
    <row r="40" spans="1:8" s="7" customFormat="1" ht="25.5" x14ac:dyDescent="0.25">
      <c r="A40" s="20" t="s">
        <v>241</v>
      </c>
      <c r="B40" s="21" t="s">
        <v>151</v>
      </c>
      <c r="C40" s="18">
        <v>173892.86746000001</v>
      </c>
      <c r="D40" s="62">
        <f>IF(134814.96857="","-",173892.86746/134814.96857*100)</f>
        <v>128.98632051359311</v>
      </c>
      <c r="E40" s="62">
        <f>IF(134814.96857="","-",134814.96857/920807.43432*100)</f>
        <v>14.640951359125209</v>
      </c>
      <c r="F40" s="62">
        <f>IF(173892.86746="","-",173892.86746/1290328.17958*100)</f>
        <v>13.47663875066279</v>
      </c>
      <c r="G40" s="62">
        <f>IF(864616.67853="","-",(134814.96857-121501.2296)/864616.67853*100)</f>
        <v>1.5398429501308815</v>
      </c>
      <c r="H40" s="62">
        <f>IF(920807.43432="","-",(173892.86746-134814.96857)/920807.43432*100)</f>
        <v>4.2438730871952988</v>
      </c>
    </row>
    <row r="41" spans="1:8" s="7" customFormat="1" x14ac:dyDescent="0.25">
      <c r="A41" s="22" t="s">
        <v>242</v>
      </c>
      <c r="B41" s="23" t="s">
        <v>24</v>
      </c>
      <c r="C41" s="19">
        <v>2802.6573100000001</v>
      </c>
      <c r="D41" s="73" t="s">
        <v>101</v>
      </c>
      <c r="E41" s="73">
        <f>IF(1762.40486="","-",1762.40486/920807.43432*100)</f>
        <v>0.19139776616828738</v>
      </c>
      <c r="F41" s="73">
        <f>IF(2802.65731="","-",2802.65731/1290328.17958*100)</f>
        <v>0.21720499903460691</v>
      </c>
      <c r="G41" s="73">
        <f>IF(OR(864616.67853="",1700.36339="",1762.40486=""),"-",(1762.40486-1700.36339)/864616.67853*100)</f>
        <v>7.175604119212863E-3</v>
      </c>
      <c r="H41" s="73">
        <f>IF(OR(920807.43432="",2802.65731="",1762.40486=""),"-",(2802.65731-1762.40486)/920807.43432*100)</f>
        <v>0.11297176925685966</v>
      </c>
    </row>
    <row r="42" spans="1:8" s="7" customFormat="1" x14ac:dyDescent="0.25">
      <c r="A42" s="22" t="s">
        <v>243</v>
      </c>
      <c r="B42" s="23" t="s">
        <v>25</v>
      </c>
      <c r="C42" s="19">
        <v>3097.02412</v>
      </c>
      <c r="D42" s="73">
        <f>IF(OR(2329.52459="",3097.02412=""),"-",3097.02412/2329.52459*100)</f>
        <v>132.94661637377266</v>
      </c>
      <c r="E42" s="73">
        <f>IF(2329.52459="","-",2329.52459/920807.43432*100)</f>
        <v>0.25298716139496774</v>
      </c>
      <c r="F42" s="73">
        <f>IF(3097.02412="","-",3097.02412/1290328.17958*100)</f>
        <v>0.24001832781859242</v>
      </c>
      <c r="G42" s="73">
        <f>IF(OR(864616.67853="",3125.58001="",2329.52459=""),"-",(2329.52459-3125.58001)/864616.67853*100)</f>
        <v>-9.2070328940847407E-2</v>
      </c>
      <c r="H42" s="73">
        <f>IF(OR(920807.43432="",3097.02412="",2329.52459=""),"-",(3097.02412-2329.52459)/920807.43432*100)</f>
        <v>8.335070953969706E-2</v>
      </c>
    </row>
    <row r="43" spans="1:8" s="7" customFormat="1" x14ac:dyDescent="0.25">
      <c r="A43" s="22" t="s">
        <v>244</v>
      </c>
      <c r="B43" s="23" t="s">
        <v>152</v>
      </c>
      <c r="C43" s="19">
        <v>6251.1316699999998</v>
      </c>
      <c r="D43" s="73">
        <f>IF(OR(4066.27014="",6251.13167=""),"-",6251.13167/4066.27014*100)</f>
        <v>153.73134235493757</v>
      </c>
      <c r="E43" s="73">
        <f>IF(4066.27014="","-",4066.27014/920807.43432*100)</f>
        <v>0.44159831778539765</v>
      </c>
      <c r="F43" s="73">
        <f>IF(6251.13167="","-",6251.13167/1290328.17958*100)</f>
        <v>0.48446060226590831</v>
      </c>
      <c r="G43" s="73">
        <f>IF(OR(864616.67853="",4136.03594="",4066.27014=""),"-",(4066.27014-4136.03594)/864616.67853*100)</f>
        <v>-8.068986145237652E-3</v>
      </c>
      <c r="H43" s="73">
        <f>IF(OR(920807.43432="",6251.13167="",4066.27014=""),"-",(6251.13167-4066.27014)/920807.43432*100)</f>
        <v>0.2372767039629172</v>
      </c>
    </row>
    <row r="44" spans="1:8" s="7" customFormat="1" x14ac:dyDescent="0.25">
      <c r="A44" s="22" t="s">
        <v>245</v>
      </c>
      <c r="B44" s="23" t="s">
        <v>153</v>
      </c>
      <c r="C44" s="19">
        <v>51007.89903</v>
      </c>
      <c r="D44" s="73">
        <f>IF(OR(42674.27699="",51007.89903=""),"-",51007.89903/42674.27699*100)</f>
        <v>119.52844342729661</v>
      </c>
      <c r="E44" s="73">
        <f>IF(42674.27699="","-",42674.27699/920807.43432*100)</f>
        <v>4.634440969898793</v>
      </c>
      <c r="F44" s="73">
        <f>IF(51007.89903="","-",51007.89903/1290328.17958*100)</f>
        <v>3.9530950216558862</v>
      </c>
      <c r="G44" s="73">
        <f>IF(OR(864616.67853="",32948.17011="",42674.27699=""),"-",(42674.27699-32948.17011)/864616.67853*100)</f>
        <v>1.1249039165582704</v>
      </c>
      <c r="H44" s="73">
        <f>IF(OR(920807.43432="",51007.89903="",42674.27699=""),"-",(51007.89903-42674.27699)/920807.43432*100)</f>
        <v>0.90503418297814187</v>
      </c>
    </row>
    <row r="45" spans="1:8" s="7" customFormat="1" ht="38.25" x14ac:dyDescent="0.25">
      <c r="A45" s="22" t="s">
        <v>246</v>
      </c>
      <c r="B45" s="23" t="s">
        <v>154</v>
      </c>
      <c r="C45" s="19">
        <v>21322.127830000001</v>
      </c>
      <c r="D45" s="73">
        <f>IF(OR(19515.27547="",21322.12783=""),"-",21322.12783/19515.27547*100)</f>
        <v>109.25865670088848</v>
      </c>
      <c r="E45" s="73">
        <f>IF(19515.27547="","-",19515.27547/920807.43432*100)</f>
        <v>2.1193655418748532</v>
      </c>
      <c r="F45" s="73">
        <f>IF(21322.12783="","-",21322.12783/1290328.17958*100)</f>
        <v>1.6524577365225275</v>
      </c>
      <c r="G45" s="73">
        <f>IF(OR(864616.67853="",17103.38621="",19515.27547=""),"-",(19515.27547-17103.38621)/864616.67853*100)</f>
        <v>0.278954746061646</v>
      </c>
      <c r="H45" s="73">
        <f>IF(OR(920807.43432="",21322.12783="",19515.27547=""),"-",(21322.12783-19515.27547)/920807.43432*100)</f>
        <v>0.19622477975911753</v>
      </c>
    </row>
    <row r="46" spans="1:8" s="7" customFormat="1" x14ac:dyDescent="0.25">
      <c r="A46" s="22" t="s">
        <v>247</v>
      </c>
      <c r="B46" s="23" t="s">
        <v>155</v>
      </c>
      <c r="C46" s="19">
        <v>31175.215520000002</v>
      </c>
      <c r="D46" s="73" t="s">
        <v>289</v>
      </c>
      <c r="E46" s="73">
        <f>IF(12955.00745="","-",12955.00745/920807.43432*100)</f>
        <v>1.4069182075584612</v>
      </c>
      <c r="F46" s="73">
        <f>IF(31175.21552="","-",31175.21552/1290328.17958*100)</f>
        <v>2.4160687190562244</v>
      </c>
      <c r="G46" s="73">
        <f>IF(OR(864616.67853="",22546.88338="",12955.00745=""),"-",(12955.00745-22546.88338)/864616.67853*100)</f>
        <v>-1.1093790078521122</v>
      </c>
      <c r="H46" s="73">
        <f>IF(OR(920807.43432="",31175.21552="",12955.00745=""),"-",(31175.21552-12955.00745)/920807.43432*100)</f>
        <v>1.9787207825331363</v>
      </c>
    </row>
    <row r="47" spans="1:8" s="7" customFormat="1" x14ac:dyDescent="0.25">
      <c r="A47" s="22" t="s">
        <v>248</v>
      </c>
      <c r="B47" s="23" t="s">
        <v>26</v>
      </c>
      <c r="C47" s="19">
        <v>10882.796200000001</v>
      </c>
      <c r="D47" s="73" t="s">
        <v>101</v>
      </c>
      <c r="E47" s="73">
        <f>IF(6770.21163="","-",6770.21163/920807.43432*100)</f>
        <v>0.7352472816425164</v>
      </c>
      <c r="F47" s="73">
        <f>IF(10882.7962="","-",10882.7962/1290328.17958*100)</f>
        <v>0.84341304578361886</v>
      </c>
      <c r="G47" s="73">
        <f>IF(OR(864616.67853="",6628.98049="",6770.21163=""),"-",(6770.21163-6628.98049)/864616.67853*100)</f>
        <v>1.6334538010545619E-2</v>
      </c>
      <c r="H47" s="73">
        <f>IF(OR(920807.43432="",10882.7962="",6770.21163=""),"-",(10882.7962-6770.21163)/920807.43432*100)</f>
        <v>0.44662808060808845</v>
      </c>
    </row>
    <row r="48" spans="1:8" s="7" customFormat="1" x14ac:dyDescent="0.25">
      <c r="A48" s="22" t="s">
        <v>249</v>
      </c>
      <c r="B48" s="23" t="s">
        <v>27</v>
      </c>
      <c r="C48" s="19">
        <v>20428.08121</v>
      </c>
      <c r="D48" s="73">
        <f>IF(OR(18759.77172="",20428.08121=""),"-",20428.08121/18759.77172*100)</f>
        <v>108.8930159433731</v>
      </c>
      <c r="E48" s="73">
        <f>IF(18759.77172="","-",18759.77172/920807.43432*100)</f>
        <v>2.0373175781159674</v>
      </c>
      <c r="F48" s="73">
        <f>IF(20428.08121="","-",20428.08121/1290328.17958*100)</f>
        <v>1.5831694241266057</v>
      </c>
      <c r="G48" s="73">
        <f>IF(OR(864616.67853="",15424.57549="",18759.77172=""),"-",(18759.77172-15424.57549)/864616.67853*100)</f>
        <v>0.3857427589380325</v>
      </c>
      <c r="H48" s="73">
        <f>IF(OR(920807.43432="",20428.08121="",18759.77172=""),"-",(20428.08121-18759.77172)/920807.43432*100)</f>
        <v>0.18117897703899585</v>
      </c>
    </row>
    <row r="49" spans="1:8" s="7" customFormat="1" x14ac:dyDescent="0.25">
      <c r="A49" s="22" t="s">
        <v>250</v>
      </c>
      <c r="B49" s="23" t="s">
        <v>156</v>
      </c>
      <c r="C49" s="19">
        <v>26925.934570000001</v>
      </c>
      <c r="D49" s="73">
        <f>IF(OR(25982.22572="",26925.93457=""),"-",26925.93457/25982.22572*100)</f>
        <v>103.63213244380975</v>
      </c>
      <c r="E49" s="73">
        <f>IF(25982.22572="","-",25982.22572/920807.43432*100)</f>
        <v>2.8216785346859643</v>
      </c>
      <c r="F49" s="73">
        <f>IF(26925.93457="","-",26925.93457/1290328.17958*100)</f>
        <v>2.0867508743988181</v>
      </c>
      <c r="G49" s="73">
        <f>IF(OR(864616.67853="",17887.25458="",25982.22572=""),"-",(25982.22572-17887.25458)/864616.67853*100)</f>
        <v>0.9362497093813722</v>
      </c>
      <c r="H49" s="73">
        <f>IF(OR(920807.43432="",26925.93457="",25982.22572=""),"-",(26925.93457-25982.22572)/920807.43432*100)</f>
        <v>0.1024871015183446</v>
      </c>
    </row>
    <row r="50" spans="1:8" s="7" customFormat="1" ht="25.5" x14ac:dyDescent="0.25">
      <c r="A50" s="20" t="s">
        <v>251</v>
      </c>
      <c r="B50" s="21" t="s">
        <v>324</v>
      </c>
      <c r="C50" s="18">
        <v>184340.89069</v>
      </c>
      <c r="D50" s="62">
        <f>IF(159615.76838="","-",184340.89069/159615.76838*100)</f>
        <v>115.49040083003359</v>
      </c>
      <c r="E50" s="62">
        <f>IF(159615.76838="","-",159615.76838/920807.43432*100)</f>
        <v>17.334326638867051</v>
      </c>
      <c r="F50" s="62">
        <f>IF(184340.89069="","-",184340.89069/1290328.17958*100)</f>
        <v>14.286357037478844</v>
      </c>
      <c r="G50" s="62">
        <f>IF(864616.67853="","-",(159615.76838-158806.54894)/864616.67853*100)</f>
        <v>9.3592855665912106E-2</v>
      </c>
      <c r="H50" s="62">
        <f>IF(920807.43432="","-",(184340.89069-159615.76838)/920807.43432*100)</f>
        <v>2.6851566775477949</v>
      </c>
    </row>
    <row r="51" spans="1:8" s="7" customFormat="1" x14ac:dyDescent="0.25">
      <c r="A51" s="22" t="s">
        <v>252</v>
      </c>
      <c r="B51" s="23" t="s">
        <v>157</v>
      </c>
      <c r="C51" s="19">
        <v>8386.0131999999994</v>
      </c>
      <c r="D51" s="73">
        <f>IF(OR(9677.86223="",8386.0132=""),"-",8386.0132/9677.86223*100)</f>
        <v>86.651504234112224</v>
      </c>
      <c r="E51" s="73">
        <f>IF(9677.86223="","-",9677.86223/920807.43432*100)</f>
        <v>1.0510191240090205</v>
      </c>
      <c r="F51" s="73">
        <f>IF(8386.0132="","-",8386.0132/1290328.17958*100)</f>
        <v>0.64991320291320265</v>
      </c>
      <c r="G51" s="73">
        <f>IF(OR(864616.67853="",9701.9546="",9677.86223=""),"-",(9677.86223-9701.9546)/864616.67853*100)</f>
        <v>-2.7864799047087243E-3</v>
      </c>
      <c r="H51" s="73">
        <f>IF(OR(920807.43432="",8386.0132="",9677.86223=""),"-",(8386.0132-9677.86223)/920807.43432*100)</f>
        <v>-0.14029524326701476</v>
      </c>
    </row>
    <row r="52" spans="1:8" s="7" customFormat="1" x14ac:dyDescent="0.25">
      <c r="A52" s="22" t="s">
        <v>253</v>
      </c>
      <c r="B52" s="23" t="s">
        <v>28</v>
      </c>
      <c r="C52" s="19">
        <v>13085.882089999999</v>
      </c>
      <c r="D52" s="73">
        <f>IF(OR(8540.1133="",13085.88209=""),"-",13085.88209/8540.1133*100)</f>
        <v>153.22843655950089</v>
      </c>
      <c r="E52" s="73">
        <f>IF(8540.1133="","-",8540.1133/920807.43432*100)</f>
        <v>0.92745920392212333</v>
      </c>
      <c r="F52" s="73">
        <f>IF(13085.88209="","-",13085.88209/1290328.17958*100)</f>
        <v>1.0141514613948395</v>
      </c>
      <c r="G52" s="73">
        <f>IF(OR(864616.67853="",9520.04643="",8540.1133=""),"-",(8540.1133-9520.04643)/864616.67853*100)</f>
        <v>-0.11333729204322748</v>
      </c>
      <c r="H52" s="73">
        <f>IF(OR(920807.43432="",13085.88209="",8540.1133=""),"-",(13085.88209-8540.1133)/920807.43432*100)</f>
        <v>0.49367203397493942</v>
      </c>
    </row>
    <row r="53" spans="1:8" s="7" customFormat="1" x14ac:dyDescent="0.25">
      <c r="A53" s="22" t="s">
        <v>254</v>
      </c>
      <c r="B53" s="23" t="s">
        <v>158</v>
      </c>
      <c r="C53" s="19">
        <v>15389.590899999999</v>
      </c>
      <c r="D53" s="73">
        <f>IF(OR(13309.98354="",15389.5909=""),"-",15389.5909/13309.98354*100)</f>
        <v>115.62441721847539</v>
      </c>
      <c r="E53" s="73">
        <f>IF(13309.98354="","-",13309.98354/920807.43432*100)</f>
        <v>1.445468731454062</v>
      </c>
      <c r="F53" s="73">
        <f>IF(15389.5909="","-",15389.5909/1290328.17958*100)</f>
        <v>1.1926881194681256</v>
      </c>
      <c r="G53" s="73">
        <f>IF(OR(864616.67853="",11822.13957="",13309.98354=""),"-",(13309.98354-11822.13957)/864616.67853*100)</f>
        <v>0.17208134043048945</v>
      </c>
      <c r="H53" s="73">
        <f>IF(OR(920807.43432="",15389.5909="",13309.98354=""),"-",(15389.5909-13309.98354)/920807.43432*100)</f>
        <v>0.22584606536498625</v>
      </c>
    </row>
    <row r="54" spans="1:8" s="7" customFormat="1" ht="25.5" x14ac:dyDescent="0.25">
      <c r="A54" s="22" t="s">
        <v>255</v>
      </c>
      <c r="B54" s="23" t="s">
        <v>159</v>
      </c>
      <c r="C54" s="19">
        <v>19794.36433</v>
      </c>
      <c r="D54" s="73">
        <f>IF(OR(14275.35664="",19794.36433=""),"-",19794.36433/14275.35664*100)</f>
        <v>138.66108447711611</v>
      </c>
      <c r="E54" s="73">
        <f>IF(14275.35664="","-",14275.35664/920807.43432*100)</f>
        <v>1.5503085778778598</v>
      </c>
      <c r="F54" s="73">
        <f>IF(19794.36433="","-",19794.36433/1290328.17958*100)</f>
        <v>1.5340565790358107</v>
      </c>
      <c r="G54" s="73">
        <f>IF(OR(864616.67853="",14009.19878="",14275.35664=""),"-",(14275.35664-14009.19878)/864616.67853*100)</f>
        <v>3.0783336316448855E-2</v>
      </c>
      <c r="H54" s="73">
        <f>IF(OR(920807.43432="",19794.36433="",14275.35664=""),"-",(19794.36433-14275.35664)/920807.43432*100)</f>
        <v>0.5993661089493364</v>
      </c>
    </row>
    <row r="55" spans="1:8" s="7" customFormat="1" ht="27.75" customHeight="1" x14ac:dyDescent="0.25">
      <c r="A55" s="22" t="s">
        <v>256</v>
      </c>
      <c r="B55" s="23" t="s">
        <v>160</v>
      </c>
      <c r="C55" s="19">
        <v>48146.684119999998</v>
      </c>
      <c r="D55" s="73">
        <f>IF(OR(42307.4063="",48146.68412=""),"-",48146.68412/42307.4063*100)</f>
        <v>113.80202269691016</v>
      </c>
      <c r="E55" s="73">
        <f>IF(42307.4063="","-",42307.4063/920807.43432*100)</f>
        <v>4.5945986884047336</v>
      </c>
      <c r="F55" s="73">
        <f>IF(48146.68412="","-",48146.68412/1290328.17958*100)</f>
        <v>3.7313518283132958</v>
      </c>
      <c r="G55" s="73">
        <f>IF(OR(864616.67853="",43035.6591="",42307.4063=""),"-",(42307.4063-43035.6591)/864616.67853*100)</f>
        <v>-8.4228400640865758E-2</v>
      </c>
      <c r="H55" s="73">
        <f>IF(OR(920807.43432="",48146.68412="",42307.4063=""),"-",(48146.68412-42307.4063)/920807.43432*100)</f>
        <v>0.63414755380555754</v>
      </c>
    </row>
    <row r="56" spans="1:8" s="7" customFormat="1" ht="16.5" customHeight="1" x14ac:dyDescent="0.25">
      <c r="A56" s="22" t="s">
        <v>257</v>
      </c>
      <c r="B56" s="23" t="s">
        <v>29</v>
      </c>
      <c r="C56" s="19">
        <v>22555.323960000002</v>
      </c>
      <c r="D56" s="73">
        <f>IF(OR(18059.6039="",22555.32396=""),"-",22555.32396/18059.6039*100)</f>
        <v>124.89379105374512</v>
      </c>
      <c r="E56" s="73">
        <f>IF(18059.6039="","-",18059.6039/920807.43432*100)</f>
        <v>1.9612791151427549</v>
      </c>
      <c r="F56" s="73">
        <f>IF(22555.32396="","-",22555.32396/1290328.17958*100)</f>
        <v>1.7480300218927041</v>
      </c>
      <c r="G56" s="73">
        <f>IF(OR(864616.67853="",18495.32309="",18059.6039=""),"-",(18059.6039-18495.32309)/864616.67853*100)</f>
        <v>-5.0394492822044848E-2</v>
      </c>
      <c r="H56" s="73">
        <f>IF(OR(920807.43432="",22555.32396="",18059.6039=""),"-",(22555.32396-18059.6039)/920807.43432*100)</f>
        <v>0.48823672490437842</v>
      </c>
    </row>
    <row r="57" spans="1:8" s="7" customFormat="1" ht="16.5" customHeight="1" x14ac:dyDescent="0.25">
      <c r="A57" s="22" t="s">
        <v>258</v>
      </c>
      <c r="B57" s="23" t="s">
        <v>161</v>
      </c>
      <c r="C57" s="19">
        <v>23190.522860000001</v>
      </c>
      <c r="D57" s="73">
        <f>IF(OR(17882.27478="",23190.52286=""),"-",23190.52286/17882.27478*100)</f>
        <v>129.68441177258322</v>
      </c>
      <c r="E57" s="73">
        <f>IF(17882.27478="","-",17882.27478/920807.43432*100)</f>
        <v>1.9420211125039128</v>
      </c>
      <c r="F57" s="73">
        <f>IF(23190.52286="","-",23190.52286/1290328.17958*100)</f>
        <v>1.7972577230351183</v>
      </c>
      <c r="G57" s="73">
        <f>IF(OR(864616.67853="",18514.80168="",17882.27478=""),"-",(17882.27478-18514.80168)/864616.67853*100)</f>
        <v>-7.3156916319889576E-2</v>
      </c>
      <c r="H57" s="73">
        <f>IF(OR(920807.43432="",23190.52286="",17882.27478=""),"-",(23190.52286-17882.27478)/920807.43432*100)</f>
        <v>0.57647754374616322</v>
      </c>
    </row>
    <row r="58" spans="1:8" s="7" customFormat="1" ht="16.5" customHeight="1" x14ac:dyDescent="0.25">
      <c r="A58" s="22" t="s">
        <v>259</v>
      </c>
      <c r="B58" s="23" t="s">
        <v>30</v>
      </c>
      <c r="C58" s="19">
        <v>4961.9813000000004</v>
      </c>
      <c r="D58" s="73">
        <f>IF(OR(9606.00653="",4961.9813=""),"-",4961.9813/9606.00653*100)</f>
        <v>51.654985706115276</v>
      </c>
      <c r="E58" s="73">
        <f>IF(9606.00653="","-",9606.00653/920807.43432*100)</f>
        <v>1.0432155705925492</v>
      </c>
      <c r="F58" s="73">
        <f>IF(4961.9813="","-",4961.9813/1290328.17958*100)</f>
        <v>0.38455188211227925</v>
      </c>
      <c r="G58" s="73">
        <f>IF(OR(864616.67853="",11642.00137="",9606.00653=""),"-",(9606.00653-11642.00137)/864616.67853*100)</f>
        <v>-0.2354794778492531</v>
      </c>
      <c r="H58" s="73">
        <f>IF(OR(920807.43432="",4961.9813="",9606.00653=""),"-",(4961.9813-9606.00653)/920807.43432*100)</f>
        <v>-0.504342716718999</v>
      </c>
    </row>
    <row r="59" spans="1:8" s="7" customFormat="1" ht="15.75" customHeight="1" x14ac:dyDescent="0.25">
      <c r="A59" s="22" t="s">
        <v>260</v>
      </c>
      <c r="B59" s="23" t="s">
        <v>31</v>
      </c>
      <c r="C59" s="19">
        <v>28830.52793</v>
      </c>
      <c r="D59" s="73">
        <f>IF(OR(25957.16116="",28830.52793=""),"-",28830.52793/25957.16116*100)</f>
        <v>111.06964953635938</v>
      </c>
      <c r="E59" s="73">
        <f>IF(25957.16116="","-",25957.16116/920807.43432*100)</f>
        <v>2.8189565149600369</v>
      </c>
      <c r="F59" s="73">
        <f>IF(28830.52793="","-",28830.52793/1290328.17958*100)</f>
        <v>2.2343562193134692</v>
      </c>
      <c r="G59" s="73">
        <f>IF(OR(864616.67853="",22065.42432="",25957.16116=""),"-",(25957.16116-22065.42432)/864616.67853*100)</f>
        <v>0.45011123849896539</v>
      </c>
      <c r="H59" s="73">
        <f>IF(OR(920807.43432="",28830.52793="",25957.16116=""),"-",(28830.52793-25957.16116)/920807.43432*100)</f>
        <v>0.31204860678844659</v>
      </c>
    </row>
    <row r="60" spans="1:8" s="7" customFormat="1" ht="25.5" x14ac:dyDescent="0.25">
      <c r="A60" s="20" t="s">
        <v>261</v>
      </c>
      <c r="B60" s="21" t="s">
        <v>162</v>
      </c>
      <c r="C60" s="18">
        <v>277238.20192999998</v>
      </c>
      <c r="D60" s="62">
        <f>IF(235965.07437="","-",277238.20193/235965.07437*100)</f>
        <v>117.49120189510866</v>
      </c>
      <c r="E60" s="62">
        <f>IF(235965.07437="","-",235965.07437/920807.43432*100)</f>
        <v>25.625887191522949</v>
      </c>
      <c r="F60" s="62">
        <f>IF(277238.20193="","-",277238.20193/1290328.17958*100)</f>
        <v>21.485867418646983</v>
      </c>
      <c r="G60" s="62">
        <f>IF(864616.67853="","-",(235965.07437-192043.5419)/864616.67853*100)</f>
        <v>5.0798849433108657</v>
      </c>
      <c r="H60" s="62">
        <f>IF(920807.43432="","-",(277238.20193-235965.07437)/920807.43432*100)</f>
        <v>4.4822756660820691</v>
      </c>
    </row>
    <row r="61" spans="1:8" s="7" customFormat="1" ht="25.5" x14ac:dyDescent="0.25">
      <c r="A61" s="22" t="s">
        <v>262</v>
      </c>
      <c r="B61" s="23" t="s">
        <v>163</v>
      </c>
      <c r="C61" s="19">
        <v>3411.5945099999999</v>
      </c>
      <c r="D61" s="73">
        <f>IF(OR(3152.60971="",3411.59451=""),"-",3411.59451/3152.60971*100)</f>
        <v>108.21493377941793</v>
      </c>
      <c r="E61" s="73">
        <f>IF(3152.60971="","-",3152.60971/920807.43432*100)</f>
        <v>0.34237448488110289</v>
      </c>
      <c r="F61" s="73">
        <f>IF(3411.59451="","-",3411.59451/1290328.17958*100)</f>
        <v>0.26439742725842574</v>
      </c>
      <c r="G61" s="73">
        <f>IF(OR(864616.67853="",2619.21938="",3152.60971=""),"-",(3152.60971-2619.21938)/864616.67853*100)</f>
        <v>6.1690960080351132E-2</v>
      </c>
      <c r="H61" s="73">
        <f>IF(OR(920807.43432="",3411.59451="",3152.60971=""),"-",(3411.59451-3152.60971)/920807.43432*100)</f>
        <v>2.8125837210605863E-2</v>
      </c>
    </row>
    <row r="62" spans="1:8" s="7" customFormat="1" ht="25.5" x14ac:dyDescent="0.25">
      <c r="A62" s="22" t="s">
        <v>263</v>
      </c>
      <c r="B62" s="23" t="s">
        <v>164</v>
      </c>
      <c r="C62" s="19">
        <v>40797.934739999997</v>
      </c>
      <c r="D62" s="73" t="s">
        <v>100</v>
      </c>
      <c r="E62" s="73">
        <f>IF(23825.70222="","-",23825.70222/920807.43432*100)</f>
        <v>2.5874793504023845</v>
      </c>
      <c r="F62" s="73">
        <f>IF(40797.93474="","-",40797.93474/1290328.17958*100)</f>
        <v>3.1618262226342813</v>
      </c>
      <c r="G62" s="73">
        <f>IF(OR(864616.67853="",21855.83918="",23825.70222=""),"-",(23825.70222-21855.83918)/864616.67853*100)</f>
        <v>0.2278307935661284</v>
      </c>
      <c r="H62" s="73">
        <f>IF(OR(920807.43432="",40797.93474="",23825.70222=""),"-",(40797.93474-23825.70222)/920807.43432*100)</f>
        <v>1.84319021409006</v>
      </c>
    </row>
    <row r="63" spans="1:8" s="7" customFormat="1" ht="27" customHeight="1" x14ac:dyDescent="0.25">
      <c r="A63" s="22" t="s">
        <v>264</v>
      </c>
      <c r="B63" s="23" t="s">
        <v>165</v>
      </c>
      <c r="C63" s="19">
        <v>2196.5699599999998</v>
      </c>
      <c r="D63" s="73">
        <f>IF(OR(1928.22985="",2196.56996=""),"-",2196.56996/1928.22985*100)</f>
        <v>113.91639642960614</v>
      </c>
      <c r="E63" s="73">
        <f>IF(1928.22985="","-",1928.22985/920807.43432*100)</f>
        <v>0.20940641638324342</v>
      </c>
      <c r="F63" s="73">
        <f>IF(2196.56996="","-",2196.56996/1290328.17958*100)</f>
        <v>0.17023343322742748</v>
      </c>
      <c r="G63" s="73">
        <f>IF(OR(864616.67853="",2731.30779="",1928.22985=""),"-",(1928.22985-2731.30779)/864616.67853*100)</f>
        <v>-9.2882540892615356E-2</v>
      </c>
      <c r="H63" s="73">
        <f>IF(OR(920807.43432="",2196.56996="",1928.22985=""),"-",(2196.56996-1928.22985)/920807.43432*100)</f>
        <v>2.9141827052923858E-2</v>
      </c>
    </row>
    <row r="64" spans="1:8" s="7" customFormat="1" ht="38.25" x14ac:dyDescent="0.25">
      <c r="A64" s="22" t="s">
        <v>265</v>
      </c>
      <c r="B64" s="23" t="s">
        <v>166</v>
      </c>
      <c r="C64" s="19">
        <v>33177.774380000003</v>
      </c>
      <c r="D64" s="73">
        <f>IF(OR(32880.32511="",33177.77438=""),"-",33177.77438/32880.32511*100)</f>
        <v>100.90464211958033</v>
      </c>
      <c r="E64" s="73">
        <f>IF(32880.32511="","-",32880.32511/920807.43432*100)</f>
        <v>3.5708144704849758</v>
      </c>
      <c r="F64" s="73">
        <f>IF(33177.77438="","-",33177.77438/1290328.17958*100)</f>
        <v>2.5712663572765901</v>
      </c>
      <c r="G64" s="73">
        <f>IF(OR(864616.67853="",26384.22822="",32880.32511=""),"-",(32880.32511-26384.22822)/864616.67853*100)</f>
        <v>0.75132680774149552</v>
      </c>
      <c r="H64" s="73">
        <f>IF(OR(920807.43432="",33177.77438="",32880.32511=""),"-",(33177.77438-32880.32511)/920807.43432*100)</f>
        <v>3.2303091712076112E-2</v>
      </c>
    </row>
    <row r="65" spans="1:8" s="7" customFormat="1" ht="27.75" customHeight="1" x14ac:dyDescent="0.25">
      <c r="A65" s="22" t="s">
        <v>266</v>
      </c>
      <c r="B65" s="23" t="s">
        <v>167</v>
      </c>
      <c r="C65" s="19">
        <v>13605.11706</v>
      </c>
      <c r="D65" s="73">
        <f>IF(OR(11571.73309="",13605.11706=""),"-",13605.11706/11571.73309*100)</f>
        <v>117.57199162982077</v>
      </c>
      <c r="E65" s="73">
        <f>IF(11571.73309="","-",11571.73309/920807.43432*100)</f>
        <v>1.2566941424126881</v>
      </c>
      <c r="F65" s="73">
        <f>IF(13605.11706="","-",13605.11706/1290328.17958*100)</f>
        <v>1.0543919969591338</v>
      </c>
      <c r="G65" s="73">
        <f>IF(OR(864616.67853="",6244.91292="",11571.73309=""),"-",(11571.73309-6244.91292)/864616.67853*100)</f>
        <v>0.61609037880885298</v>
      </c>
      <c r="H65" s="73">
        <f>IF(OR(920807.43432="",13605.11706="",11571.73309=""),"-",(13605.11706-11571.73309)/920807.43432*100)</f>
        <v>0.22082618951720551</v>
      </c>
    </row>
    <row r="66" spans="1:8" s="7" customFormat="1" ht="27" customHeight="1" x14ac:dyDescent="0.25">
      <c r="A66" s="22" t="s">
        <v>267</v>
      </c>
      <c r="B66" s="23" t="s">
        <v>168</v>
      </c>
      <c r="C66" s="19">
        <v>29919.067709999999</v>
      </c>
      <c r="D66" s="73">
        <f>IF(OR(26186.62129="",29919.06771=""),"-",29919.06771/26186.62129*100)</f>
        <v>114.25325695386799</v>
      </c>
      <c r="E66" s="73">
        <f>IF(26186.62129="","-",26186.62129/920807.43432*100)</f>
        <v>2.8438759629844168</v>
      </c>
      <c r="F66" s="73">
        <f>IF(29919.06771="","-",29919.06771/1290328.17958*100)</f>
        <v>2.3187176862043435</v>
      </c>
      <c r="G66" s="73">
        <f>IF(OR(864616.67853="",22191.15805="",26186.62129=""),"-",(26186.62129-22191.15805)/864616.67853*100)</f>
        <v>0.462108046168273</v>
      </c>
      <c r="H66" s="73">
        <f>IF(OR(920807.43432="",29919.06771="",26186.62129=""),"-",(29919.06771-26186.62129)/920807.43432*100)</f>
        <v>0.40534494845345659</v>
      </c>
    </row>
    <row r="67" spans="1:8" s="7" customFormat="1" ht="41.25" customHeight="1" x14ac:dyDescent="0.25">
      <c r="A67" s="22" t="s">
        <v>268</v>
      </c>
      <c r="B67" s="23" t="s">
        <v>169</v>
      </c>
      <c r="C67" s="19">
        <v>81198.68101</v>
      </c>
      <c r="D67" s="73">
        <f>IF(OR(78126.0567="",81198.68101=""),"-",81198.68101/78126.0567*100)</f>
        <v>103.93290592125841</v>
      </c>
      <c r="E67" s="73">
        <f>IF(78126.0567="","-",78126.0567/920807.43432*100)</f>
        <v>8.4845162830048952</v>
      </c>
      <c r="F67" s="73">
        <f>IF(81198.68101="","-",81198.68101/1290328.17958*100)</f>
        <v>6.2928704724119138</v>
      </c>
      <c r="G67" s="73">
        <f>IF(OR(864616.67853="",62352.18288="",78126.0567=""),"-",(78126.0567-62352.18288)/864616.67853*100)</f>
        <v>1.824377693802802</v>
      </c>
      <c r="H67" s="73">
        <f>IF(OR(920807.43432="",81198.68101="",78126.0567=""),"-",(81198.68101-78126.0567)/920807.43432*100)</f>
        <v>0.33368804328443308</v>
      </c>
    </row>
    <row r="68" spans="1:8" s="7" customFormat="1" ht="25.5" x14ac:dyDescent="0.25">
      <c r="A68" s="22" t="s">
        <v>269</v>
      </c>
      <c r="B68" s="23" t="s">
        <v>170</v>
      </c>
      <c r="C68" s="19">
        <v>70852.445359999998</v>
      </c>
      <c r="D68" s="73">
        <f>IF(OR(58178.78281="",70852.44536=""),"-",70852.44536/58178.78281*100)</f>
        <v>121.78399398864977</v>
      </c>
      <c r="E68" s="73">
        <f>IF(58178.78281="","-",58178.78281/920807.43432*100)</f>
        <v>6.318235566045793</v>
      </c>
      <c r="F68" s="73">
        <f>IF(70852.44536="","-",70852.44536/1290328.17958*100)</f>
        <v>5.4910406888162644</v>
      </c>
      <c r="G68" s="73">
        <f>IF(OR(864616.67853="",44683.82155="",58178.78281=""),"-",(58178.78281-44683.82155)/864616.67853*100)</f>
        <v>1.560802792162626</v>
      </c>
      <c r="H68" s="73">
        <f>IF(OR(920807.43432="",70852.44536="",58178.78281=""),"-",(70852.44536-58178.78281)/920807.43432*100)</f>
        <v>1.376364055896147</v>
      </c>
    </row>
    <row r="69" spans="1:8" s="7" customFormat="1" x14ac:dyDescent="0.25">
      <c r="A69" s="22" t="s">
        <v>270</v>
      </c>
      <c r="B69" s="23" t="s">
        <v>32</v>
      </c>
      <c r="C69" s="19">
        <v>2079.0171999999998</v>
      </c>
      <c r="D69" s="73" t="s">
        <v>392</v>
      </c>
      <c r="E69" s="73">
        <f>IF(115.01359="","-",115.01359/920807.43432*100)</f>
        <v>1.2490514923452534E-2</v>
      </c>
      <c r="F69" s="73">
        <f>IF(2079.0172="","-",2079.0172/1290328.17958*100)</f>
        <v>0.16112313385860619</v>
      </c>
      <c r="G69" s="73">
        <f>IF(OR(864616.67853="",2980.87193="",115.01359=""),"-",(115.01359-2980.87193)/864616.67853*100)</f>
        <v>-0.33145998812704625</v>
      </c>
      <c r="H69" s="73">
        <f>IF(OR(920807.43432="",2079.0172="",115.01359=""),"-",(2079.0172-115.01359)/920807.43432*100)</f>
        <v>0.21329145886516238</v>
      </c>
    </row>
    <row r="70" spans="1:8" s="7" customFormat="1" x14ac:dyDescent="0.25">
      <c r="A70" s="20" t="s">
        <v>271</v>
      </c>
      <c r="B70" s="21" t="s">
        <v>33</v>
      </c>
      <c r="C70" s="18">
        <v>111530.01893999999</v>
      </c>
      <c r="D70" s="62">
        <f>IF(103839.09165="","-",111530.01894/103839.09165*100)</f>
        <v>107.4065818255836</v>
      </c>
      <c r="E70" s="62">
        <f>IF(103839.09165="","-",103839.09165/920807.43432*100)</f>
        <v>11.276960608673118</v>
      </c>
      <c r="F70" s="62">
        <f>IF(111530.01894="","-",111530.01894/1290328.17958*100)</f>
        <v>8.6435389620261454</v>
      </c>
      <c r="G70" s="62">
        <f>IF(864616.67853="","-",(103839.09165-90960.13424)/864616.67853*100)</f>
        <v>1.4895569018974384</v>
      </c>
      <c r="H70" s="62">
        <f>IF(920807.43432="","-",(111530.01894-103839.09165)/920807.43432*100)</f>
        <v>0.83523731492020425</v>
      </c>
    </row>
    <row r="71" spans="1:8" s="7" customFormat="1" ht="38.25" x14ac:dyDescent="0.25">
      <c r="A71" s="22" t="s">
        <v>272</v>
      </c>
      <c r="B71" s="23" t="s">
        <v>196</v>
      </c>
      <c r="C71" s="19">
        <v>8266.2226800000008</v>
      </c>
      <c r="D71" s="73">
        <f>IF(OR(7917.37696="",8266.22268=""),"-",8266.22268/7917.37696*100)</f>
        <v>104.40607693384352</v>
      </c>
      <c r="E71" s="73">
        <f>IF(7917.37696="","-",7917.37696/920807.43432*100)</f>
        <v>0.85982982596647284</v>
      </c>
      <c r="F71" s="73">
        <f>IF(8266.22268="","-",8266.22268/1290328.17958*100)</f>
        <v>0.64062947789690561</v>
      </c>
      <c r="G71" s="73">
        <f>IF(OR(864616.67853="",6303.51891="",7917.37696=""),"-",(7917.37696-6303.51891)/864616.67853*100)</f>
        <v>0.18665590082576727</v>
      </c>
      <c r="H71" s="73">
        <f>IF(OR(920807.43432="",8266.22268="",7917.37696=""),"-",(8266.22268-7917.37696)/920807.43432*100)</f>
        <v>3.7884763632215629E-2</v>
      </c>
    </row>
    <row r="72" spans="1:8" x14ac:dyDescent="0.25">
      <c r="A72" s="22" t="s">
        <v>273</v>
      </c>
      <c r="B72" s="23" t="s">
        <v>171</v>
      </c>
      <c r="C72" s="19">
        <v>11411.82929</v>
      </c>
      <c r="D72" s="73">
        <f>IF(OR(9805.87142="",11411.82929=""),"-",11411.82929/9805.87142*100)</f>
        <v>116.37751303494046</v>
      </c>
      <c r="E72" s="73">
        <f>IF(9805.87142="","-",9805.87142/920807.43432*100)</f>
        <v>1.0649209655047434</v>
      </c>
      <c r="F72" s="73">
        <f>IF(11411.82929="","-",11411.82929/1290328.17958*100)</f>
        <v>0.88441293235295648</v>
      </c>
      <c r="G72" s="73">
        <f>IF(OR(864616.67853="",7355.26418="",9805.87142=""),"-",(9805.87142-7355.26418)/864616.67853*100)</f>
        <v>0.28343279754520367</v>
      </c>
      <c r="H72" s="73">
        <f>IF(OR(920807.43432="",11411.82929="",9805.87142=""),"-",(11411.82929-9805.87142)/920807.43432*100)</f>
        <v>0.17440756993735304</v>
      </c>
    </row>
    <row r="73" spans="1:8" x14ac:dyDescent="0.25">
      <c r="A73" s="22" t="s">
        <v>274</v>
      </c>
      <c r="B73" s="23" t="s">
        <v>172</v>
      </c>
      <c r="C73" s="19">
        <v>2531.96911</v>
      </c>
      <c r="D73" s="73">
        <f>IF(OR(1754.4071="",2531.96911=""),"-",2531.96911/1754.4071*100)</f>
        <v>144.32050064092877</v>
      </c>
      <c r="E73" s="73">
        <f>IF(1754.4071="","-",1754.4071/920807.43432*100)</f>
        <v>0.19052920671688522</v>
      </c>
      <c r="F73" s="73">
        <f>IF(2531.96911="","-",2531.96911/1290328.17958*100)</f>
        <v>0.19622675456287039</v>
      </c>
      <c r="G73" s="73">
        <f>IF(OR(864616.67853="",1865.75846="",1754.4071=""),"-",(1754.4071-1865.75846)/864616.67853*100)</f>
        <v>-1.2878696741001682E-2</v>
      </c>
      <c r="H73" s="73">
        <f>IF(OR(920807.43432="",2531.96911="",1754.4071=""),"-",(2531.96911-1754.4071)/920807.43432*100)</f>
        <v>8.4443498284113655E-2</v>
      </c>
    </row>
    <row r="74" spans="1:8" x14ac:dyDescent="0.25">
      <c r="A74" s="22" t="s">
        <v>275</v>
      </c>
      <c r="B74" s="23" t="s">
        <v>173</v>
      </c>
      <c r="C74" s="19">
        <v>27300.324540000001</v>
      </c>
      <c r="D74" s="73">
        <f>IF(OR(25314.80239="",27300.32454=""),"-",27300.32454/25314.80239*100)</f>
        <v>107.84332470548668</v>
      </c>
      <c r="E74" s="73">
        <f>IF(25314.80239="","-",25314.80239/920807.43432*100)</f>
        <v>2.7491961344441722</v>
      </c>
      <c r="F74" s="73">
        <f>IF(27300.32454="","-",27300.32454/1290328.17958*100)</f>
        <v>2.1157659711722498</v>
      </c>
      <c r="G74" s="73">
        <f>IF(OR(864616.67853="",22401.65347="",25314.80239=""),"-",(25314.80239-22401.65347)/864616.67853*100)</f>
        <v>0.33692953100937906</v>
      </c>
      <c r="H74" s="73">
        <f>IF(OR(920807.43432="",27300.32454="",25314.80239=""),"-",(27300.32454-25314.80239)/920807.43432*100)</f>
        <v>0.21562837961514436</v>
      </c>
    </row>
    <row r="75" spans="1:8" x14ac:dyDescent="0.25">
      <c r="A75" s="22" t="s">
        <v>276</v>
      </c>
      <c r="B75" s="23" t="s">
        <v>174</v>
      </c>
      <c r="C75" s="19">
        <v>9111.5828899999997</v>
      </c>
      <c r="D75" s="73">
        <f>IF(OR(7404.03332="",9111.58289=""),"-",9111.58289/7404.03332*100)</f>
        <v>123.06242417072212</v>
      </c>
      <c r="E75" s="73">
        <f>IF(7404.03332="","-",7404.03332/920807.43432*100)</f>
        <v>0.80408053237186849</v>
      </c>
      <c r="F75" s="73">
        <f>IF(9111.58289="","-",9111.58289/1290328.17958*100)</f>
        <v>0.70614460989031547</v>
      </c>
      <c r="G75" s="73">
        <f>IF(OR(864616.67853="",8053.46197="",7404.03332=""),"-",(7404.03332-8053.46197)/864616.67853*100)</f>
        <v>-7.5111742131107551E-2</v>
      </c>
      <c r="H75" s="73">
        <f>IF(OR(920807.43432="",9111.58289="",7404.03332=""),"-",(9111.58289-7404.03332)/920807.43432*100)</f>
        <v>0.185440463049801</v>
      </c>
    </row>
    <row r="76" spans="1:8" ht="25.5" x14ac:dyDescent="0.25">
      <c r="A76" s="22" t="s">
        <v>277</v>
      </c>
      <c r="B76" s="23" t="s">
        <v>197</v>
      </c>
      <c r="C76" s="19">
        <v>9503.3045999999995</v>
      </c>
      <c r="D76" s="73">
        <f>IF(OR(11737.12338="",9503.3046=""),"-",9503.3046/11737.12338*100)</f>
        <v>80.967919415361877</v>
      </c>
      <c r="E76" s="73">
        <f>IF(11737.12338="","-",11737.12338/920807.43432*100)</f>
        <v>1.2746555840600546</v>
      </c>
      <c r="F76" s="73">
        <f>IF(9503.3046="","-",9503.3046/1290328.17958*100)</f>
        <v>0.73650291068535068</v>
      </c>
      <c r="G76" s="73">
        <f>IF(OR(864616.67853="",8381.04231="",11737.12338=""),"-",(11737.12338-8381.04231)/864616.67853*100)</f>
        <v>0.38815826172887691</v>
      </c>
      <c r="H76" s="73">
        <f>IF(OR(920807.43432="",9503.3046="",11737.12338=""),"-",(9503.3046-11737.12338)/920807.43432*100)</f>
        <v>-0.24259347793489927</v>
      </c>
    </row>
    <row r="77" spans="1:8" ht="25.5" x14ac:dyDescent="0.25">
      <c r="A77" s="22" t="s">
        <v>278</v>
      </c>
      <c r="B77" s="23" t="s">
        <v>175</v>
      </c>
      <c r="C77" s="19">
        <v>1859.9877899999999</v>
      </c>
      <c r="D77" s="73">
        <f>IF(OR(1827.53513="",1859.98779=""),"-",1859.98779/1827.53513*100)</f>
        <v>101.77576121341099</v>
      </c>
      <c r="E77" s="73">
        <f>IF(1827.53513="","-",1827.53513/920807.43432*100)</f>
        <v>0.19847093560333839</v>
      </c>
      <c r="F77" s="73">
        <f>IF(1859.98779="","-",1859.98779/1290328.17958*100)</f>
        <v>0.14414842823981597</v>
      </c>
      <c r="G77" s="73">
        <f>IF(OR(864616.67853="",2329.90526="",1827.53513=""),"-",(1827.53513-2329.90526)/864616.67853*100)</f>
        <v>-5.8103219897876285E-2</v>
      </c>
      <c r="H77" s="73">
        <f>IF(OR(920807.43432="",1859.98779="",1827.53513=""),"-",(1859.98779-1827.53513)/920807.43432*100)</f>
        <v>3.5243698943379664E-3</v>
      </c>
    </row>
    <row r="78" spans="1:8" x14ac:dyDescent="0.25">
      <c r="A78" s="22" t="s">
        <v>279</v>
      </c>
      <c r="B78" s="23" t="s">
        <v>34</v>
      </c>
      <c r="C78" s="19">
        <v>41544.798040000001</v>
      </c>
      <c r="D78" s="73">
        <f>IF(OR(38077.94195="",41544.79804=""),"-",41544.79804/38077.94195*100)</f>
        <v>109.10463095550782</v>
      </c>
      <c r="E78" s="73">
        <f>IF(38077.94195="","-",38077.94195/920807.43432*100)</f>
        <v>4.135277424005583</v>
      </c>
      <c r="F78" s="73">
        <f>IF(41544.79804="","-",41544.79804/1290328.17958*100)</f>
        <v>3.219707877225682</v>
      </c>
      <c r="G78" s="73">
        <f>IF(OR(864616.67853="",34269.52968="",38077.94195=""),"-",(38077.94195-34269.52968)/864616.67853*100)</f>
        <v>0.44047406955819651</v>
      </c>
      <c r="H78" s="73">
        <f>IF(OR(920807.43432="",41544.79804="",38077.94195=""),"-",(41544.79804-38077.94195)/920807.43432*100)</f>
        <v>0.37650174844213902</v>
      </c>
    </row>
    <row r="79" spans="1:8" ht="25.5" x14ac:dyDescent="0.25">
      <c r="A79" s="79" t="s">
        <v>283</v>
      </c>
      <c r="B79" s="80" t="s">
        <v>176</v>
      </c>
      <c r="C79" s="18">
        <v>210.25640999999999</v>
      </c>
      <c r="D79" s="62" t="s">
        <v>320</v>
      </c>
      <c r="E79" s="62">
        <f>IF(43.89758="","-",43.89758/920807.43432*100)</f>
        <v>4.7672920921210393E-3</v>
      </c>
      <c r="F79" s="62">
        <f>IF(210.25641="","-",210.25641/1290328.17958*100)</f>
        <v>1.6294801069014719E-2</v>
      </c>
      <c r="G79" s="62">
        <f>IF(864616.67853="","-",(43.89758-58.7819)/864616.67853*100)</f>
        <v>-1.7214935091589903E-3</v>
      </c>
      <c r="H79" s="62">
        <f>IF(920807.43432="","-",(210.25641-43.89758)/920807.43432*100)</f>
        <v>1.8066625420205588E-2</v>
      </c>
    </row>
    <row r="80" spans="1:8" x14ac:dyDescent="0.25">
      <c r="A80" s="22" t="s">
        <v>378</v>
      </c>
      <c r="B80" s="23" t="s">
        <v>379</v>
      </c>
      <c r="C80" s="19">
        <v>116.96579</v>
      </c>
      <c r="D80" s="73" t="str">
        <f>IF(OR(""="",116.96579=""),"-",116.96579/""*100)</f>
        <v>-</v>
      </c>
      <c r="E80" s="73" t="str">
        <f>IF(""="","-",""/920807.43432*100)</f>
        <v>-</v>
      </c>
      <c r="F80" s="73">
        <f>IF(116.96579="","-",116.96579/1290328.17958*100)</f>
        <v>9.0648093912102431E-3</v>
      </c>
      <c r="G80" s="73" t="str">
        <f>IF(OR(864616.67853="",""="",""=""),"-",(""-"")/864616.67853*100)</f>
        <v>-</v>
      </c>
      <c r="H80" s="73" t="str">
        <f>IF(OR(920807.43432="",116.96579="",""=""),"-",(116.96579-"")/920807.43432*100)</f>
        <v>-</v>
      </c>
    </row>
    <row r="81" spans="1:11" ht="25.5" x14ac:dyDescent="0.25">
      <c r="A81" s="105" t="s">
        <v>390</v>
      </c>
      <c r="B81" s="109" t="s">
        <v>391</v>
      </c>
      <c r="C81" s="90">
        <v>93.290620000000004</v>
      </c>
      <c r="D81" s="91" t="s">
        <v>92</v>
      </c>
      <c r="E81" s="91">
        <f>IF(43.89758="","-",43.89758/920807.43432*100)</f>
        <v>4.7672920921210393E-3</v>
      </c>
      <c r="F81" s="91">
        <f>IF(93.29062="","-",93.29062/1290328.17958*100)</f>
        <v>7.2299916778044765E-3</v>
      </c>
      <c r="G81" s="91">
        <f>IF(OR(864616.67853="",58.7819="",43.89758=""),"-",(43.89758-58.7819)/864616.67853*100)</f>
        <v>-1.7214935091589903E-3</v>
      </c>
      <c r="H81" s="91">
        <f>IF(OR(920807.43432="",93.29062="",43.89758=""),"-",(93.29062-43.89758)/920807.43432*100)</f>
        <v>5.3641009139414574E-3</v>
      </c>
    </row>
    <row r="82" spans="1:11" x14ac:dyDescent="0.25">
      <c r="A82" s="51" t="s">
        <v>286</v>
      </c>
      <c r="B82" s="61"/>
      <c r="C82" s="35"/>
      <c r="D82" s="50"/>
      <c r="E82" s="50"/>
      <c r="F82" s="50"/>
      <c r="G82" s="50"/>
      <c r="H82" s="50"/>
      <c r="I82" s="1"/>
      <c r="J82" s="1"/>
      <c r="K82" s="1"/>
    </row>
    <row r="83" spans="1:11" x14ac:dyDescent="0.25">
      <c r="A83" s="116" t="s">
        <v>309</v>
      </c>
      <c r="B83" s="116"/>
      <c r="C83" s="116"/>
      <c r="D83" s="116"/>
      <c r="E83" s="116"/>
    </row>
  </sheetData>
  <mergeCells count="12">
    <mergeCell ref="A83:E83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5"/>
  <sheetViews>
    <sheetView topLeftCell="A70" zoomScale="99" zoomScaleNormal="99" workbookViewId="0">
      <selection activeCell="E53" sqref="E53"/>
    </sheetView>
  </sheetViews>
  <sheetFormatPr defaultRowHeight="15.75" x14ac:dyDescent="0.25"/>
  <cols>
    <col min="1" max="1" width="7" customWidth="1"/>
    <col min="2" max="2" width="35.625" customWidth="1"/>
    <col min="3" max="4" width="13.5" customWidth="1"/>
    <col min="5" max="5" width="15.375" customWidth="1"/>
    <col min="6" max="6" width="12.25" bestFit="1" customWidth="1"/>
    <col min="7" max="7" width="12.125" bestFit="1" customWidth="1"/>
  </cols>
  <sheetData>
    <row r="1" spans="1:7" x14ac:dyDescent="0.25">
      <c r="B1" s="130" t="s">
        <v>131</v>
      </c>
      <c r="C1" s="130"/>
      <c r="D1" s="130"/>
      <c r="E1" s="130"/>
    </row>
    <row r="2" spans="1:7" x14ac:dyDescent="0.25">
      <c r="B2" s="130" t="s">
        <v>285</v>
      </c>
      <c r="C2" s="130"/>
      <c r="D2" s="130"/>
      <c r="E2" s="130"/>
    </row>
    <row r="3" spans="1:7" x14ac:dyDescent="0.25">
      <c r="B3" s="5"/>
    </row>
    <row r="4" spans="1:7" ht="21" customHeight="1" x14ac:dyDescent="0.25">
      <c r="A4" s="131" t="s">
        <v>284</v>
      </c>
      <c r="B4" s="131"/>
      <c r="C4" s="135" t="s">
        <v>336</v>
      </c>
      <c r="D4" s="136"/>
      <c r="E4" s="133" t="s">
        <v>339</v>
      </c>
      <c r="F4" s="1"/>
    </row>
    <row r="5" spans="1:7" ht="27" customHeight="1" x14ac:dyDescent="0.25">
      <c r="A5" s="132"/>
      <c r="B5" s="132"/>
      <c r="C5" s="84" t="s">
        <v>334</v>
      </c>
      <c r="D5" s="85" t="s">
        <v>335</v>
      </c>
      <c r="E5" s="134"/>
      <c r="F5" s="1"/>
    </row>
    <row r="6" spans="1:7" ht="28.5" x14ac:dyDescent="0.25">
      <c r="A6" s="110"/>
      <c r="B6" s="34" t="s">
        <v>293</v>
      </c>
      <c r="C6" s="111">
        <v>-495335.17267</v>
      </c>
      <c r="D6" s="112">
        <v>-623363.48829000001</v>
      </c>
      <c r="E6" s="113">
        <f>IF(-495335.17267="","-",-623363.48829/-495335.17267*100)</f>
        <v>125.84680488766634</v>
      </c>
      <c r="G6" s="15"/>
    </row>
    <row r="7" spans="1:7" x14ac:dyDescent="0.25">
      <c r="A7" s="110"/>
      <c r="B7" s="24" t="s">
        <v>121</v>
      </c>
      <c r="E7" s="114"/>
    </row>
    <row r="8" spans="1:7" x14ac:dyDescent="0.25">
      <c r="A8" s="20" t="s">
        <v>211</v>
      </c>
      <c r="B8" s="21" t="s">
        <v>177</v>
      </c>
      <c r="C8" s="28">
        <v>-32477.781879999999</v>
      </c>
      <c r="D8" s="28">
        <v>72551.699389999994</v>
      </c>
      <c r="E8" s="69" t="s">
        <v>21</v>
      </c>
      <c r="F8" s="15"/>
    </row>
    <row r="9" spans="1:7" x14ac:dyDescent="0.25">
      <c r="A9" s="22" t="s">
        <v>212</v>
      </c>
      <c r="B9" s="23" t="s">
        <v>22</v>
      </c>
      <c r="C9" s="30">
        <v>1598.4142300000001</v>
      </c>
      <c r="D9" s="30">
        <v>-531.06564000000003</v>
      </c>
      <c r="E9" s="76" t="s">
        <v>21</v>
      </c>
    </row>
    <row r="10" spans="1:7" x14ac:dyDescent="0.25">
      <c r="A10" s="22" t="s">
        <v>213</v>
      </c>
      <c r="B10" s="23" t="s">
        <v>178</v>
      </c>
      <c r="C10" s="30">
        <v>-5585.3086999999996</v>
      </c>
      <c r="D10" s="30">
        <v>-21251.012760000001</v>
      </c>
      <c r="E10" s="76" t="s">
        <v>348</v>
      </c>
    </row>
    <row r="11" spans="1:7" x14ac:dyDescent="0.25">
      <c r="A11" s="22" t="s">
        <v>214</v>
      </c>
      <c r="B11" s="23" t="s">
        <v>179</v>
      </c>
      <c r="C11" s="30">
        <v>-12398.720230000001</v>
      </c>
      <c r="D11" s="30">
        <v>-17238.068780000001</v>
      </c>
      <c r="E11" s="76">
        <f>IF(OR(-12398.72023="",-17238.06878="",-12398.72023=0,-17238.06878=0),"-",-17238.06878/-12398.72023*100)</f>
        <v>139.03103272135047</v>
      </c>
    </row>
    <row r="12" spans="1:7" x14ac:dyDescent="0.25">
      <c r="A12" s="22" t="s">
        <v>215</v>
      </c>
      <c r="B12" s="23" t="s">
        <v>180</v>
      </c>
      <c r="C12" s="30">
        <v>-9848.3457799999996</v>
      </c>
      <c r="D12" s="30">
        <v>-12832.783380000001</v>
      </c>
      <c r="E12" s="76">
        <f>IF(OR(-9848.34578="",-12832.78338="",-9848.34578=0,-12832.78338=0),"-",-12832.78338/-9848.34578*100)</f>
        <v>130.30394816214505</v>
      </c>
    </row>
    <row r="13" spans="1:7" x14ac:dyDescent="0.25">
      <c r="A13" s="22" t="s">
        <v>216</v>
      </c>
      <c r="B13" s="23" t="s">
        <v>181</v>
      </c>
      <c r="C13" s="30">
        <v>1977.6692700000001</v>
      </c>
      <c r="D13" s="30">
        <v>106441.77</v>
      </c>
      <c r="E13" s="76" t="s">
        <v>393</v>
      </c>
    </row>
    <row r="14" spans="1:7" x14ac:dyDescent="0.25">
      <c r="A14" s="22" t="s">
        <v>217</v>
      </c>
      <c r="B14" s="23" t="s">
        <v>182</v>
      </c>
      <c r="C14" s="30">
        <v>16690.34679</v>
      </c>
      <c r="D14" s="30">
        <v>31967.029200000001</v>
      </c>
      <c r="E14" s="76" t="s">
        <v>102</v>
      </c>
    </row>
    <row r="15" spans="1:7" x14ac:dyDescent="0.25">
      <c r="A15" s="22" t="s">
        <v>218</v>
      </c>
      <c r="B15" s="23" t="s">
        <v>140</v>
      </c>
      <c r="C15" s="30">
        <v>-3395.6092800000001</v>
      </c>
      <c r="D15" s="30">
        <v>4114.8754600000002</v>
      </c>
      <c r="E15" s="76" t="s">
        <v>21</v>
      </c>
    </row>
    <row r="16" spans="1:7" ht="25.5" x14ac:dyDescent="0.25">
      <c r="A16" s="22" t="s">
        <v>219</v>
      </c>
      <c r="B16" s="23" t="s">
        <v>183</v>
      </c>
      <c r="C16" s="30">
        <v>-6564.35725</v>
      </c>
      <c r="D16" s="30">
        <v>-7463.2495900000004</v>
      </c>
      <c r="E16" s="76">
        <f>IF(OR(-6564.35725="",-7463.24959="",-6564.35725=0,-7463.24959=0),"-",-7463.24959/-6564.35725*100)</f>
        <v>113.69353168583261</v>
      </c>
    </row>
    <row r="17" spans="1:5" ht="25.5" x14ac:dyDescent="0.25">
      <c r="A17" s="22" t="s">
        <v>220</v>
      </c>
      <c r="B17" s="23" t="s">
        <v>141</v>
      </c>
      <c r="C17" s="30">
        <v>-2460.8490000000002</v>
      </c>
      <c r="D17" s="30">
        <v>3833.1314600000001</v>
      </c>
      <c r="E17" s="76" t="s">
        <v>21</v>
      </c>
    </row>
    <row r="18" spans="1:5" x14ac:dyDescent="0.25">
      <c r="A18" s="22" t="s">
        <v>221</v>
      </c>
      <c r="B18" s="23" t="s">
        <v>184</v>
      </c>
      <c r="C18" s="30">
        <v>-12491.021930000001</v>
      </c>
      <c r="D18" s="30">
        <v>-14488.926579999999</v>
      </c>
      <c r="E18" s="76">
        <f>IF(OR(-12491.02193="",-14488.92658="",-12491.02193=0,-14488.92658=0),"-",-14488.92658/-12491.02193*100)</f>
        <v>115.99472534109945</v>
      </c>
    </row>
    <row r="19" spans="1:5" x14ac:dyDescent="0.25">
      <c r="A19" s="20" t="s">
        <v>222</v>
      </c>
      <c r="B19" s="21" t="s">
        <v>185</v>
      </c>
      <c r="C19" s="28">
        <v>14610.077730000001</v>
      </c>
      <c r="D19" s="28">
        <v>11457.326849999999</v>
      </c>
      <c r="E19" s="69">
        <f>IF(14610.07773="","-",11457.32685/14610.07773*100)</f>
        <v>78.420711112808021</v>
      </c>
    </row>
    <row r="20" spans="1:5" x14ac:dyDescent="0.25">
      <c r="A20" s="22" t="s">
        <v>223</v>
      </c>
      <c r="B20" s="23" t="s">
        <v>186</v>
      </c>
      <c r="C20" s="30">
        <v>18426.678970000001</v>
      </c>
      <c r="D20" s="30">
        <v>14051.239740000001</v>
      </c>
      <c r="E20" s="76">
        <f>IF(OR(18426.67897="",14051.23974="",18426.67897=0,14051.23974=0),"-",14051.23974/18426.67897*100)</f>
        <v>76.254868079464885</v>
      </c>
    </row>
    <row r="21" spans="1:5" x14ac:dyDescent="0.25">
      <c r="A21" s="22" t="s">
        <v>224</v>
      </c>
      <c r="B21" s="23" t="s">
        <v>187</v>
      </c>
      <c r="C21" s="30">
        <v>-3816.60124</v>
      </c>
      <c r="D21" s="30">
        <v>-2593.9128900000001</v>
      </c>
      <c r="E21" s="76">
        <f>IF(OR(-3816.60124="",-2593.91289="",-3816.60124=0,-2593.91289=0),"-",-2593.91289/-3816.60124*100)</f>
        <v>67.963948206441387</v>
      </c>
    </row>
    <row r="22" spans="1:5" ht="25.5" x14ac:dyDescent="0.25">
      <c r="A22" s="20" t="s">
        <v>225</v>
      </c>
      <c r="B22" s="21" t="s">
        <v>23</v>
      </c>
      <c r="C22" s="28">
        <v>22268.585859999999</v>
      </c>
      <c r="D22" s="28">
        <v>52683.867819999999</v>
      </c>
      <c r="E22" s="69" t="s">
        <v>289</v>
      </c>
    </row>
    <row r="23" spans="1:5" x14ac:dyDescent="0.25">
      <c r="A23" s="22" t="s">
        <v>226</v>
      </c>
      <c r="B23" s="23" t="s">
        <v>194</v>
      </c>
      <c r="C23" s="30">
        <v>247.37066999999999</v>
      </c>
      <c r="D23" s="30">
        <v>240.81062</v>
      </c>
      <c r="E23" s="76">
        <f>IF(OR(247.37067="",240.81062="",247.37067=0,240.81062=0),"-",240.81062/247.37067*100)</f>
        <v>97.34808900343765</v>
      </c>
    </row>
    <row r="24" spans="1:5" x14ac:dyDescent="0.25">
      <c r="A24" s="22" t="s">
        <v>227</v>
      </c>
      <c r="B24" s="23" t="s">
        <v>188</v>
      </c>
      <c r="C24" s="30">
        <v>25302.024010000001</v>
      </c>
      <c r="D24" s="30">
        <v>56689.912779999999</v>
      </c>
      <c r="E24" s="76" t="s">
        <v>198</v>
      </c>
    </row>
    <row r="25" spans="1:5" ht="17.25" customHeight="1" x14ac:dyDescent="0.25">
      <c r="A25" s="22" t="s">
        <v>281</v>
      </c>
      <c r="B25" s="23" t="s">
        <v>189</v>
      </c>
      <c r="C25" s="30">
        <v>-218.45997</v>
      </c>
      <c r="D25" s="30">
        <v>-396.28354999999999</v>
      </c>
      <c r="E25" s="76" t="s">
        <v>199</v>
      </c>
    </row>
    <row r="26" spans="1:5" x14ac:dyDescent="0.25">
      <c r="A26" s="22" t="s">
        <v>228</v>
      </c>
      <c r="B26" s="23" t="s">
        <v>190</v>
      </c>
      <c r="C26" s="30">
        <v>-3654.6781900000001</v>
      </c>
      <c r="D26" s="30">
        <v>-7301.7768699999997</v>
      </c>
      <c r="E26" s="76" t="s">
        <v>19</v>
      </c>
    </row>
    <row r="27" spans="1:5" x14ac:dyDescent="0.25">
      <c r="A27" s="22" t="s">
        <v>229</v>
      </c>
      <c r="B27" s="23" t="s">
        <v>142</v>
      </c>
      <c r="C27" s="30">
        <v>425.84638000000001</v>
      </c>
      <c r="D27" s="30">
        <v>734.46006</v>
      </c>
      <c r="E27" s="76" t="s">
        <v>100</v>
      </c>
    </row>
    <row r="28" spans="1:5" ht="38.25" x14ac:dyDescent="0.25">
      <c r="A28" s="22" t="s">
        <v>230</v>
      </c>
      <c r="B28" s="23" t="s">
        <v>143</v>
      </c>
      <c r="C28" s="30">
        <v>-1193.0106599999999</v>
      </c>
      <c r="D28" s="30">
        <v>-1037.28069</v>
      </c>
      <c r="E28" s="76">
        <f>IF(OR(-1193.01066="",-1037.28069="",-1193.01066=0,-1037.28069=0),"-",-1037.28069/-1193.01066*100)</f>
        <v>86.946472883989159</v>
      </c>
    </row>
    <row r="29" spans="1:5" ht="25.5" x14ac:dyDescent="0.25">
      <c r="A29" s="22" t="s">
        <v>231</v>
      </c>
      <c r="B29" s="23" t="s">
        <v>144</v>
      </c>
      <c r="C29" s="30">
        <v>-1177.4570000000001</v>
      </c>
      <c r="D29" s="30">
        <v>-1501.6877500000001</v>
      </c>
      <c r="E29" s="76">
        <f>IF(OR(-1177.457="",-1501.68775="",-1177.457=0,-1501.68775=0),"-",-1501.68775/-1177.457*100)</f>
        <v>127.5365257499849</v>
      </c>
    </row>
    <row r="30" spans="1:5" x14ac:dyDescent="0.25">
      <c r="A30" s="22" t="s">
        <v>232</v>
      </c>
      <c r="B30" s="23" t="s">
        <v>145</v>
      </c>
      <c r="C30" s="30">
        <v>9693.21911</v>
      </c>
      <c r="D30" s="30">
        <v>11750.25338</v>
      </c>
      <c r="E30" s="76">
        <f>IF(OR(9693.21911="",11750.25338="",9693.21911=0,11750.25338=0),"-",11750.25338/9693.21911*100)</f>
        <v>121.22137389711807</v>
      </c>
    </row>
    <row r="31" spans="1:5" x14ac:dyDescent="0.25">
      <c r="A31" s="22" t="s">
        <v>233</v>
      </c>
      <c r="B31" s="23" t="s">
        <v>146</v>
      </c>
      <c r="C31" s="30">
        <v>-7156.2684900000004</v>
      </c>
      <c r="D31" s="30">
        <v>-6494.5401599999996</v>
      </c>
      <c r="E31" s="76">
        <f>IF(OR(-7156.26849="",-6494.54016="",-7156.26849=0,-6494.54016=0),"-",-6494.54016/-7156.26849*100)</f>
        <v>90.753165131734733</v>
      </c>
    </row>
    <row r="32" spans="1:5" ht="15.75" customHeight="1" x14ac:dyDescent="0.25">
      <c r="A32" s="20" t="s">
        <v>234</v>
      </c>
      <c r="B32" s="21" t="s">
        <v>147</v>
      </c>
      <c r="C32" s="28">
        <v>-116297.08435</v>
      </c>
      <c r="D32" s="28">
        <v>-346636.69176000002</v>
      </c>
      <c r="E32" s="69" t="s">
        <v>297</v>
      </c>
    </row>
    <row r="33" spans="1:5" x14ac:dyDescent="0.25">
      <c r="A33" s="22" t="s">
        <v>235</v>
      </c>
      <c r="B33" s="23" t="s">
        <v>191</v>
      </c>
      <c r="C33" s="30">
        <v>-842.14382999999998</v>
      </c>
      <c r="D33" s="30">
        <v>-3392.12943</v>
      </c>
      <c r="E33" s="76" t="s">
        <v>327</v>
      </c>
    </row>
    <row r="34" spans="1:5" x14ac:dyDescent="0.25">
      <c r="A34" s="22" t="s">
        <v>236</v>
      </c>
      <c r="B34" s="23" t="s">
        <v>148</v>
      </c>
      <c r="C34" s="30">
        <v>-61305.62801</v>
      </c>
      <c r="D34" s="30">
        <v>-120647.03604000001</v>
      </c>
      <c r="E34" s="76" t="s">
        <v>19</v>
      </c>
    </row>
    <row r="35" spans="1:5" x14ac:dyDescent="0.25">
      <c r="A35" s="22" t="s">
        <v>282</v>
      </c>
      <c r="B35" s="23" t="s">
        <v>192</v>
      </c>
      <c r="C35" s="30">
        <v>-54149.84519</v>
      </c>
      <c r="D35" s="30">
        <v>-222597.23887999999</v>
      </c>
      <c r="E35" s="76" t="s">
        <v>322</v>
      </c>
    </row>
    <row r="36" spans="1:5" x14ac:dyDescent="0.25">
      <c r="A36" s="22" t="s">
        <v>290</v>
      </c>
      <c r="B36" s="23" t="s">
        <v>292</v>
      </c>
      <c r="C36" s="30">
        <v>0.53268000000000004</v>
      </c>
      <c r="D36" s="30">
        <v>-0.28741</v>
      </c>
      <c r="E36" s="76" t="s">
        <v>21</v>
      </c>
    </row>
    <row r="37" spans="1:5" ht="25.5" x14ac:dyDescent="0.25">
      <c r="A37" s="20" t="s">
        <v>237</v>
      </c>
      <c r="B37" s="21" t="s">
        <v>149</v>
      </c>
      <c r="C37" s="28">
        <v>6030.0284499999998</v>
      </c>
      <c r="D37" s="28">
        <v>52173.239829999999</v>
      </c>
      <c r="E37" s="69" t="s">
        <v>394</v>
      </c>
    </row>
    <row r="38" spans="1:5" x14ac:dyDescent="0.25">
      <c r="A38" s="22" t="s">
        <v>238</v>
      </c>
      <c r="B38" s="23" t="s">
        <v>195</v>
      </c>
      <c r="C38" s="30">
        <v>-179.61229</v>
      </c>
      <c r="D38" s="30">
        <v>-231.76012</v>
      </c>
      <c r="E38" s="76">
        <f>IF(OR(-179.61229="",-231.76012="",-179.61229=0,-231.76012=0),"-",-231.76012/-179.61229*100)</f>
        <v>129.03355332755905</v>
      </c>
    </row>
    <row r="39" spans="1:5" ht="14.25" customHeight="1" x14ac:dyDescent="0.25">
      <c r="A39" s="22" t="s">
        <v>239</v>
      </c>
      <c r="B39" s="23" t="s">
        <v>150</v>
      </c>
      <c r="C39" s="30">
        <v>6507.8015999999998</v>
      </c>
      <c r="D39" s="30">
        <v>52673.721559999998</v>
      </c>
      <c r="E39" s="76" t="s">
        <v>395</v>
      </c>
    </row>
    <row r="40" spans="1:5" ht="51" x14ac:dyDescent="0.25">
      <c r="A40" s="22" t="s">
        <v>240</v>
      </c>
      <c r="B40" s="23" t="s">
        <v>193</v>
      </c>
      <c r="C40" s="30">
        <v>-298.16086000000001</v>
      </c>
      <c r="D40" s="30">
        <v>-268.72161</v>
      </c>
      <c r="E40" s="76">
        <f>IF(OR(-298.16086="",-268.72161="",-298.16086=0,-268.72161=0),"-",-268.72161/-298.16086*100)</f>
        <v>90.126386810126576</v>
      </c>
    </row>
    <row r="41" spans="1:5" ht="15" customHeight="1" x14ac:dyDescent="0.25">
      <c r="A41" s="20" t="s">
        <v>241</v>
      </c>
      <c r="B41" s="21" t="s">
        <v>151</v>
      </c>
      <c r="C41" s="28">
        <v>-117189.96204</v>
      </c>
      <c r="D41" s="28">
        <v>-144894.28758</v>
      </c>
      <c r="E41" s="69">
        <f>IF(-117189.96204="","-",-144894.28758/-117189.96204*100)</f>
        <v>123.64052778730638</v>
      </c>
    </row>
    <row r="42" spans="1:5" x14ac:dyDescent="0.25">
      <c r="A42" s="22" t="s">
        <v>242</v>
      </c>
      <c r="B42" s="23" t="s">
        <v>24</v>
      </c>
      <c r="C42" s="30">
        <v>2403.0239999999999</v>
      </c>
      <c r="D42" s="30">
        <v>4824.4100600000002</v>
      </c>
      <c r="E42" s="76" t="s">
        <v>19</v>
      </c>
    </row>
    <row r="43" spans="1:5" x14ac:dyDescent="0.25">
      <c r="A43" s="22" t="s">
        <v>243</v>
      </c>
      <c r="B43" s="23" t="s">
        <v>25</v>
      </c>
      <c r="C43" s="30">
        <v>-2212.8444500000001</v>
      </c>
      <c r="D43" s="30">
        <v>-2624.2926000000002</v>
      </c>
      <c r="E43" s="76">
        <f>IF(OR(-2212.84445="",-2624.2926="",-2212.84445=0,-2624.2926=0),"-",-2624.2926/-2212.84445*100)</f>
        <v>118.59363182983785</v>
      </c>
    </row>
    <row r="44" spans="1:5" x14ac:dyDescent="0.25">
      <c r="A44" s="22" t="s">
        <v>244</v>
      </c>
      <c r="B44" s="23" t="s">
        <v>152</v>
      </c>
      <c r="C44" s="30">
        <v>-3882.6859399999998</v>
      </c>
      <c r="D44" s="30">
        <v>-5727.13051</v>
      </c>
      <c r="E44" s="76">
        <f>IF(OR(-3882.68594="",-5727.13051="",-3882.68594=0,-5727.13051=0),"-",-5727.13051/-3882.68594*100)</f>
        <v>147.50434617949037</v>
      </c>
    </row>
    <row r="45" spans="1:5" x14ac:dyDescent="0.25">
      <c r="A45" s="22" t="s">
        <v>245</v>
      </c>
      <c r="B45" s="23" t="s">
        <v>153</v>
      </c>
      <c r="C45" s="30">
        <v>-32046.954450000001</v>
      </c>
      <c r="D45" s="30">
        <v>-35057.949610000003</v>
      </c>
      <c r="E45" s="76">
        <f>IF(OR(-32046.95445="",-35057.94961="",-32046.95445=0,-35057.94961=0),"-",-35057.94961/-32046.95445*100)</f>
        <v>109.3955735004329</v>
      </c>
    </row>
    <row r="46" spans="1:5" ht="38.25" x14ac:dyDescent="0.25">
      <c r="A46" s="22" t="s">
        <v>246</v>
      </c>
      <c r="B46" s="23" t="s">
        <v>154</v>
      </c>
      <c r="C46" s="30">
        <v>-18110.315900000001</v>
      </c>
      <c r="D46" s="30">
        <v>-18939.967499999999</v>
      </c>
      <c r="E46" s="76">
        <f>IF(OR(-18110.3159="",-18939.9675="",-18110.3159=0,-18939.9675=0),"-",-18939.9675/-18110.3159*100)</f>
        <v>104.58109954890405</v>
      </c>
    </row>
    <row r="47" spans="1:5" x14ac:dyDescent="0.25">
      <c r="A47" s="22" t="s">
        <v>247</v>
      </c>
      <c r="B47" s="23" t="s">
        <v>155</v>
      </c>
      <c r="C47" s="30">
        <v>-12908.32051</v>
      </c>
      <c r="D47" s="30">
        <v>-31124.871459999998</v>
      </c>
      <c r="E47" s="76" t="s">
        <v>289</v>
      </c>
    </row>
    <row r="48" spans="1:5" x14ac:dyDescent="0.25">
      <c r="A48" s="22" t="s">
        <v>248</v>
      </c>
      <c r="B48" s="23" t="s">
        <v>26</v>
      </c>
      <c r="C48" s="30">
        <v>-6533.5064000000002</v>
      </c>
      <c r="D48" s="30">
        <v>-10447.8172</v>
      </c>
      <c r="E48" s="76" t="s">
        <v>101</v>
      </c>
    </row>
    <row r="49" spans="1:5" x14ac:dyDescent="0.25">
      <c r="A49" s="22" t="s">
        <v>249</v>
      </c>
      <c r="B49" s="23" t="s">
        <v>27</v>
      </c>
      <c r="C49" s="30">
        <v>-18299.774089999999</v>
      </c>
      <c r="D49" s="30">
        <v>-19533.12052</v>
      </c>
      <c r="E49" s="76">
        <f>IF(OR(-18299.77409="",-19533.12052="",-18299.77409=0,-19533.12052=0),"-",-19533.12052/-18299.77409*100)</f>
        <v>106.73968117821721</v>
      </c>
    </row>
    <row r="50" spans="1:5" x14ac:dyDescent="0.25">
      <c r="A50" s="22" t="s">
        <v>250</v>
      </c>
      <c r="B50" s="23" t="s">
        <v>156</v>
      </c>
      <c r="C50" s="30">
        <v>-25598.584299999999</v>
      </c>
      <c r="D50" s="30">
        <v>-26263.54824</v>
      </c>
      <c r="E50" s="76">
        <f>IF(OR(-25598.5843="",-26263.54824="",-25598.5843=0,-26263.54824=0),"-",-26263.54824/-25598.5843*100)</f>
        <v>102.59765904319951</v>
      </c>
    </row>
    <row r="51" spans="1:5" ht="25.5" x14ac:dyDescent="0.25">
      <c r="A51" s="20" t="s">
        <v>251</v>
      </c>
      <c r="B51" s="21" t="s">
        <v>324</v>
      </c>
      <c r="C51" s="28">
        <v>-128992.08039</v>
      </c>
      <c r="D51" s="28">
        <v>-138538.58205999999</v>
      </c>
      <c r="E51" s="69">
        <f>IF(-128992.08039="","-",-138538.58206/-128992.08039*100)</f>
        <v>107.40084324645103</v>
      </c>
    </row>
    <row r="52" spans="1:5" x14ac:dyDescent="0.25">
      <c r="A52" s="22" t="s">
        <v>252</v>
      </c>
      <c r="B52" s="23" t="s">
        <v>157</v>
      </c>
      <c r="C52" s="30">
        <v>-9454.8818300000003</v>
      </c>
      <c r="D52" s="30">
        <v>-8126.2448999999997</v>
      </c>
      <c r="E52" s="76">
        <f>IF(OR(-9454.88183="",-8126.2449="",-9454.88183=0,-8126.2449=0),"-",-8126.2449/-9454.88183*100)</f>
        <v>85.947609352617363</v>
      </c>
    </row>
    <row r="53" spans="1:5" x14ac:dyDescent="0.25">
      <c r="A53" s="22" t="s">
        <v>253</v>
      </c>
      <c r="B53" s="23" t="s">
        <v>28</v>
      </c>
      <c r="C53" s="30">
        <v>-8477.6038900000003</v>
      </c>
      <c r="D53" s="30">
        <v>-13009.17496</v>
      </c>
      <c r="E53" s="76">
        <f>IF(OR(-8477.60389="",-13009.17496="",-8477.60389=0,-13009.17496=0),"-",-13009.17496/-8477.60389*100)</f>
        <v>153.45344190173057</v>
      </c>
    </row>
    <row r="54" spans="1:5" x14ac:dyDescent="0.25">
      <c r="A54" s="22" t="s">
        <v>254</v>
      </c>
      <c r="B54" s="23" t="s">
        <v>158</v>
      </c>
      <c r="C54" s="30">
        <v>-9722.1219299999993</v>
      </c>
      <c r="D54" s="30">
        <v>-10435.756100000001</v>
      </c>
      <c r="E54" s="76">
        <f>IF(OR(-9722.12193="",-10435.7561="",-9722.12193=0,-10435.7561=0),"-",-10435.7561/-9722.12193*100)</f>
        <v>107.34031289813295</v>
      </c>
    </row>
    <row r="55" spans="1:5" ht="25.5" x14ac:dyDescent="0.25">
      <c r="A55" s="22" t="s">
        <v>255</v>
      </c>
      <c r="B55" s="23" t="s">
        <v>159</v>
      </c>
      <c r="C55" s="30">
        <v>-13026.702579999999</v>
      </c>
      <c r="D55" s="30">
        <v>-17031.283210000001</v>
      </c>
      <c r="E55" s="76">
        <f>IF(OR(-13026.70258="",-17031.28321="",-13026.70258=0,-17031.28321=0),"-",-17031.28321/-13026.70258*100)</f>
        <v>130.74132233699927</v>
      </c>
    </row>
    <row r="56" spans="1:5" ht="25.5" x14ac:dyDescent="0.25">
      <c r="A56" s="22" t="s">
        <v>256</v>
      </c>
      <c r="B56" s="23" t="s">
        <v>160</v>
      </c>
      <c r="C56" s="30">
        <v>-30134.947810000001</v>
      </c>
      <c r="D56" s="30">
        <v>-32289.444179999999</v>
      </c>
      <c r="E56" s="76">
        <f>IF(OR(-30134.94781="",-32289.44418="",-30134.94781=0,-32289.44418=0),"-",-32289.44418/-30134.94781*100)</f>
        <v>107.14949428014289</v>
      </c>
    </row>
    <row r="57" spans="1:5" x14ac:dyDescent="0.25">
      <c r="A57" s="22" t="s">
        <v>257</v>
      </c>
      <c r="B57" s="23" t="s">
        <v>29</v>
      </c>
      <c r="C57" s="30">
        <v>-10714.04053</v>
      </c>
      <c r="D57" s="30">
        <v>-9776.8295300000009</v>
      </c>
      <c r="E57" s="76">
        <f>IF(OR(-10714.04053="",-9776.82953="",-10714.04053=0,-9776.82953=0),"-",-9776.82953/-10714.04053*100)</f>
        <v>91.252497156644608</v>
      </c>
    </row>
    <row r="58" spans="1:5" x14ac:dyDescent="0.25">
      <c r="A58" s="22" t="s">
        <v>258</v>
      </c>
      <c r="B58" s="23" t="s">
        <v>161</v>
      </c>
      <c r="C58" s="30">
        <v>-17270.688150000002</v>
      </c>
      <c r="D58" s="30">
        <v>-20964.883849999998</v>
      </c>
      <c r="E58" s="76">
        <f>IF(OR(-17270.68815="",-20964.88385="",-17270.68815=0,-20964.88385=0),"-",-20964.88385/-17270.68815*100)</f>
        <v>121.38997397159299</v>
      </c>
    </row>
    <row r="59" spans="1:5" x14ac:dyDescent="0.25">
      <c r="A59" s="22" t="s">
        <v>259</v>
      </c>
      <c r="B59" s="23" t="s">
        <v>30</v>
      </c>
      <c r="C59" s="30">
        <v>-9486.5325900000007</v>
      </c>
      <c r="D59" s="30">
        <v>-4329.8068700000003</v>
      </c>
      <c r="E59" s="76">
        <f>IF(OR(-9486.53259="",-4329.80687="",-9486.53259=0,-4329.80687=0),"-",-4329.80687/-9486.53259*100)</f>
        <v>45.641616986212242</v>
      </c>
    </row>
    <row r="60" spans="1:5" x14ac:dyDescent="0.25">
      <c r="A60" s="22" t="s">
        <v>260</v>
      </c>
      <c r="B60" s="23" t="s">
        <v>31</v>
      </c>
      <c r="C60" s="30">
        <v>-20704.561079999999</v>
      </c>
      <c r="D60" s="30">
        <v>-22575.158459999999</v>
      </c>
      <c r="E60" s="76">
        <f>IF(OR(-20704.56108="",-22575.15846="",-20704.56108=0,-22575.15846=0),"-",-22575.15846/-20704.56108*100)</f>
        <v>109.03471159215705</v>
      </c>
    </row>
    <row r="61" spans="1:5" x14ac:dyDescent="0.25">
      <c r="A61" s="20" t="s">
        <v>261</v>
      </c>
      <c r="B61" s="21" t="s">
        <v>162</v>
      </c>
      <c r="C61" s="28">
        <v>-128455.29952</v>
      </c>
      <c r="D61" s="28">
        <v>-166041.84586999999</v>
      </c>
      <c r="E61" s="69">
        <f>IF(-128455.29952="","-",-166041.84587/-128455.29952*100)</f>
        <v>129.26040925555421</v>
      </c>
    </row>
    <row r="62" spans="1:5" ht="16.5" customHeight="1" x14ac:dyDescent="0.25">
      <c r="A62" s="22" t="s">
        <v>262</v>
      </c>
      <c r="B62" s="23" t="s">
        <v>163</v>
      </c>
      <c r="C62" s="30">
        <v>-2924.3399800000002</v>
      </c>
      <c r="D62" s="30">
        <v>-3040.1519699999999</v>
      </c>
      <c r="E62" s="76">
        <f>IF(OR(-2924.33998="",-3040.15197="",-2924.33998=0,-3040.15197=0),"-",-3040.15197/-2924.33998*100)</f>
        <v>103.96027790175066</v>
      </c>
    </row>
    <row r="63" spans="1:5" ht="25.5" x14ac:dyDescent="0.25">
      <c r="A63" s="22" t="s">
        <v>263</v>
      </c>
      <c r="B63" s="23" t="s">
        <v>164</v>
      </c>
      <c r="C63" s="30">
        <v>-21352.548419999999</v>
      </c>
      <c r="D63" s="30">
        <v>-39301.33468</v>
      </c>
      <c r="E63" s="76" t="s">
        <v>199</v>
      </c>
    </row>
    <row r="64" spans="1:5" x14ac:dyDescent="0.25">
      <c r="A64" s="22" t="s">
        <v>264</v>
      </c>
      <c r="B64" s="23" t="s">
        <v>165</v>
      </c>
      <c r="C64" s="30">
        <v>-795.04570999999999</v>
      </c>
      <c r="D64" s="30">
        <v>-1763.2242799999999</v>
      </c>
      <c r="E64" s="76" t="s">
        <v>198</v>
      </c>
    </row>
    <row r="65" spans="1:5" ht="25.5" x14ac:dyDescent="0.25">
      <c r="A65" s="22" t="s">
        <v>265</v>
      </c>
      <c r="B65" s="23" t="s">
        <v>166</v>
      </c>
      <c r="C65" s="30">
        <v>-29388.458630000001</v>
      </c>
      <c r="D65" s="30">
        <v>-30181.130140000001</v>
      </c>
      <c r="E65" s="76">
        <f>IF(OR(-29388.45863="",-30181.13014="",-29388.45863=0,-30181.13014=0),"-",-30181.13014/-29388.45863*100)</f>
        <v>102.69722042921583</v>
      </c>
    </row>
    <row r="66" spans="1:5" ht="27.75" customHeight="1" x14ac:dyDescent="0.25">
      <c r="A66" s="22" t="s">
        <v>266</v>
      </c>
      <c r="B66" s="23" t="s">
        <v>167</v>
      </c>
      <c r="C66" s="30">
        <v>-11159.90136</v>
      </c>
      <c r="D66" s="30">
        <v>-13154.97509</v>
      </c>
      <c r="E66" s="76">
        <f>IF(OR(-11159.90136="",-13154.97509="",-11159.90136=0,-13154.97509=0),"-",-13154.97509/-11159.90136*100)</f>
        <v>117.87716276015543</v>
      </c>
    </row>
    <row r="67" spans="1:5" ht="29.25" customHeight="1" x14ac:dyDescent="0.25">
      <c r="A67" s="22" t="s">
        <v>267</v>
      </c>
      <c r="B67" s="23" t="s">
        <v>168</v>
      </c>
      <c r="C67" s="30">
        <v>-25554.234619999999</v>
      </c>
      <c r="D67" s="30">
        <v>-29689.83008</v>
      </c>
      <c r="E67" s="76">
        <f>IF(OR(-25554.23462="",-29689.83008="",-25554.23462=0,-29689.83008=0),"-",-29689.83008/-25554.23462*100)</f>
        <v>116.18360135413049</v>
      </c>
    </row>
    <row r="68" spans="1:5" ht="15" customHeight="1" x14ac:dyDescent="0.25">
      <c r="A68" s="22" t="s">
        <v>268</v>
      </c>
      <c r="B68" s="23" t="s">
        <v>169</v>
      </c>
      <c r="C68" s="30">
        <v>14373.518099999999</v>
      </c>
      <c r="D68" s="30">
        <v>10433.972</v>
      </c>
      <c r="E68" s="76">
        <f>IF(OR(14373.5181="",10433.972="",14373.5181=0,10433.972=0),"-",10433.972/14373.5181*100)</f>
        <v>72.591636420592124</v>
      </c>
    </row>
    <row r="69" spans="1:5" x14ac:dyDescent="0.25">
      <c r="A69" s="22" t="s">
        <v>269</v>
      </c>
      <c r="B69" s="23" t="s">
        <v>170</v>
      </c>
      <c r="C69" s="30">
        <v>-51721.380060000003</v>
      </c>
      <c r="D69" s="30">
        <v>-57320.527280000002</v>
      </c>
      <c r="E69" s="76">
        <f>IF(OR(-51721.38006="",-57320.52728="",-51721.38006=0,-57320.52728=0),"-",-57320.52728/-51721.38006*100)</f>
        <v>110.82559516684327</v>
      </c>
    </row>
    <row r="70" spans="1:5" x14ac:dyDescent="0.25">
      <c r="A70" s="22" t="s">
        <v>270</v>
      </c>
      <c r="B70" s="23" t="s">
        <v>32</v>
      </c>
      <c r="C70" s="30">
        <v>67.091160000000002</v>
      </c>
      <c r="D70" s="30">
        <v>-2024.64435</v>
      </c>
      <c r="E70" s="76" t="s">
        <v>21</v>
      </c>
    </row>
    <row r="71" spans="1:5" x14ac:dyDescent="0.25">
      <c r="A71" s="20" t="s">
        <v>271</v>
      </c>
      <c r="B71" s="21" t="s">
        <v>33</v>
      </c>
      <c r="C71" s="28">
        <v>-14787.758949999999</v>
      </c>
      <c r="D71" s="28">
        <v>-15961.104499999999</v>
      </c>
      <c r="E71" s="69">
        <f>IF(-14787.75895="","-",-15961.1045/-14787.75895*100)</f>
        <v>107.93457314233541</v>
      </c>
    </row>
    <row r="72" spans="1:5" ht="25.5" x14ac:dyDescent="0.25">
      <c r="A72" s="22" t="s">
        <v>272</v>
      </c>
      <c r="B72" s="23" t="s">
        <v>196</v>
      </c>
      <c r="C72" s="30">
        <v>-5631.4346500000001</v>
      </c>
      <c r="D72" s="30">
        <v>-6012.2677800000001</v>
      </c>
      <c r="E72" s="76">
        <f>IF(OR(-5631.43465="",-6012.26778="",-5631.43465=0,-6012.26778=0),"-",-6012.26778/-5631.43465*100)</f>
        <v>106.76263072679002</v>
      </c>
    </row>
    <row r="73" spans="1:5" x14ac:dyDescent="0.25">
      <c r="A73" s="22" t="s">
        <v>273</v>
      </c>
      <c r="B73" s="23" t="s">
        <v>171</v>
      </c>
      <c r="C73" s="30">
        <v>18104.81955</v>
      </c>
      <c r="D73" s="30">
        <v>14107.09888</v>
      </c>
      <c r="E73" s="76">
        <f>IF(OR(18104.81955="",14107.09888="",18104.81955=0,14107.09888=0),"-",14107.09888/18104.81955*100)</f>
        <v>77.919025047670246</v>
      </c>
    </row>
    <row r="74" spans="1:5" x14ac:dyDescent="0.25">
      <c r="A74" s="22" t="s">
        <v>274</v>
      </c>
      <c r="B74" s="23" t="s">
        <v>172</v>
      </c>
      <c r="C74" s="30">
        <v>584.35691999999995</v>
      </c>
      <c r="D74" s="30">
        <v>-316.74338999999998</v>
      </c>
      <c r="E74" s="76" t="s">
        <v>21</v>
      </c>
    </row>
    <row r="75" spans="1:5" x14ac:dyDescent="0.25">
      <c r="A75" s="22" t="s">
        <v>275</v>
      </c>
      <c r="B75" s="23" t="s">
        <v>173</v>
      </c>
      <c r="C75" s="30">
        <v>13173.087589999999</v>
      </c>
      <c r="D75" s="30">
        <v>17851.818449999999</v>
      </c>
      <c r="E75" s="76">
        <f>IF(OR(13173.08759="",17851.81845="",13173.08759=0,17851.81845=0),"-",17851.81845/13173.08759*100)</f>
        <v>135.51734419159055</v>
      </c>
    </row>
    <row r="76" spans="1:5" x14ac:dyDescent="0.25">
      <c r="A76" s="22" t="s">
        <v>276</v>
      </c>
      <c r="B76" s="23" t="s">
        <v>174</v>
      </c>
      <c r="C76" s="30">
        <v>-2018.5145</v>
      </c>
      <c r="D76" s="30">
        <v>-3659.8409299999998</v>
      </c>
      <c r="E76" s="76" t="s">
        <v>199</v>
      </c>
    </row>
    <row r="77" spans="1:5" ht="25.5" x14ac:dyDescent="0.25">
      <c r="A77" s="22" t="s">
        <v>277</v>
      </c>
      <c r="B77" s="23" t="s">
        <v>197</v>
      </c>
      <c r="C77" s="30">
        <v>-7960.6007900000004</v>
      </c>
      <c r="D77" s="30">
        <v>-6934.2257600000003</v>
      </c>
      <c r="E77" s="76">
        <f>IF(OR(-7960.60079="",-6934.22576="",-7960.60079=0,-6934.22576=0),"-",-6934.22576/-7960.60079*100)</f>
        <v>87.106814459414679</v>
      </c>
    </row>
    <row r="78" spans="1:5" ht="25.5" x14ac:dyDescent="0.25">
      <c r="A78" s="22" t="s">
        <v>278</v>
      </c>
      <c r="B78" s="23" t="s">
        <v>175</v>
      </c>
      <c r="C78" s="30">
        <v>-1366.40734</v>
      </c>
      <c r="D78" s="30">
        <v>-1365.8236300000001</v>
      </c>
      <c r="E78" s="76">
        <f>IF(OR(-1366.40734="",-1365.82363="",-1366.40734=0,-1365.82363=0),"-",-1365.82363/-1366.40734*100)</f>
        <v>99.95728140628988</v>
      </c>
    </row>
    <row r="79" spans="1:5" x14ac:dyDescent="0.25">
      <c r="A79" s="22" t="s">
        <v>279</v>
      </c>
      <c r="B79" s="23" t="s">
        <v>34</v>
      </c>
      <c r="C79" s="30">
        <v>-29673.065729999998</v>
      </c>
      <c r="D79" s="30">
        <v>-29631.120340000001</v>
      </c>
      <c r="E79" s="76">
        <f>IF(OR(-29673.06573="",-29631.12034="",-29673.06573=0,-29631.12034=0),"-",-29631.12034/-29673.06573*100)</f>
        <v>99.858641535789843</v>
      </c>
    </row>
    <row r="80" spans="1:5" x14ac:dyDescent="0.25">
      <c r="A80" s="79" t="s">
        <v>283</v>
      </c>
      <c r="B80" s="80" t="s">
        <v>176</v>
      </c>
      <c r="C80" s="46">
        <v>-43.897579999999998</v>
      </c>
      <c r="D80" s="28">
        <v>-157.11041</v>
      </c>
      <c r="E80" s="69" t="s">
        <v>328</v>
      </c>
    </row>
    <row r="81" spans="1:5" x14ac:dyDescent="0.25">
      <c r="A81" s="22" t="s">
        <v>378</v>
      </c>
      <c r="B81" s="23" t="s">
        <v>379</v>
      </c>
      <c r="C81" s="30" t="s">
        <v>287</v>
      </c>
      <c r="D81" s="30">
        <v>-63.819789999999998</v>
      </c>
      <c r="E81" s="76" t="str">
        <f>IF(OR(0="",-63.81979="",0=0,-63.81979=0),"-",-63.81979/0*100)</f>
        <v>-</v>
      </c>
    </row>
    <row r="82" spans="1:5" x14ac:dyDescent="0.25">
      <c r="A82" s="105" t="s">
        <v>390</v>
      </c>
      <c r="B82" s="109" t="s">
        <v>391</v>
      </c>
      <c r="C82" s="31">
        <v>-43.897579999999998</v>
      </c>
      <c r="D82" s="31">
        <v>-93.290620000000004</v>
      </c>
      <c r="E82" s="77" t="s">
        <v>92</v>
      </c>
    </row>
    <row r="83" spans="1:5" x14ac:dyDescent="0.25">
      <c r="A83" s="51" t="s">
        <v>286</v>
      </c>
      <c r="B83" s="52"/>
      <c r="C83" s="30"/>
      <c r="D83" s="30"/>
      <c r="E83" s="76"/>
    </row>
    <row r="84" spans="1:5" x14ac:dyDescent="0.25">
      <c r="C84" s="30"/>
      <c r="D84" s="30"/>
      <c r="E84" s="76"/>
    </row>
    <row r="85" spans="1:5" x14ac:dyDescent="0.25">
      <c r="C85" s="30"/>
      <c r="D85" s="30"/>
      <c r="E85" s="76"/>
    </row>
  </sheetData>
  <mergeCells count="6">
    <mergeCell ref="A4:A5"/>
    <mergeCell ref="B1:E1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Лист1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2022-04-14T09:14:32Z</cp:lastPrinted>
  <dcterms:created xsi:type="dcterms:W3CDTF">2016-09-01T07:59:47Z</dcterms:created>
  <dcterms:modified xsi:type="dcterms:W3CDTF">2022-04-14T09:15:18Z</dcterms:modified>
</cp:coreProperties>
</file>