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Cebotari\Desktop\Comert\"/>
    </mc:Choice>
  </mc:AlternateContent>
  <xr:revisionPtr revIDLastSave="0" documentId="13_ncr:1_{9B3AE6BB-6F64-4C7E-A562-0CCBFA2DBD59}" xr6:coauthVersionLast="47" xr6:coauthVersionMax="47" xr10:uidLastSave="{00000000-0000-0000-0000-000000000000}"/>
  <bookViews>
    <workbookView xWindow="-120" yWindow="-120" windowWidth="29040" windowHeight="15720" tabRatio="813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5" l="1"/>
  <c r="C32" i="7"/>
  <c r="C6" i="7"/>
  <c r="C47" i="1"/>
  <c r="C6" i="1"/>
  <c r="D83" i="4" l="1"/>
  <c r="D82" i="4"/>
  <c r="E81" i="4"/>
  <c r="D81" i="4"/>
  <c r="D80" i="4"/>
  <c r="E79" i="4"/>
  <c r="D79" i="4"/>
  <c r="E78" i="4"/>
  <c r="D78" i="4"/>
  <c r="E77" i="4"/>
  <c r="D77" i="4"/>
  <c r="D76" i="4"/>
  <c r="E75" i="4"/>
  <c r="D75" i="4"/>
  <c r="D74" i="4"/>
  <c r="E73" i="4"/>
  <c r="D73" i="4"/>
  <c r="E72" i="4"/>
  <c r="D72" i="4"/>
  <c r="E71" i="4"/>
  <c r="D71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D47" i="4"/>
  <c r="E46" i="4"/>
  <c r="D46" i="4"/>
  <c r="E45" i="4"/>
  <c r="D45" i="4"/>
  <c r="E44" i="4"/>
  <c r="D44" i="4"/>
  <c r="D43" i="4"/>
  <c r="D42" i="4"/>
  <c r="E41" i="4"/>
  <c r="D41" i="4"/>
  <c r="D40" i="4"/>
  <c r="D39" i="4"/>
  <c r="E38" i="4"/>
  <c r="D38" i="4"/>
  <c r="D37" i="4"/>
  <c r="D36" i="4"/>
  <c r="D35" i="4"/>
  <c r="D34" i="4"/>
  <c r="D33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D25" i="4"/>
  <c r="D24" i="4"/>
  <c r="E23" i="4"/>
  <c r="D23" i="4"/>
  <c r="D22" i="4"/>
  <c r="E21" i="4"/>
  <c r="D21" i="4"/>
  <c r="E20" i="4"/>
  <c r="D20" i="4"/>
  <c r="E19" i="4"/>
  <c r="D19" i="4"/>
  <c r="E18" i="4"/>
  <c r="D18" i="4"/>
  <c r="D17" i="4"/>
  <c r="E16" i="4"/>
  <c r="D16" i="4"/>
  <c r="D15" i="4"/>
  <c r="D14" i="4"/>
  <c r="D13" i="4"/>
  <c r="E12" i="4"/>
  <c r="D12" i="4"/>
  <c r="E11" i="4"/>
  <c r="D11" i="4"/>
  <c r="D10" i="4"/>
  <c r="D9" i="4"/>
  <c r="E8" i="4"/>
  <c r="D8" i="4"/>
  <c r="E6" i="4"/>
  <c r="D6" i="4"/>
  <c r="C6" i="4"/>
  <c r="H82" i="6"/>
  <c r="G82" i="6"/>
  <c r="F82" i="6"/>
  <c r="E82" i="6"/>
  <c r="C82" i="6"/>
  <c r="H81" i="6"/>
  <c r="G81" i="6"/>
  <c r="F81" i="6"/>
  <c r="E81" i="6"/>
  <c r="C81" i="6"/>
  <c r="H80" i="6"/>
  <c r="G80" i="6"/>
  <c r="F80" i="6"/>
  <c r="E80" i="6"/>
  <c r="D80" i="6"/>
  <c r="C80" i="6"/>
  <c r="H79" i="6"/>
  <c r="G79" i="6"/>
  <c r="F79" i="6"/>
  <c r="E79" i="6"/>
  <c r="C79" i="6"/>
  <c r="H78" i="6"/>
  <c r="G78" i="6"/>
  <c r="F78" i="6"/>
  <c r="E78" i="6"/>
  <c r="D78" i="6"/>
  <c r="C78" i="6"/>
  <c r="H77" i="6"/>
  <c r="G77" i="6"/>
  <c r="F77" i="6"/>
  <c r="E77" i="6"/>
  <c r="D77" i="6"/>
  <c r="C77" i="6"/>
  <c r="H76" i="6"/>
  <c r="G76" i="6"/>
  <c r="F76" i="6"/>
  <c r="E76" i="6"/>
  <c r="D76" i="6"/>
  <c r="C76" i="6"/>
  <c r="H75" i="6"/>
  <c r="G75" i="6"/>
  <c r="F75" i="6"/>
  <c r="E75" i="6"/>
  <c r="D75" i="6"/>
  <c r="C75" i="6"/>
  <c r="H74" i="6"/>
  <c r="G74" i="6"/>
  <c r="F74" i="6"/>
  <c r="E74" i="6"/>
  <c r="D74" i="6"/>
  <c r="C74" i="6"/>
  <c r="H73" i="6"/>
  <c r="G73" i="6"/>
  <c r="F73" i="6"/>
  <c r="E73" i="6"/>
  <c r="D73" i="6"/>
  <c r="C73" i="6"/>
  <c r="H72" i="6"/>
  <c r="G72" i="6"/>
  <c r="F72" i="6"/>
  <c r="E72" i="6"/>
  <c r="D72" i="6"/>
  <c r="C72" i="6"/>
  <c r="H71" i="6"/>
  <c r="G71" i="6"/>
  <c r="F71" i="6"/>
  <c r="E71" i="6"/>
  <c r="D71" i="6"/>
  <c r="C71" i="6"/>
  <c r="H70" i="6"/>
  <c r="G70" i="6"/>
  <c r="F70" i="6"/>
  <c r="E70" i="6"/>
  <c r="D70" i="6"/>
  <c r="C70" i="6"/>
  <c r="H69" i="6"/>
  <c r="G69" i="6"/>
  <c r="F69" i="6"/>
  <c r="E69" i="6"/>
  <c r="C69" i="6"/>
  <c r="H68" i="6"/>
  <c r="G68" i="6"/>
  <c r="F68" i="6"/>
  <c r="E68" i="6"/>
  <c r="D68" i="6"/>
  <c r="C68" i="6"/>
  <c r="H67" i="6"/>
  <c r="G67" i="6"/>
  <c r="F67" i="6"/>
  <c r="E67" i="6"/>
  <c r="D67" i="6"/>
  <c r="C67" i="6"/>
  <c r="H66" i="6"/>
  <c r="G66" i="6"/>
  <c r="F66" i="6"/>
  <c r="E66" i="6"/>
  <c r="D66" i="6"/>
  <c r="C66" i="6"/>
  <c r="H65" i="6"/>
  <c r="G65" i="6"/>
  <c r="F65" i="6"/>
  <c r="E65" i="6"/>
  <c r="D65" i="6"/>
  <c r="C65" i="6"/>
  <c r="H64" i="6"/>
  <c r="G64" i="6"/>
  <c r="F64" i="6"/>
  <c r="E64" i="6"/>
  <c r="D64" i="6"/>
  <c r="C64" i="6"/>
  <c r="H63" i="6"/>
  <c r="G63" i="6"/>
  <c r="F63" i="6"/>
  <c r="E63" i="6"/>
  <c r="D63" i="6"/>
  <c r="C63" i="6"/>
  <c r="H62" i="6"/>
  <c r="G62" i="6"/>
  <c r="F62" i="6"/>
  <c r="E62" i="6"/>
  <c r="D62" i="6"/>
  <c r="C62" i="6"/>
  <c r="H61" i="6"/>
  <c r="G61" i="6"/>
  <c r="F61" i="6"/>
  <c r="E61" i="6"/>
  <c r="D61" i="6"/>
  <c r="C61" i="6"/>
  <c r="H60" i="6"/>
  <c r="G60" i="6"/>
  <c r="F60" i="6"/>
  <c r="E60" i="6"/>
  <c r="D60" i="6"/>
  <c r="C60" i="6"/>
  <c r="H59" i="6"/>
  <c r="G59" i="6"/>
  <c r="F59" i="6"/>
  <c r="E59" i="6"/>
  <c r="D59" i="6"/>
  <c r="C59" i="6"/>
  <c r="H58" i="6"/>
  <c r="G58" i="6"/>
  <c r="F58" i="6"/>
  <c r="E58" i="6"/>
  <c r="D58" i="6"/>
  <c r="C58" i="6"/>
  <c r="H57" i="6"/>
  <c r="G57" i="6"/>
  <c r="F57" i="6"/>
  <c r="E57" i="6"/>
  <c r="D57" i="6"/>
  <c r="C57" i="6"/>
  <c r="H56" i="6"/>
  <c r="G56" i="6"/>
  <c r="F56" i="6"/>
  <c r="E56" i="6"/>
  <c r="D56" i="6"/>
  <c r="C56" i="6"/>
  <c r="H55" i="6"/>
  <c r="G55" i="6"/>
  <c r="F55" i="6"/>
  <c r="E55" i="6"/>
  <c r="D55" i="6"/>
  <c r="C55" i="6"/>
  <c r="H54" i="6"/>
  <c r="G54" i="6"/>
  <c r="F54" i="6"/>
  <c r="E54" i="6"/>
  <c r="D54" i="6"/>
  <c r="C54" i="6"/>
  <c r="H53" i="6"/>
  <c r="G53" i="6"/>
  <c r="F53" i="6"/>
  <c r="E53" i="6"/>
  <c r="D53" i="6"/>
  <c r="C53" i="6"/>
  <c r="H52" i="6"/>
  <c r="G52" i="6"/>
  <c r="F52" i="6"/>
  <c r="E52" i="6"/>
  <c r="D52" i="6"/>
  <c r="C52" i="6"/>
  <c r="H51" i="6"/>
  <c r="G51" i="6"/>
  <c r="F51" i="6"/>
  <c r="E51" i="6"/>
  <c r="D51" i="6"/>
  <c r="C51" i="6"/>
  <c r="H50" i="6"/>
  <c r="G50" i="6"/>
  <c r="F50" i="6"/>
  <c r="E50" i="6"/>
  <c r="D50" i="6"/>
  <c r="C50" i="6"/>
  <c r="H49" i="6"/>
  <c r="G49" i="6"/>
  <c r="F49" i="6"/>
  <c r="E49" i="6"/>
  <c r="D49" i="6"/>
  <c r="C49" i="6"/>
  <c r="H48" i="6"/>
  <c r="G48" i="6"/>
  <c r="F48" i="6"/>
  <c r="E48" i="6"/>
  <c r="D48" i="6"/>
  <c r="C48" i="6"/>
  <c r="H47" i="6"/>
  <c r="G47" i="6"/>
  <c r="F47" i="6"/>
  <c r="E47" i="6"/>
  <c r="D47" i="6"/>
  <c r="C47" i="6"/>
  <c r="H46" i="6"/>
  <c r="G46" i="6"/>
  <c r="F46" i="6"/>
  <c r="E46" i="6"/>
  <c r="C46" i="6"/>
  <c r="H45" i="6"/>
  <c r="G45" i="6"/>
  <c r="F45" i="6"/>
  <c r="E45" i="6"/>
  <c r="D45" i="6"/>
  <c r="C45" i="6"/>
  <c r="H44" i="6"/>
  <c r="G44" i="6"/>
  <c r="F44" i="6"/>
  <c r="E44" i="6"/>
  <c r="D44" i="6"/>
  <c r="C44" i="6"/>
  <c r="H43" i="6"/>
  <c r="G43" i="6"/>
  <c r="F43" i="6"/>
  <c r="E43" i="6"/>
  <c r="D43" i="6"/>
  <c r="C43" i="6"/>
  <c r="H42" i="6"/>
  <c r="G42" i="6"/>
  <c r="F42" i="6"/>
  <c r="E42" i="6"/>
  <c r="C42" i="6"/>
  <c r="H41" i="6"/>
  <c r="G41" i="6"/>
  <c r="F41" i="6"/>
  <c r="E41" i="6"/>
  <c r="D41" i="6"/>
  <c r="C41" i="6"/>
  <c r="H40" i="6"/>
  <c r="G40" i="6"/>
  <c r="F40" i="6"/>
  <c r="E40" i="6"/>
  <c r="D40" i="6"/>
  <c r="C40" i="6"/>
  <c r="H39" i="6"/>
  <c r="G39" i="6"/>
  <c r="F39" i="6"/>
  <c r="E39" i="6"/>
  <c r="C39" i="6"/>
  <c r="H38" i="6"/>
  <c r="G38" i="6"/>
  <c r="F38" i="6"/>
  <c r="E38" i="6"/>
  <c r="C38" i="6"/>
  <c r="H37" i="6"/>
  <c r="G37" i="6"/>
  <c r="F37" i="6"/>
  <c r="E37" i="6"/>
  <c r="D37" i="6"/>
  <c r="C37" i="6"/>
  <c r="H36" i="6"/>
  <c r="G36" i="6"/>
  <c r="F36" i="6"/>
  <c r="E36" i="6"/>
  <c r="C36" i="6"/>
  <c r="H35" i="6"/>
  <c r="G35" i="6"/>
  <c r="F35" i="6"/>
  <c r="E35" i="6"/>
  <c r="C35" i="6"/>
  <c r="H34" i="6"/>
  <c r="G34" i="6"/>
  <c r="F34" i="6"/>
  <c r="E34" i="6"/>
  <c r="C34" i="6"/>
  <c r="H33" i="6"/>
  <c r="G33" i="6"/>
  <c r="F33" i="6"/>
  <c r="E33" i="6"/>
  <c r="C33" i="6"/>
  <c r="H32" i="6"/>
  <c r="G32" i="6"/>
  <c r="F32" i="6"/>
  <c r="E32" i="6"/>
  <c r="C32" i="6"/>
  <c r="H31" i="6"/>
  <c r="G31" i="6"/>
  <c r="F31" i="6"/>
  <c r="E31" i="6"/>
  <c r="C31" i="6"/>
  <c r="H30" i="6"/>
  <c r="G30" i="6"/>
  <c r="F30" i="6"/>
  <c r="E30" i="6"/>
  <c r="D30" i="6"/>
  <c r="C30" i="6"/>
  <c r="H29" i="6"/>
  <c r="G29" i="6"/>
  <c r="F29" i="6"/>
  <c r="E29" i="6"/>
  <c r="D29" i="6"/>
  <c r="C29" i="6"/>
  <c r="H28" i="6"/>
  <c r="G28" i="6"/>
  <c r="F28" i="6"/>
  <c r="E28" i="6"/>
  <c r="D28" i="6"/>
  <c r="C28" i="6"/>
  <c r="H27" i="6"/>
  <c r="G27" i="6"/>
  <c r="F27" i="6"/>
  <c r="E27" i="6"/>
  <c r="D27" i="6"/>
  <c r="C27" i="6"/>
  <c r="H26" i="6"/>
  <c r="G26" i="6"/>
  <c r="F26" i="6"/>
  <c r="E26" i="6"/>
  <c r="D26" i="6"/>
  <c r="C26" i="6"/>
  <c r="H25" i="6"/>
  <c r="G25" i="6"/>
  <c r="F25" i="6"/>
  <c r="E25" i="6"/>
  <c r="D25" i="6"/>
  <c r="C25" i="6"/>
  <c r="H24" i="6"/>
  <c r="G24" i="6"/>
  <c r="F24" i="6"/>
  <c r="E24" i="6"/>
  <c r="C24" i="6"/>
  <c r="H23" i="6"/>
  <c r="G23" i="6"/>
  <c r="F23" i="6"/>
  <c r="E23" i="6"/>
  <c r="C23" i="6"/>
  <c r="H22" i="6"/>
  <c r="G22" i="6"/>
  <c r="F22" i="6"/>
  <c r="E22" i="6"/>
  <c r="D22" i="6"/>
  <c r="C22" i="6"/>
  <c r="H21" i="6"/>
  <c r="G21" i="6"/>
  <c r="F21" i="6"/>
  <c r="E21" i="6"/>
  <c r="D21" i="6"/>
  <c r="C21" i="6"/>
  <c r="H20" i="6"/>
  <c r="G20" i="6"/>
  <c r="F20" i="6"/>
  <c r="E20" i="6"/>
  <c r="D20" i="6"/>
  <c r="C20" i="6"/>
  <c r="H19" i="6"/>
  <c r="G19" i="6"/>
  <c r="F19" i="6"/>
  <c r="E19" i="6"/>
  <c r="D19" i="6"/>
  <c r="C19" i="6"/>
  <c r="H18" i="6"/>
  <c r="G18" i="6"/>
  <c r="F18" i="6"/>
  <c r="E18" i="6"/>
  <c r="D18" i="6"/>
  <c r="C18" i="6"/>
  <c r="H17" i="6"/>
  <c r="G17" i="6"/>
  <c r="F17" i="6"/>
  <c r="E17" i="6"/>
  <c r="D17" i="6"/>
  <c r="C17" i="6"/>
  <c r="H16" i="6"/>
  <c r="G16" i="6"/>
  <c r="F16" i="6"/>
  <c r="E16" i="6"/>
  <c r="D16" i="6"/>
  <c r="C16" i="6"/>
  <c r="H15" i="6"/>
  <c r="G15" i="6"/>
  <c r="F15" i="6"/>
  <c r="E15" i="6"/>
  <c r="D15" i="6"/>
  <c r="C15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11" i="6"/>
  <c r="G11" i="6"/>
  <c r="F11" i="6"/>
  <c r="E11" i="6"/>
  <c r="D11" i="6"/>
  <c r="C11" i="6"/>
  <c r="H10" i="6"/>
  <c r="G10" i="6"/>
  <c r="F10" i="6"/>
  <c r="E10" i="6"/>
  <c r="D10" i="6"/>
  <c r="C10" i="6"/>
  <c r="H9" i="6"/>
  <c r="G9" i="6"/>
  <c r="F9" i="6"/>
  <c r="E9" i="6"/>
  <c r="C9" i="6"/>
  <c r="H8" i="6"/>
  <c r="G8" i="6"/>
  <c r="F8" i="6"/>
  <c r="E8" i="6"/>
  <c r="D8" i="6"/>
  <c r="C8" i="6"/>
  <c r="H7" i="6"/>
  <c r="G7" i="6"/>
  <c r="D7" i="6"/>
  <c r="C7" i="6"/>
  <c r="H82" i="5"/>
  <c r="G82" i="5"/>
  <c r="F82" i="5"/>
  <c r="E82" i="5"/>
  <c r="D82" i="5"/>
  <c r="C82" i="5"/>
  <c r="H81" i="5"/>
  <c r="G81" i="5"/>
  <c r="F81" i="5"/>
  <c r="E81" i="5"/>
  <c r="C81" i="5"/>
  <c r="H80" i="5"/>
  <c r="G80" i="5"/>
  <c r="F80" i="5"/>
  <c r="E80" i="5"/>
  <c r="C80" i="5"/>
  <c r="H79" i="5"/>
  <c r="G79" i="5"/>
  <c r="F79" i="5"/>
  <c r="E79" i="5"/>
  <c r="D79" i="5"/>
  <c r="C79" i="5"/>
  <c r="H78" i="5"/>
  <c r="G78" i="5"/>
  <c r="F78" i="5"/>
  <c r="E78" i="5"/>
  <c r="D78" i="5"/>
  <c r="C78" i="5"/>
  <c r="H77" i="5"/>
  <c r="G77" i="5"/>
  <c r="F77" i="5"/>
  <c r="E77" i="5"/>
  <c r="D77" i="5"/>
  <c r="C77" i="5"/>
  <c r="H76" i="5"/>
  <c r="G76" i="5"/>
  <c r="F76" i="5"/>
  <c r="E76" i="5"/>
  <c r="D76" i="5"/>
  <c r="C76" i="5"/>
  <c r="H75" i="5"/>
  <c r="G75" i="5"/>
  <c r="F75" i="5"/>
  <c r="E75" i="5"/>
  <c r="D75" i="5"/>
  <c r="C75" i="5"/>
  <c r="H74" i="5"/>
  <c r="G74" i="5"/>
  <c r="F74" i="5"/>
  <c r="E74" i="5"/>
  <c r="D74" i="5"/>
  <c r="C74" i="5"/>
  <c r="H73" i="5"/>
  <c r="G73" i="5"/>
  <c r="F73" i="5"/>
  <c r="E73" i="5"/>
  <c r="D73" i="5"/>
  <c r="C73" i="5"/>
  <c r="H72" i="5"/>
  <c r="G72" i="5"/>
  <c r="F72" i="5"/>
  <c r="E72" i="5"/>
  <c r="D72" i="5"/>
  <c r="C72" i="5"/>
  <c r="H71" i="5"/>
  <c r="G71" i="5"/>
  <c r="F71" i="5"/>
  <c r="E71" i="5"/>
  <c r="D71" i="5"/>
  <c r="C71" i="5"/>
  <c r="H70" i="5"/>
  <c r="G70" i="5"/>
  <c r="F70" i="5"/>
  <c r="E70" i="5"/>
  <c r="C70" i="5"/>
  <c r="H69" i="5"/>
  <c r="G69" i="5"/>
  <c r="F69" i="5"/>
  <c r="E69" i="5"/>
  <c r="D69" i="5"/>
  <c r="C69" i="5"/>
  <c r="H68" i="5"/>
  <c r="G68" i="5"/>
  <c r="F68" i="5"/>
  <c r="E68" i="5"/>
  <c r="D68" i="5"/>
  <c r="C68" i="5"/>
  <c r="H67" i="5"/>
  <c r="G67" i="5"/>
  <c r="F67" i="5"/>
  <c r="E67" i="5"/>
  <c r="D67" i="5"/>
  <c r="C67" i="5"/>
  <c r="H66" i="5"/>
  <c r="G66" i="5"/>
  <c r="F66" i="5"/>
  <c r="E66" i="5"/>
  <c r="C66" i="5"/>
  <c r="H65" i="5"/>
  <c r="G65" i="5"/>
  <c r="F65" i="5"/>
  <c r="E65" i="5"/>
  <c r="D65" i="5"/>
  <c r="C65" i="5"/>
  <c r="H64" i="5"/>
  <c r="G64" i="5"/>
  <c r="F64" i="5"/>
  <c r="E64" i="5"/>
  <c r="D64" i="5"/>
  <c r="C64" i="5"/>
  <c r="H63" i="5"/>
  <c r="G63" i="5"/>
  <c r="F63" i="5"/>
  <c r="E63" i="5"/>
  <c r="D63" i="5"/>
  <c r="C63" i="5"/>
  <c r="H62" i="5"/>
  <c r="G62" i="5"/>
  <c r="F62" i="5"/>
  <c r="E62" i="5"/>
  <c r="C62" i="5"/>
  <c r="H61" i="5"/>
  <c r="G61" i="5"/>
  <c r="F61" i="5"/>
  <c r="E61" i="5"/>
  <c r="D61" i="5"/>
  <c r="C61" i="5"/>
  <c r="H60" i="5"/>
  <c r="G60" i="5"/>
  <c r="F60" i="5"/>
  <c r="E60" i="5"/>
  <c r="D60" i="5"/>
  <c r="C60" i="5"/>
  <c r="H59" i="5"/>
  <c r="G59" i="5"/>
  <c r="F59" i="5"/>
  <c r="E59" i="5"/>
  <c r="D59" i="5"/>
  <c r="C59" i="5"/>
  <c r="H58" i="5"/>
  <c r="G58" i="5"/>
  <c r="F58" i="5"/>
  <c r="E58" i="5"/>
  <c r="D58" i="5"/>
  <c r="C58" i="5"/>
  <c r="H57" i="5"/>
  <c r="G57" i="5"/>
  <c r="F57" i="5"/>
  <c r="E57" i="5"/>
  <c r="D57" i="5"/>
  <c r="C57" i="5"/>
  <c r="H56" i="5"/>
  <c r="G56" i="5"/>
  <c r="F56" i="5"/>
  <c r="E56" i="5"/>
  <c r="D56" i="5"/>
  <c r="C56" i="5"/>
  <c r="H55" i="5"/>
  <c r="G55" i="5"/>
  <c r="F55" i="5"/>
  <c r="E55" i="5"/>
  <c r="C55" i="5"/>
  <c r="H54" i="5"/>
  <c r="G54" i="5"/>
  <c r="F54" i="5"/>
  <c r="E54" i="5"/>
  <c r="D54" i="5"/>
  <c r="C54" i="5"/>
  <c r="H53" i="5"/>
  <c r="G53" i="5"/>
  <c r="F53" i="5"/>
  <c r="E53" i="5"/>
  <c r="D53" i="5"/>
  <c r="C53" i="5"/>
  <c r="H52" i="5"/>
  <c r="G52" i="5"/>
  <c r="F52" i="5"/>
  <c r="E52" i="5"/>
  <c r="C52" i="5"/>
  <c r="H51" i="5"/>
  <c r="G51" i="5"/>
  <c r="F51" i="5"/>
  <c r="E51" i="5"/>
  <c r="D51" i="5"/>
  <c r="C51" i="5"/>
  <c r="H50" i="5"/>
  <c r="G50" i="5"/>
  <c r="F50" i="5"/>
  <c r="E50" i="5"/>
  <c r="D50" i="5"/>
  <c r="C50" i="5"/>
  <c r="H49" i="5"/>
  <c r="G49" i="5"/>
  <c r="F49" i="5"/>
  <c r="E49" i="5"/>
  <c r="D49" i="5"/>
  <c r="C49" i="5"/>
  <c r="H48" i="5"/>
  <c r="G48" i="5"/>
  <c r="F48" i="5"/>
  <c r="E48" i="5"/>
  <c r="C48" i="5"/>
  <c r="H47" i="5"/>
  <c r="G47" i="5"/>
  <c r="F47" i="5"/>
  <c r="E47" i="5"/>
  <c r="D47" i="5"/>
  <c r="C47" i="5"/>
  <c r="H46" i="5"/>
  <c r="G46" i="5"/>
  <c r="F46" i="5"/>
  <c r="E46" i="5"/>
  <c r="C46" i="5"/>
  <c r="H45" i="5"/>
  <c r="G45" i="5"/>
  <c r="F45" i="5"/>
  <c r="E45" i="5"/>
  <c r="D45" i="5"/>
  <c r="C45" i="5"/>
  <c r="H44" i="5"/>
  <c r="G44" i="5"/>
  <c r="F44" i="5"/>
  <c r="E44" i="5"/>
  <c r="D44" i="5"/>
  <c r="C44" i="5"/>
  <c r="H43" i="5"/>
  <c r="G43" i="5"/>
  <c r="F43" i="5"/>
  <c r="E43" i="5"/>
  <c r="C43" i="5"/>
  <c r="H42" i="5"/>
  <c r="G42" i="5"/>
  <c r="F42" i="5"/>
  <c r="E42" i="5"/>
  <c r="D42" i="5"/>
  <c r="C42" i="5"/>
  <c r="H41" i="5"/>
  <c r="G41" i="5"/>
  <c r="F41" i="5"/>
  <c r="E41" i="5"/>
  <c r="D41" i="5"/>
  <c r="C41" i="5"/>
  <c r="H40" i="5"/>
  <c r="G40" i="5"/>
  <c r="F40" i="5"/>
  <c r="E40" i="5"/>
  <c r="C40" i="5"/>
  <c r="H39" i="5"/>
  <c r="G39" i="5"/>
  <c r="F39" i="5"/>
  <c r="E39" i="5"/>
  <c r="C39" i="5"/>
  <c r="H38" i="5"/>
  <c r="G38" i="5"/>
  <c r="F38" i="5"/>
  <c r="E38" i="5"/>
  <c r="D38" i="5"/>
  <c r="C38" i="5"/>
  <c r="H37" i="5"/>
  <c r="G37" i="5"/>
  <c r="F37" i="5"/>
  <c r="E37" i="5"/>
  <c r="C37" i="5"/>
  <c r="H36" i="5"/>
  <c r="G36" i="5"/>
  <c r="F36" i="5"/>
  <c r="E36" i="5"/>
  <c r="C36" i="5"/>
  <c r="H35" i="5"/>
  <c r="G35" i="5"/>
  <c r="F35" i="5"/>
  <c r="E35" i="5"/>
  <c r="D35" i="5"/>
  <c r="C35" i="5"/>
  <c r="H34" i="5"/>
  <c r="G34" i="5"/>
  <c r="F34" i="5"/>
  <c r="E34" i="5"/>
  <c r="C34" i="5"/>
  <c r="H33" i="5"/>
  <c r="G33" i="5"/>
  <c r="F33" i="5"/>
  <c r="E33" i="5"/>
  <c r="D33" i="5"/>
  <c r="C33" i="5"/>
  <c r="H32" i="5"/>
  <c r="G32" i="5"/>
  <c r="F32" i="5"/>
  <c r="E32" i="5"/>
  <c r="C32" i="5"/>
  <c r="H31" i="5"/>
  <c r="G31" i="5"/>
  <c r="F31" i="5"/>
  <c r="E31" i="5"/>
  <c r="D31" i="5"/>
  <c r="C31" i="5"/>
  <c r="H30" i="5"/>
  <c r="G30" i="5"/>
  <c r="F30" i="5"/>
  <c r="E30" i="5"/>
  <c r="D30" i="5"/>
  <c r="C30" i="5"/>
  <c r="H29" i="5"/>
  <c r="G29" i="5"/>
  <c r="F29" i="5"/>
  <c r="E29" i="5"/>
  <c r="C29" i="5"/>
  <c r="H28" i="5"/>
  <c r="G28" i="5"/>
  <c r="F28" i="5"/>
  <c r="E28" i="5"/>
  <c r="D28" i="5"/>
  <c r="C28" i="5"/>
  <c r="H27" i="5"/>
  <c r="G27" i="5"/>
  <c r="F27" i="5"/>
  <c r="E27" i="5"/>
  <c r="D27" i="5"/>
  <c r="C27" i="5"/>
  <c r="H26" i="5"/>
  <c r="G26" i="5"/>
  <c r="F26" i="5"/>
  <c r="E26" i="5"/>
  <c r="C26" i="5"/>
  <c r="H25" i="5"/>
  <c r="G25" i="5"/>
  <c r="F25" i="5"/>
  <c r="E25" i="5"/>
  <c r="C25" i="5"/>
  <c r="H24" i="5"/>
  <c r="G24" i="5"/>
  <c r="F24" i="5"/>
  <c r="E24" i="5"/>
  <c r="C24" i="5"/>
  <c r="H23" i="5"/>
  <c r="G23" i="5"/>
  <c r="F23" i="5"/>
  <c r="E23" i="5"/>
  <c r="D23" i="5"/>
  <c r="C23" i="5"/>
  <c r="H22" i="5"/>
  <c r="G22" i="5"/>
  <c r="F22" i="5"/>
  <c r="E22" i="5"/>
  <c r="C22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C17" i="5"/>
  <c r="H16" i="5"/>
  <c r="G16" i="5"/>
  <c r="F16" i="5"/>
  <c r="E16" i="5"/>
  <c r="D16" i="5"/>
  <c r="C16" i="5"/>
  <c r="H15" i="5"/>
  <c r="G15" i="5"/>
  <c r="F15" i="5"/>
  <c r="E15" i="5"/>
  <c r="C15" i="5"/>
  <c r="H14" i="5"/>
  <c r="G14" i="5"/>
  <c r="F14" i="5"/>
  <c r="E14" i="5"/>
  <c r="D14" i="5"/>
  <c r="C14" i="5"/>
  <c r="H13" i="5"/>
  <c r="G13" i="5"/>
  <c r="F13" i="5"/>
  <c r="E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F8" i="5"/>
  <c r="E8" i="5"/>
  <c r="C8" i="5"/>
  <c r="H7" i="5"/>
  <c r="G7" i="5"/>
  <c r="C7" i="5"/>
  <c r="E39" i="8"/>
  <c r="D39" i="8"/>
  <c r="E38" i="8"/>
  <c r="D38" i="8"/>
  <c r="E37" i="8"/>
  <c r="D37" i="8"/>
  <c r="E36" i="8"/>
  <c r="D36" i="8"/>
  <c r="E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9" i="7"/>
  <c r="D39" i="7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C136" i="3" l="1"/>
  <c r="B136" i="3"/>
  <c r="C135" i="3"/>
  <c r="B135" i="3"/>
  <c r="D134" i="3"/>
  <c r="C134" i="3"/>
  <c r="B134" i="3"/>
  <c r="D133" i="3"/>
  <c r="C133" i="3"/>
  <c r="B133" i="3"/>
  <c r="D132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D126" i="3"/>
  <c r="C126" i="3"/>
  <c r="B126" i="3"/>
  <c r="C125" i="3"/>
  <c r="B125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D108" i="3"/>
  <c r="C108" i="3"/>
  <c r="B108" i="3"/>
  <c r="D107" i="3"/>
  <c r="C107" i="3"/>
  <c r="B107" i="3"/>
  <c r="C106" i="3"/>
  <c r="B106" i="3"/>
  <c r="D105" i="3"/>
  <c r="C105" i="3"/>
  <c r="B105" i="3"/>
  <c r="C104" i="3"/>
  <c r="B104" i="3"/>
  <c r="D103" i="3"/>
  <c r="C103" i="3"/>
  <c r="B103" i="3"/>
  <c r="C102" i="3"/>
  <c r="B102" i="3"/>
  <c r="C101" i="3"/>
  <c r="B101" i="3"/>
  <c r="C100" i="3"/>
  <c r="B100" i="3"/>
  <c r="C99" i="3"/>
  <c r="B99" i="3"/>
  <c r="D98" i="3"/>
  <c r="C98" i="3"/>
  <c r="B98" i="3"/>
  <c r="D97" i="3"/>
  <c r="C97" i="3"/>
  <c r="B97" i="3"/>
  <c r="C96" i="3"/>
  <c r="B96" i="3"/>
  <c r="C95" i="3"/>
  <c r="B95" i="3"/>
  <c r="C94" i="3"/>
  <c r="B94" i="3"/>
  <c r="D93" i="3"/>
  <c r="C93" i="3"/>
  <c r="B93" i="3"/>
  <c r="D92" i="3"/>
  <c r="C92" i="3"/>
  <c r="B92" i="3"/>
  <c r="D91" i="3"/>
  <c r="C91" i="3"/>
  <c r="B91" i="3"/>
  <c r="C90" i="3"/>
  <c r="B90" i="3"/>
  <c r="C89" i="3"/>
  <c r="B89" i="3"/>
  <c r="D88" i="3"/>
  <c r="C88" i="3"/>
  <c r="B88" i="3"/>
  <c r="C87" i="3"/>
  <c r="B87" i="3"/>
  <c r="D86" i="3"/>
  <c r="C86" i="3"/>
  <c r="B86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C80" i="3"/>
  <c r="B80" i="3"/>
  <c r="D79" i="3"/>
  <c r="C79" i="3"/>
  <c r="B79" i="3"/>
  <c r="C78" i="3"/>
  <c r="B78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C49" i="3"/>
  <c r="B49" i="3"/>
  <c r="D48" i="3"/>
  <c r="C48" i="3"/>
  <c r="B48" i="3"/>
  <c r="D47" i="3"/>
  <c r="C47" i="3"/>
  <c r="B47" i="3"/>
  <c r="D46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D39" i="3"/>
  <c r="C39" i="3"/>
  <c r="B39" i="3"/>
  <c r="D38" i="3"/>
  <c r="C38" i="3"/>
  <c r="B38" i="3"/>
  <c r="C37" i="3"/>
  <c r="B37" i="3"/>
  <c r="D36" i="3"/>
  <c r="C36" i="3"/>
  <c r="B36" i="3"/>
  <c r="C35" i="3"/>
  <c r="B35" i="3"/>
  <c r="C34" i="3"/>
  <c r="B34" i="3"/>
  <c r="D33" i="3"/>
  <c r="C33" i="3"/>
  <c r="B33" i="3"/>
  <c r="C32" i="3"/>
  <c r="B32" i="3"/>
  <c r="D31" i="3"/>
  <c r="C31" i="3"/>
  <c r="B31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C22" i="3"/>
  <c r="B22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C9" i="3"/>
  <c r="B9" i="3"/>
  <c r="D8" i="3"/>
  <c r="C8" i="3"/>
  <c r="B8" i="3"/>
  <c r="D7" i="3"/>
  <c r="C7" i="3"/>
  <c r="B7" i="3"/>
  <c r="D5" i="3"/>
  <c r="C5" i="3"/>
  <c r="B5" i="3"/>
  <c r="C70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C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C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C100" i="2"/>
  <c r="G99" i="2"/>
  <c r="F99" i="2"/>
  <c r="E99" i="2"/>
  <c r="D99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G89" i="2"/>
  <c r="F89" i="2"/>
  <c r="E89" i="2"/>
  <c r="D89" i="2"/>
  <c r="C89" i="2"/>
  <c r="G88" i="2"/>
  <c r="F88" i="2"/>
  <c r="E88" i="2"/>
  <c r="D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C42" i="2"/>
  <c r="G41" i="2"/>
  <c r="F41" i="2"/>
  <c r="E41" i="2"/>
  <c r="D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G8" i="2"/>
  <c r="F8" i="2"/>
  <c r="E8" i="2"/>
  <c r="D8" i="2"/>
  <c r="C8" i="2"/>
  <c r="G6" i="2"/>
  <c r="F6" i="2"/>
  <c r="C6" i="2"/>
  <c r="G109" i="1" l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B106" i="1"/>
  <c r="G105" i="1"/>
  <c r="F105" i="1"/>
  <c r="E105" i="1"/>
  <c r="D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B102" i="1"/>
  <c r="G101" i="1"/>
  <c r="F101" i="1"/>
  <c r="E101" i="1"/>
  <c r="D101" i="1"/>
  <c r="C101" i="1"/>
  <c r="B101" i="1"/>
  <c r="G100" i="1"/>
  <c r="F100" i="1"/>
  <c r="E100" i="1"/>
  <c r="D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B96" i="1"/>
  <c r="G95" i="1"/>
  <c r="F95" i="1"/>
  <c r="E95" i="1"/>
  <c r="D95" i="1"/>
  <c r="C95" i="1"/>
  <c r="B95" i="1"/>
  <c r="G94" i="1"/>
  <c r="F94" i="1"/>
  <c r="E94" i="1"/>
  <c r="D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B86" i="1"/>
  <c r="G85" i="1"/>
  <c r="F85" i="1"/>
  <c r="E85" i="1"/>
  <c r="D85" i="1"/>
  <c r="C85" i="1"/>
  <c r="B85" i="1"/>
  <c r="G84" i="1"/>
  <c r="F84" i="1"/>
  <c r="E84" i="1"/>
  <c r="D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B79" i="1"/>
  <c r="G78" i="1"/>
  <c r="F78" i="1"/>
  <c r="E78" i="1"/>
  <c r="D78" i="1"/>
  <c r="C78" i="1"/>
  <c r="B78" i="1"/>
  <c r="G77" i="1"/>
  <c r="F77" i="1"/>
  <c r="E77" i="1"/>
  <c r="D77" i="1"/>
  <c r="B77" i="1"/>
  <c r="G76" i="1"/>
  <c r="F76" i="1"/>
  <c r="E76" i="1"/>
  <c r="D76" i="1"/>
  <c r="C76" i="1"/>
  <c r="B76" i="1"/>
  <c r="G75" i="1"/>
  <c r="F75" i="1"/>
  <c r="E75" i="1"/>
  <c r="D75" i="1"/>
  <c r="B75" i="1"/>
  <c r="G74" i="1"/>
  <c r="F74" i="1"/>
  <c r="E74" i="1"/>
  <c r="D74" i="1"/>
  <c r="B74" i="1"/>
  <c r="G73" i="1"/>
  <c r="F73" i="1"/>
  <c r="E73" i="1"/>
  <c r="D73" i="1"/>
  <c r="B73" i="1"/>
  <c r="G72" i="1"/>
  <c r="F72" i="1"/>
  <c r="E72" i="1"/>
  <c r="D72" i="1"/>
  <c r="B72" i="1"/>
  <c r="G71" i="1"/>
  <c r="F71" i="1"/>
  <c r="E71" i="1"/>
  <c r="D71" i="1"/>
  <c r="C71" i="1"/>
  <c r="B71" i="1"/>
  <c r="G70" i="1"/>
  <c r="F70" i="1"/>
  <c r="E70" i="1"/>
  <c r="D70" i="1"/>
  <c r="B70" i="1"/>
  <c r="G69" i="1"/>
  <c r="F69" i="1"/>
  <c r="E69" i="1"/>
  <c r="D69" i="1"/>
  <c r="B69" i="1"/>
  <c r="G68" i="1"/>
  <c r="F68" i="1"/>
  <c r="E68" i="1"/>
  <c r="D68" i="1"/>
  <c r="B68" i="1"/>
  <c r="G67" i="1"/>
  <c r="F67" i="1"/>
  <c r="E67" i="1"/>
  <c r="D67" i="1"/>
  <c r="C67" i="1"/>
  <c r="B67" i="1"/>
  <c r="G66" i="1"/>
  <c r="F66" i="1"/>
  <c r="E66" i="1"/>
  <c r="D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B59" i="1"/>
  <c r="G58" i="1"/>
  <c r="F58" i="1"/>
  <c r="E58" i="1"/>
  <c r="D58" i="1"/>
  <c r="B58" i="1"/>
  <c r="G57" i="1"/>
  <c r="F57" i="1"/>
  <c r="E57" i="1"/>
  <c r="D57" i="1"/>
  <c r="C57" i="1"/>
  <c r="B57" i="1"/>
  <c r="G56" i="1"/>
  <c r="F56" i="1"/>
  <c r="E56" i="1"/>
  <c r="D56" i="1"/>
  <c r="B56" i="1"/>
  <c r="G55" i="1"/>
  <c r="F55" i="1"/>
  <c r="E55" i="1"/>
  <c r="D55" i="1"/>
  <c r="C55" i="1"/>
  <c r="B55" i="1"/>
  <c r="G54" i="1"/>
  <c r="F54" i="1"/>
  <c r="E54" i="1"/>
  <c r="D54" i="1"/>
  <c r="B54" i="1"/>
  <c r="G53" i="1"/>
  <c r="F53" i="1"/>
  <c r="E53" i="1"/>
  <c r="D53" i="1"/>
  <c r="C53" i="1"/>
  <c r="B53" i="1"/>
  <c r="G52" i="1"/>
  <c r="F52" i="1"/>
  <c r="E52" i="1"/>
  <c r="D52" i="1"/>
  <c r="B52" i="1"/>
  <c r="G51" i="1"/>
  <c r="F51" i="1"/>
  <c r="E51" i="1"/>
  <c r="D51" i="1"/>
  <c r="C51" i="1"/>
  <c r="B51" i="1"/>
  <c r="G50" i="1"/>
  <c r="F50" i="1"/>
  <c r="E50" i="1"/>
  <c r="D50" i="1"/>
  <c r="B50" i="1"/>
  <c r="G49" i="1"/>
  <c r="F49" i="1"/>
  <c r="E49" i="1"/>
  <c r="D49" i="1"/>
  <c r="B49" i="1"/>
  <c r="G48" i="1"/>
  <c r="F48" i="1"/>
  <c r="E48" i="1"/>
  <c r="D48" i="1"/>
  <c r="B48" i="1"/>
  <c r="G47" i="1"/>
  <c r="F47" i="1"/>
  <c r="E47" i="1"/>
  <c r="D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G43" i="1"/>
  <c r="F43" i="1"/>
  <c r="E43" i="1"/>
  <c r="D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G36" i="1"/>
  <c r="F36" i="1"/>
  <c r="E36" i="1"/>
  <c r="D36" i="1"/>
  <c r="G35" i="1"/>
  <c r="F35" i="1"/>
  <c r="E35" i="1"/>
  <c r="D35" i="1"/>
  <c r="C35" i="1"/>
  <c r="G34" i="1"/>
  <c r="F34" i="1"/>
  <c r="E34" i="1"/>
  <c r="D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G26" i="1"/>
  <c r="F26" i="1"/>
  <c r="E26" i="1"/>
  <c r="D26" i="1"/>
  <c r="C26" i="1"/>
  <c r="G25" i="1"/>
  <c r="F25" i="1"/>
  <c r="E25" i="1"/>
  <c r="D25" i="1"/>
  <c r="G24" i="1"/>
  <c r="F24" i="1"/>
  <c r="E24" i="1"/>
  <c r="D24" i="1"/>
  <c r="C24" i="1"/>
  <c r="G23" i="1"/>
  <c r="F23" i="1"/>
  <c r="E23" i="1"/>
  <c r="D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G11" i="1"/>
  <c r="F11" i="1"/>
  <c r="E11" i="1"/>
  <c r="D11" i="1"/>
  <c r="C11" i="1"/>
  <c r="G10" i="1"/>
  <c r="F10" i="1"/>
  <c r="E10" i="1"/>
  <c r="D10" i="1"/>
  <c r="G9" i="1"/>
  <c r="F9" i="1"/>
  <c r="E9" i="1"/>
  <c r="D9" i="1"/>
  <c r="G8" i="1"/>
  <c r="F8" i="1"/>
  <c r="E8" i="1"/>
  <c r="D8" i="1"/>
  <c r="C8" i="1"/>
  <c r="G6" i="1"/>
  <c r="F6" i="1"/>
</calcChain>
</file>

<file path=xl/sharedStrings.xml><?xml version="1.0" encoding="utf-8"?>
<sst xmlns="http://schemas.openxmlformats.org/spreadsheetml/2006/main" count="1180" uniqueCount="416">
  <si>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</si>
  <si>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</si>
  <si>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</si>
  <si>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</si>
  <si>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</si>
  <si>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</si>
  <si>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</si>
  <si>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</si>
  <si>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</si>
  <si>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</si>
  <si>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</si>
  <si>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</si>
  <si>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</si>
  <si>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</si>
  <si>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</si>
  <si>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</si>
  <si>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</si>
  <si>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</si>
  <si>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</si>
  <si>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</si>
  <si>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</si>
  <si>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</si>
  <si>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</si>
  <si>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</si>
  <si>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</si>
  <si>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</si>
  <si>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</si>
  <si>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</si>
  <si>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</si>
  <si>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</si>
  <si>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</si>
  <si>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</si>
  <si>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</si>
  <si>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</si>
  <si>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</si>
  <si>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</si>
  <si>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</si>
  <si>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</si>
  <si>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</si>
  <si>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</si>
  <si>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</si>
  <si>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</si>
  <si>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</si>
  <si>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</si>
  <si>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</si>
  <si>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</si>
  <si>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</si>
  <si>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</si>
  <si>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</si>
  <si>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</si>
  <si>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</si>
  <si>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</si>
  <si>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</si>
  <si>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</si>
  <si>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</si>
  <si>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</si>
  <si>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</si>
  <si>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</si>
  <si>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</si>
  <si>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</si>
  <si>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</si>
  <si>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</si>
  <si>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</si>
  <si>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</si>
  <si>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</si>
  <si>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</si>
  <si>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</si>
  <si>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</si>
  <si>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</si>
  <si>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</si>
  <si>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</si>
  <si>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</si>
  <si>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</si>
  <si>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</si>
  <si>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</si>
  <si>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</si>
  <si>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</si>
  <si>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</si>
  <si>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</si>
  <si>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</si>
  <si>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</si>
  <si>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</si>
  <si>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</si>
  <si>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</si>
  <si>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</si>
  <si>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</si>
  <si>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</si>
  <si>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</si>
  <si>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</si>
  <si>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</si>
  <si>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</si>
  <si>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</si>
  <si>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</si>
  <si>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</si>
  <si>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</si>
  <si>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</si>
  <si>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</si>
  <si>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</si>
  <si>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</si>
  <si>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</si>
  <si>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</si>
  <si>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</si>
  <si>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</si>
  <si>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</si>
  <si>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</si>
  <si>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mii dolari         SUA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</si>
  <si>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</si>
  <si>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</si>
  <si>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</si>
  <si>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</si>
  <si>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</si>
  <si>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</si>
  <si>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</si>
  <si>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</si>
  <si>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</si>
  <si>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</si>
  <si>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</si>
  <si>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</si>
  <si>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</si>
  <si>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</si>
  <si>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</si>
  <si>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</si>
  <si>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</si>
  <si>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</si>
  <si>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</si>
  <si>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</si>
  <si>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</si>
  <si>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</si>
  <si>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</si>
  <si>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</si>
  <si>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</si>
  <si>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</si>
  <si>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</si>
  <si>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</si>
  <si>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</si>
  <si>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</si>
  <si>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</si>
  <si>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</si>
  <si>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</si>
  <si>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</si>
  <si>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</si>
  <si>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</si>
  <si>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</si>
  <si>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</si>
  <si>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</si>
  <si>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</si>
  <si>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</si>
  <si>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</si>
  <si>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</si>
  <si>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</si>
  <si>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</si>
  <si>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</si>
  <si>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</si>
  <si>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</si>
  <si>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</si>
  <si>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</si>
  <si>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</si>
  <si>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</si>
  <si>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</si>
  <si>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</si>
  <si>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</si>
  <si>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</si>
  <si>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</si>
  <si>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</si>
  <si>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</si>
  <si>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</si>
  <si>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</si>
  <si>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</si>
  <si>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</si>
  <si>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</si>
  <si>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</si>
  <si>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</si>
  <si>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</si>
  <si>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</si>
  <si>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</si>
  <si>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</si>
  <si>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</si>
  <si>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</si>
  <si>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</si>
  <si>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</si>
  <si>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</si>
  <si>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</si>
  <si>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</si>
  <si>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</si>
  <si>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</si>
  <si>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</si>
  <si>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</si>
  <si>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</si>
  <si>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</si>
  <si>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</si>
  <si>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</si>
  <si>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</si>
  <si>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</si>
  <si>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</si>
  <si>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</si>
  <si>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</si>
  <si>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</si>
  <si>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</si>
  <si>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</si>
  <si>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</si>
  <si>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BALANŢA COMERCIALĂ – total, mii dolari SUA</t>
  </si>
  <si>
    <t>Libia</t>
  </si>
  <si>
    <t>Afganistan</t>
  </si>
  <si>
    <t>Tanzania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</si>
  <si>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</si>
  <si>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</si>
  <si>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</si>
  <si>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</si>
  <si>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</si>
  <si>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</si>
  <si>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</si>
  <si>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</si>
  <si>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</si>
  <si>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</si>
  <si>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</si>
  <si>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</si>
  <si>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</si>
  <si>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</si>
  <si>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</si>
  <si>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</si>
  <si>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</si>
  <si>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</si>
  <si>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</si>
  <si>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</si>
  <si>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</si>
  <si>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</si>
  <si>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</si>
  <si>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</si>
  <si>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</si>
  <si>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</si>
  <si>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</si>
  <si>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</si>
  <si>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</si>
  <si>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</si>
  <si>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</si>
  <si>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</si>
  <si>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</si>
  <si>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</si>
  <si>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</si>
  <si>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</si>
  <si>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</si>
  <si>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</si>
  <si>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</si>
  <si>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</si>
  <si>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</si>
  <si>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</si>
  <si>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</si>
  <si>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</si>
  <si>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</si>
  <si>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</si>
  <si>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</si>
  <si>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</si>
  <si>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</si>
  <si>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</si>
  <si>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</si>
  <si>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</si>
  <si>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</si>
  <si>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</si>
  <si>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</si>
  <si>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</si>
  <si>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</si>
  <si>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</si>
  <si>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</si>
  <si>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</si>
  <si>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</si>
  <si>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</si>
  <si>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</si>
  <si>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</si>
  <si>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</si>
  <si>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</si>
  <si>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</si>
  <si>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</si>
  <si>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</si>
  <si>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</si>
  <si>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</si>
  <si>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</si>
  <si>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</si>
  <si>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</si>
  <si>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</si>
  <si>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</si>
  <si>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-</t>
  </si>
  <si>
    <t>de 2,4 ori</t>
  </si>
  <si>
    <t>35</t>
  </si>
  <si>
    <t>Energie electrica</t>
  </si>
  <si>
    <t>Energie electrică</t>
  </si>
  <si>
    <t>BALANŢA COMERCIALĂ - total, mii dolari SUA</t>
  </si>
  <si>
    <t>Celelalte țări ale lumii</t>
  </si>
  <si>
    <t>Madagascar</t>
  </si>
  <si>
    <t>Malawi</t>
  </si>
  <si>
    <t>Coreea de Nord</t>
  </si>
  <si>
    <t>de 3,7 ori</t>
  </si>
  <si>
    <t>Republica Yemen</t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</si>
  <si>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</si>
  <si>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</si>
  <si>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</si>
  <si>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</si>
  <si>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</si>
  <si>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</si>
  <si>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2,8 ori</t>
  </si>
  <si>
    <t>Șri Lanka</t>
  </si>
  <si>
    <t>2021</t>
  </si>
  <si>
    <t>2022</t>
  </si>
  <si>
    <t>Cehia</t>
  </si>
  <si>
    <t>Kârgâzstan</t>
  </si>
  <si>
    <t>Panama</t>
  </si>
  <si>
    <t>Taiwan, provincie a Chinei</t>
  </si>
  <si>
    <t>Insulele Feroe</t>
  </si>
  <si>
    <t>97</t>
  </si>
  <si>
    <t>Aur nemonetar</t>
  </si>
  <si>
    <t>99</t>
  </si>
  <si>
    <t>Kuwait</t>
  </si>
  <si>
    <t>Paraguay</t>
  </si>
  <si>
    <t>Burkina Faso</t>
  </si>
  <si>
    <t>de 4,3 ori</t>
  </si>
  <si>
    <t>Liechtenstein</t>
  </si>
  <si>
    <t>Operațiuni neidentificate (ajutor umanitar)</t>
  </si>
  <si>
    <t>96</t>
  </si>
  <si>
    <t>Monede, care nu au curs legal (cu exceptia monedelor de aur)</t>
  </si>
  <si>
    <t>de 3,5 ori</t>
  </si>
  <si>
    <t>Gambia</t>
  </si>
  <si>
    <t>de 80,0 ori</t>
  </si>
  <si>
    <t xml:space="preserve">Țări cu codul țării de origine a mărfii "EU" </t>
  </si>
  <si>
    <t>San Marino</t>
  </si>
  <si>
    <t>Mauritius</t>
  </si>
  <si>
    <t>Venezuela</t>
  </si>
  <si>
    <t>Guatemala</t>
  </si>
  <si>
    <t>de 3,1 ori</t>
  </si>
  <si>
    <t>Regatul Țărilor de Jos (Netherlands)</t>
  </si>
  <si>
    <t>Senegal</t>
  </si>
  <si>
    <t>de 6,0 ori</t>
  </si>
  <si>
    <t>de 11,9 ori</t>
  </si>
  <si>
    <t>Insulele Folkland</t>
  </si>
  <si>
    <t>Trinidad și Tobago</t>
  </si>
  <si>
    <t>Țările Uniunii Europene - total</t>
  </si>
  <si>
    <t>Gaz și produse industriale obținute din gaz</t>
  </si>
  <si>
    <t>Mărfuri manufacturate, clasificate mai ales după materia primă</t>
  </si>
  <si>
    <t>Insulele Georgia și Sandwich de Sud</t>
  </si>
  <si>
    <t>Algeria</t>
  </si>
  <si>
    <t>Lesotho</t>
  </si>
  <si>
    <t>Andorra</t>
  </si>
  <si>
    <t>Honduras</t>
  </si>
  <si>
    <t>de 6,8 ori</t>
  </si>
  <si>
    <t>de 2,6 ori</t>
  </si>
  <si>
    <t>de 110,3 ori</t>
  </si>
  <si>
    <t>de 17,9 ori</t>
  </si>
  <si>
    <t>de 4,4 ori</t>
  </si>
  <si>
    <t>de 2,7 ori</t>
  </si>
  <si>
    <t>de 2,5 ori</t>
  </si>
  <si>
    <t>de 35,8 ori</t>
  </si>
  <si>
    <t>de 5,8 ori</t>
  </si>
  <si>
    <t>de 3,8 ori</t>
  </si>
  <si>
    <t>de 3,0 ori</t>
  </si>
  <si>
    <t>de 13,2 ori</t>
  </si>
  <si>
    <t>de 4,0 ori</t>
  </si>
  <si>
    <t>de 15,1 ori</t>
  </si>
  <si>
    <t>de 2,3 ori</t>
  </si>
  <si>
    <t>de 4,7 ori</t>
  </si>
  <si>
    <t>de 8,5 ori</t>
  </si>
  <si>
    <t>de 4,6 ori</t>
  </si>
  <si>
    <t>de 3,6 ori</t>
  </si>
  <si>
    <t>de 5,7 ori</t>
  </si>
  <si>
    <t>de 3,3 ori</t>
  </si>
  <si>
    <t>de 8,7 ori</t>
  </si>
  <si>
    <t>de 5,5 ori</t>
  </si>
  <si>
    <t>de 3,2 ori</t>
  </si>
  <si>
    <t>de 5,0 ori</t>
  </si>
  <si>
    <t>Ianuarie - iulie 2022</t>
  </si>
  <si>
    <t>în % faţă de ianuarie - iulie 2021¹</t>
  </si>
  <si>
    <t>ianuarie - iulie</t>
  </si>
  <si>
    <t>Ianuarie - iulie</t>
  </si>
  <si>
    <t>Ianuarie - iulie 2022  în % faţă de    ianuarie - iulie 2021¹</t>
  </si>
  <si>
    <t>Ianuarie - iulie 2022 în % faţă de            ianuarie - iulie 2021 ¹</t>
  </si>
  <si>
    <t>de 4,1 ori</t>
  </si>
  <si>
    <t>de 7,5 ori</t>
  </si>
  <si>
    <t>de 2910,1 ori</t>
  </si>
  <si>
    <t>de 16,3 ori</t>
  </si>
  <si>
    <t>de 2,9 ori</t>
  </si>
  <si>
    <t>de 254,0 ori</t>
  </si>
  <si>
    <t>Republica Dominicană</t>
  </si>
  <si>
    <t>de 9,0 ori</t>
  </si>
  <si>
    <t>de 21,6 ori</t>
  </si>
  <si>
    <t>de 583,3 ori</t>
  </si>
  <si>
    <t>de 20,7 ori</t>
  </si>
  <si>
    <t>de 34,3 ori</t>
  </si>
  <si>
    <t>Samoa Americana</t>
  </si>
  <si>
    <t>de 7,4 ori</t>
  </si>
  <si>
    <t>de 582,9 ori</t>
  </si>
  <si>
    <t>de 8,3 ori</t>
  </si>
  <si>
    <t>de 1433,1 ori</t>
  </si>
  <si>
    <t>de 7,7 ori</t>
  </si>
  <si>
    <t>de 30,8 ori</t>
  </si>
  <si>
    <t>de 6,6 ori</t>
  </si>
  <si>
    <t>de 12,7 ori</t>
  </si>
  <si>
    <t>de 19,7 ori</t>
  </si>
  <si>
    <t>de 19,5 ori</t>
  </si>
  <si>
    <t>de 6,2 ori</t>
  </si>
  <si>
    <t>de 5,9 ori</t>
  </si>
  <si>
    <t>de 6,1 ori</t>
  </si>
  <si>
    <t>de 155,7 ori</t>
  </si>
  <si>
    <t>de 134,9 ori</t>
  </si>
  <si>
    <t>de 152,4 ori</t>
  </si>
  <si>
    <t>de 1,6  ori</t>
  </si>
  <si>
    <t>de 137,3 ori</t>
  </si>
  <si>
    <r>
      <rPr>
        <b/>
        <sz val="9"/>
        <rFont val="Arial"/>
        <family val="2"/>
      </rPr>
      <t xml:space="preserve">Anexa 1.  </t>
    </r>
    <r>
      <rPr>
        <b/>
        <i/>
        <sz val="9"/>
        <rFont val="Arial"/>
        <family val="2"/>
      </rPr>
      <t>Exporturile structurate pe principalele ţări de destinaţie a mărfurilor şi pe grupe de ţări</t>
    </r>
  </si>
  <si>
    <r>
      <t xml:space="preserve">Ianuarie - iulie </t>
    </r>
    <r>
      <rPr>
        <b/>
        <vertAlign val="superscript"/>
        <sz val="9"/>
        <rFont val="Arial"/>
        <family val="2"/>
      </rPr>
      <t>1,2</t>
    </r>
  </si>
  <si>
    <r>
      <t xml:space="preserve"> 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Faţă de perioada corespunzătoare din anul precedent</t>
    </r>
  </si>
  <si>
    <r>
      <rPr>
        <b/>
        <sz val="9"/>
        <color indexed="8"/>
        <rFont val="Arial"/>
        <family val="2"/>
      </rPr>
      <t xml:space="preserve">Anexa 8.  </t>
    </r>
    <r>
      <rPr>
        <b/>
        <i/>
        <sz val="9"/>
        <color indexed="8"/>
        <rFont val="Arial"/>
        <family val="2"/>
      </rPr>
      <t xml:space="preserve">Balanţa comercială structurată pe grupe de mărfuri, </t>
    </r>
  </si>
  <si>
    <r>
      <rPr>
        <b/>
        <sz val="9"/>
        <color indexed="8"/>
        <rFont val="Arial"/>
        <family val="2"/>
      </rPr>
      <t>Anexa 7.</t>
    </r>
    <r>
      <rPr>
        <b/>
        <i/>
        <sz val="9"/>
        <color indexed="8"/>
        <rFont val="Arial"/>
        <family val="2"/>
      </rPr>
      <t xml:space="preserve">  Importurile structurate pe grupe de mărfuri, </t>
    </r>
  </si>
  <si>
    <r>
      <t xml:space="preserve">ianuarie - iulie </t>
    </r>
    <r>
      <rPr>
        <b/>
        <vertAlign val="superscript"/>
        <sz val="9"/>
        <color rgb="FF000000"/>
        <rFont val="Arial"/>
        <family val="2"/>
      </rPr>
      <t>1,2</t>
    </r>
  </si>
  <si>
    <r>
      <rPr>
        <b/>
        <sz val="9"/>
        <color indexed="8"/>
        <rFont val="Arial"/>
        <family val="2"/>
      </rPr>
      <t>Anexa 6.</t>
    </r>
    <r>
      <rPr>
        <b/>
        <i/>
        <sz val="9"/>
        <color indexed="8"/>
        <rFont val="Arial"/>
        <family val="2"/>
      </rPr>
      <t xml:space="preserve">  Exporturile structurate pe grupe de mărfuri, </t>
    </r>
  </si>
  <si>
    <r>
      <t>ianuarie - iulie</t>
    </r>
    <r>
      <rPr>
        <b/>
        <vertAlign val="superscript"/>
        <sz val="9"/>
        <color rgb="FF000000"/>
        <rFont val="Arial"/>
        <family val="2"/>
      </rPr>
      <t xml:space="preserve"> 1,2</t>
    </r>
  </si>
  <si>
    <r>
      <rPr>
        <b/>
        <sz val="9"/>
        <rFont val="Arial"/>
        <family val="2"/>
      </rPr>
      <t>Anexa 5.</t>
    </r>
    <r>
      <rPr>
        <b/>
        <i/>
        <sz val="9"/>
        <rFont val="Arial"/>
        <family val="2"/>
      </rPr>
      <t xml:space="preserve">  Importurile structurate după modul de transport al mărfurilor </t>
    </r>
  </si>
  <si>
    <r>
      <rPr>
        <b/>
        <sz val="9"/>
        <rFont val="Arial"/>
        <family val="2"/>
      </rPr>
      <t xml:space="preserve">Anexa 4.  </t>
    </r>
    <r>
      <rPr>
        <b/>
        <i/>
        <sz val="9"/>
        <rFont val="Arial"/>
        <family val="2"/>
      </rPr>
      <t xml:space="preserve">Exporturile structurate după modul de transport al mărfurilor </t>
    </r>
  </si>
  <si>
    <r>
      <rPr>
        <b/>
        <sz val="9"/>
        <color indexed="8"/>
        <rFont val="Arial"/>
        <family val="2"/>
      </rPr>
      <t xml:space="preserve">Anexa 3.  </t>
    </r>
    <r>
      <rPr>
        <b/>
        <i/>
        <sz val="9"/>
        <color indexed="8"/>
        <rFont val="Arial"/>
        <family val="2"/>
      </rPr>
      <t>Balanţa comercială structurată pe principalele ţări şi pe grupe de ţări</t>
    </r>
  </si>
  <si>
    <r>
      <rPr>
        <b/>
        <sz val="9"/>
        <color indexed="8"/>
        <rFont val="Arial"/>
        <family val="2"/>
      </rPr>
      <t xml:space="preserve">Anexa 2.  </t>
    </r>
    <r>
      <rPr>
        <b/>
        <i/>
        <sz val="9"/>
        <color indexed="8"/>
        <rFont val="Arial"/>
        <family val="2"/>
      </rPr>
      <t>Importurile structurate pe principalele ţări de origine a mărfurilor şi pe grupe de ţări</t>
    </r>
  </si>
  <si>
    <r>
      <t xml:space="preserve">ianuarie -iulie </t>
    </r>
    <r>
      <rPr>
        <b/>
        <vertAlign val="superscript"/>
        <sz val="9"/>
        <rFont val="Arial"/>
        <family val="2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</si>
</sst>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indexed="8"/>
      <name val="Times New Roman"/>
      <family val="2"/>
      <charset val="238"/>
    </font>
    <font>
      <sz val="8"/>
      <name val="Times New Roman"/>
      <family val="2"/>
      <charset val="238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2"/>
      <charset val="238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b/>
      <i/>
      <sz val="9"/>
      <color indexed="8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</cellStyleXfs>
  <cellXfs count="119">
    <xf numFmtId="0" fontId="0" fillId="0" borderId="0" xfId="0"/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7" fillId="0" borderId="5" xfId="0" applyFont="1" applyBorder="1" applyAlignment="1">
      <alignment horizontal="left" vertical="top" wrapText="1" indent="1"/>
    </xf>
    <xf numFmtId="4" fontId="7" fillId="0" borderId="0" xfId="0" applyNumberFormat="1" applyFont="1" applyAlignment="1">
      <alignment horizontal="right" vertical="top" indent="1"/>
    </xf>
    <xf numFmtId="4" fontId="7" fillId="0" borderId="5" xfId="0" applyNumberFormat="1" applyFont="1" applyBorder="1" applyAlignment="1">
      <alignment horizontal="right" vertical="top" indent="1"/>
    </xf>
    <xf numFmtId="0" fontId="9" fillId="0" borderId="0" xfId="0" applyFont="1" applyAlignment="1">
      <alignment horizontal="left" vertical="top" wrapText="1"/>
    </xf>
    <xf numFmtId="4" fontId="11" fillId="0" borderId="0" xfId="0" applyNumberFormat="1" applyFont="1" applyAlignment="1">
      <alignment horizontal="right" vertical="top" indent="1"/>
    </xf>
    <xf numFmtId="0" fontId="7" fillId="0" borderId="0" xfId="0" applyFont="1" applyAlignment="1">
      <alignment horizontal="left" vertical="top" wrapText="1" indent="1"/>
    </xf>
    <xf numFmtId="38" fontId="9" fillId="0" borderId="0" xfId="0" applyNumberFormat="1" applyFont="1" applyAlignment="1">
      <alignment horizontal="left" vertical="top" wrapText="1" indent="1"/>
    </xf>
    <xf numFmtId="4" fontId="9" fillId="0" borderId="0" xfId="0" applyNumberFormat="1" applyFont="1" applyAlignment="1">
      <alignment horizontal="right" vertical="top" indent="1"/>
    </xf>
    <xf numFmtId="0" fontId="12" fillId="0" borderId="0" xfId="0" applyFont="1"/>
    <xf numFmtId="0" fontId="13" fillId="0" borderId="0" xfId="0" applyFont="1"/>
    <xf numFmtId="0" fontId="9" fillId="0" borderId="0" xfId="0" applyFont="1"/>
    <xf numFmtId="0" fontId="14" fillId="0" borderId="0" xfId="0" applyFont="1" applyAlignment="1">
      <alignment horizontal="left" vertical="top" indent="1"/>
    </xf>
    <xf numFmtId="0" fontId="14" fillId="0" borderId="0" xfId="0" applyFont="1" applyAlignment="1">
      <alignment horizontal="left" vertical="top" wrapText="1" indent="1"/>
    </xf>
    <xf numFmtId="38" fontId="9" fillId="0" borderId="3" xfId="0" applyNumberFormat="1" applyFont="1" applyBorder="1" applyAlignment="1">
      <alignment horizontal="left" vertical="top" wrapText="1" indent="1"/>
    </xf>
    <xf numFmtId="4" fontId="9" fillId="0" borderId="3" xfId="0" applyNumberFormat="1" applyFont="1" applyBorder="1" applyAlignment="1">
      <alignment horizontal="right" vertical="top" inden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vertical="top" indent="1"/>
    </xf>
    <xf numFmtId="38" fontId="7" fillId="0" borderId="0" xfId="0" applyNumberFormat="1" applyFont="1" applyFill="1" applyAlignment="1" applyProtection="1">
      <alignment horizontal="center" vertical="top"/>
    </xf>
    <xf numFmtId="38" fontId="7" fillId="0" borderId="0" xfId="0" applyNumberFormat="1" applyFont="1" applyFill="1" applyAlignment="1" applyProtection="1">
      <alignment horizontal="left" vertical="top" wrapText="1"/>
    </xf>
    <xf numFmtId="4" fontId="7" fillId="0" borderId="0" xfId="4" applyNumberFormat="1" applyFont="1" applyAlignment="1">
      <alignment horizontal="right" vertical="top" indent="1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4" applyNumberFormat="1" applyFont="1" applyAlignment="1">
      <alignment horizontal="right" vertical="top" indent="1"/>
    </xf>
    <xf numFmtId="38" fontId="7" fillId="0" borderId="0" xfId="0" applyNumberFormat="1" applyFont="1" applyFill="1" applyBorder="1" applyAlignment="1" applyProtection="1">
      <alignment horizontal="center" vertical="top"/>
    </xf>
    <xf numFmtId="38" fontId="7" fillId="0" borderId="0" xfId="0" applyNumberFormat="1" applyFont="1" applyFill="1" applyBorder="1" applyAlignment="1" applyProtection="1">
      <alignment horizontal="left" vertical="top" wrapText="1"/>
    </xf>
    <xf numFmtId="38" fontId="9" fillId="0" borderId="3" xfId="0" applyNumberFormat="1" applyFont="1" applyFill="1" applyBorder="1" applyAlignment="1" applyProtection="1">
      <alignment horizontal="center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4" fontId="9" fillId="0" borderId="3" xfId="4" applyNumberFormat="1" applyFont="1" applyBorder="1" applyAlignment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164" fontId="9" fillId="0" borderId="0" xfId="0" applyNumberFormat="1" applyFont="1" applyFill="1" applyAlignment="1" applyProtection="1">
      <alignment horizontal="right" vertical="top" indent="1"/>
    </xf>
    <xf numFmtId="0" fontId="1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top"/>
    </xf>
    <xf numFmtId="4" fontId="8" fillId="0" borderId="0" xfId="0" applyNumberFormat="1" applyFont="1"/>
    <xf numFmtId="38" fontId="7" fillId="0" borderId="0" xfId="0" applyNumberFormat="1" applyFont="1" applyAlignment="1">
      <alignment horizontal="center" vertical="top"/>
    </xf>
    <xf numFmtId="38" fontId="7" fillId="0" borderId="0" xfId="0" applyNumberFormat="1" applyFont="1" applyAlignment="1">
      <alignment horizontal="left" vertical="top" wrapText="1"/>
    </xf>
    <xf numFmtId="38" fontId="9" fillId="0" borderId="0" xfId="0" applyNumberFormat="1" applyFont="1" applyAlignment="1">
      <alignment horizontal="center" vertical="top"/>
    </xf>
    <xf numFmtId="38" fontId="9" fillId="0" borderId="0" xfId="0" applyNumberFormat="1" applyFont="1" applyAlignment="1">
      <alignment horizontal="left" vertical="top" wrapText="1"/>
    </xf>
    <xf numFmtId="38" fontId="9" fillId="0" borderId="3" xfId="0" applyNumberFormat="1" applyFont="1" applyBorder="1" applyAlignment="1">
      <alignment horizontal="center" vertical="top"/>
    </xf>
    <xf numFmtId="38" fontId="9" fillId="0" borderId="3" xfId="0" applyNumberFormat="1" applyFont="1" applyBorder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2" fontId="9" fillId="0" borderId="0" xfId="0" applyNumberFormat="1" applyFont="1" applyFill="1" applyBorder="1" applyAlignment="1" applyProtection="1">
      <alignment horizontal="right" vertical="top" indent="1"/>
    </xf>
    <xf numFmtId="0" fontId="8" fillId="0" borderId="0" xfId="0" applyFont="1" applyAlignment="1">
      <alignment horizontal="justify"/>
    </xf>
    <xf numFmtId="0" fontId="9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4" fontId="7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49" fontId="9" fillId="0" borderId="0" xfId="0" applyNumberFormat="1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top" wrapText="1" indent="1"/>
    </xf>
    <xf numFmtId="0" fontId="9" fillId="0" borderId="0" xfId="0" applyFont="1" applyAlignment="1">
      <alignment horizontal="left" vertical="top" wrapText="1" indent="1"/>
    </xf>
    <xf numFmtId="4" fontId="11" fillId="0" borderId="0" xfId="0" applyNumberFormat="1" applyFont="1" applyAlignment="1">
      <alignment horizontal="righ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0" fontId="7" fillId="0" borderId="0" xfId="0" applyNumberFormat="1" applyFont="1" applyFill="1" applyAlignment="1" applyProtection="1">
      <alignment horizontal="left" vertical="top" wrapText="1" indent="1"/>
    </xf>
    <xf numFmtId="4" fontId="7" fillId="0" borderId="0" xfId="0" applyNumberFormat="1" applyFont="1" applyAlignment="1">
      <alignment horizontal="right" vertical="top" wrapText="1" indent="1"/>
    </xf>
    <xf numFmtId="4" fontId="14" fillId="0" borderId="0" xfId="0" applyNumberFormat="1" applyFont="1" applyAlignment="1">
      <alignment horizontal="right" vertical="top" indent="1"/>
    </xf>
    <xf numFmtId="4" fontId="7" fillId="0" borderId="0" xfId="0" applyNumberFormat="1" applyFont="1" applyBorder="1" applyAlignment="1">
      <alignment horizontal="right" vertical="top" indent="1"/>
    </xf>
    <xf numFmtId="4" fontId="16" fillId="0" borderId="0" xfId="0" applyNumberFormat="1" applyFont="1" applyAlignment="1">
      <alignment horizontal="right" vertical="top" indent="1"/>
    </xf>
    <xf numFmtId="4" fontId="9" fillId="0" borderId="0" xfId="0" applyNumberFormat="1" applyFont="1" applyBorder="1" applyAlignment="1">
      <alignment horizontal="right" vertical="top" indent="1"/>
    </xf>
    <xf numFmtId="4" fontId="9" fillId="0" borderId="0" xfId="0" applyNumberFormat="1" applyFont="1" applyAlignment="1">
      <alignment horizontal="right" vertical="top" wrapText="1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38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Font="1" applyFill="1"/>
    <xf numFmtId="0" fontId="9" fillId="0" borderId="0" xfId="0" applyNumberFormat="1" applyFont="1" applyFill="1" applyBorder="1" applyAlignment="1" applyProtection="1">
      <alignment horizontal="left" vertical="top" wrapText="1" indent="1"/>
    </xf>
    <xf numFmtId="4" fontId="14" fillId="0" borderId="3" xfId="0" applyNumberFormat="1" applyFont="1" applyBorder="1" applyAlignment="1">
      <alignment horizontal="right" vertical="top" indent="1"/>
    </xf>
    <xf numFmtId="4" fontId="12" fillId="0" borderId="0" xfId="0" applyNumberFormat="1" applyFont="1" applyAlignment="1">
      <alignment horizontal="right" vertical="top" indent="1"/>
    </xf>
    <xf numFmtId="0" fontId="8" fillId="0" borderId="0" xfId="0" applyFont="1" applyAlignment="1">
      <alignment horizontal="center"/>
    </xf>
    <xf numFmtId="2" fontId="7" fillId="0" borderId="5" xfId="0" applyNumberFormat="1" applyFont="1" applyBorder="1" applyAlignment="1">
      <alignment horizontal="right" vertical="top" indent="1"/>
    </xf>
    <xf numFmtId="2" fontId="7" fillId="0" borderId="0" xfId="0" applyNumberFormat="1" applyFont="1" applyAlignment="1">
      <alignment horizontal="right" vertical="top" indent="1"/>
    </xf>
    <xf numFmtId="2" fontId="9" fillId="0" borderId="0" xfId="0" applyNumberFormat="1" applyFont="1" applyAlignment="1">
      <alignment horizontal="right" vertical="top" indent="1"/>
    </xf>
    <xf numFmtId="2" fontId="14" fillId="0" borderId="0" xfId="0" applyNumberFormat="1" applyFont="1" applyAlignment="1">
      <alignment horizontal="right" vertical="top" indent="1"/>
    </xf>
    <xf numFmtId="38" fontId="9" fillId="0" borderId="0" xfId="0" applyNumberFormat="1" applyFont="1" applyBorder="1" applyAlignment="1">
      <alignment horizontal="left" vertical="top" wrapText="1" indent="1"/>
    </xf>
    <xf numFmtId="4" fontId="14" fillId="0" borderId="0" xfId="0" applyNumberFormat="1" applyFont="1" applyBorder="1" applyAlignment="1">
      <alignment horizontal="right" vertical="top" indent="1"/>
    </xf>
    <xf numFmtId="2" fontId="9" fillId="0" borderId="0" xfId="0" applyNumberFormat="1" applyFont="1" applyBorder="1" applyAlignment="1">
      <alignment horizontal="right" vertical="top" indent="1"/>
    </xf>
    <xf numFmtId="2" fontId="9" fillId="0" borderId="3" xfId="0" applyNumberFormat="1" applyFont="1" applyBorder="1" applyAlignment="1">
      <alignment horizontal="right" vertical="top" indent="1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11"/>
  <sheetViews>
    <sheetView tabSelected="1" zoomScale="99" zoomScaleNormal="99" workbookViewId="0">
      <selection activeCell="F3" sqref="F3:G3"/>
    </sheetView>
  </sheetViews>
  <sheetFormatPr defaultRowHeight="12" x14ac:dyDescent="0.2"/>
  <cols>
    <col min="1" max="1" width="29.25" style="29" customWidth="1"/>
    <col min="2" max="2" width="12.125" style="29" customWidth="1"/>
    <col min="3" max="3" width="10.5" style="29" customWidth="1"/>
    <col min="4" max="4" width="9" style="29" customWidth="1"/>
    <col min="5" max="5" width="8.75" style="29" customWidth="1"/>
    <col min="6" max="6" width="9.875" style="29" customWidth="1"/>
    <col min="7" max="7" width="8.875" style="29" customWidth="1"/>
    <col min="8" max="8" width="9" style="3"/>
    <col min="9" max="9" width="9.625" style="3" customWidth="1"/>
    <col min="10" max="16384" width="9" style="3"/>
  </cols>
  <sheetData>
    <row r="1" spans="1:8" x14ac:dyDescent="0.2">
      <c r="A1" s="2" t="s">
        <v>403</v>
      </c>
      <c r="B1" s="2"/>
      <c r="C1" s="2"/>
      <c r="D1" s="2"/>
      <c r="E1" s="2"/>
      <c r="F1" s="2"/>
      <c r="G1" s="2"/>
    </row>
    <row r="3" spans="1:8" ht="54" customHeight="1" x14ac:dyDescent="0.2">
      <c r="A3" s="4"/>
      <c r="B3" s="5" t="s">
        <v>366</v>
      </c>
      <c r="C3" s="6"/>
      <c r="D3" s="5" t="s">
        <v>104</v>
      </c>
      <c r="E3" s="6"/>
      <c r="F3" s="7" t="s">
        <v>1</v>
      </c>
      <c r="G3" s="8"/>
    </row>
    <row r="4" spans="1:8" ht="22.5" customHeight="1" x14ac:dyDescent="0.2">
      <c r="A4" s="9"/>
      <c r="B4" s="10" t="s">
        <v>95</v>
      </c>
      <c r="C4" s="11" t="s">
        <v>367</v>
      </c>
      <c r="D4" s="12" t="s">
        <v>368</v>
      </c>
      <c r="E4" s="12"/>
      <c r="F4" s="12" t="s">
        <v>404</v>
      </c>
      <c r="G4" s="5"/>
    </row>
    <row r="5" spans="1:8" ht="28.5" customHeight="1" x14ac:dyDescent="0.2">
      <c r="A5" s="13"/>
      <c r="B5" s="14"/>
      <c r="C5" s="15"/>
      <c r="D5" s="16" t="s">
        <v>300</v>
      </c>
      <c r="E5" s="16" t="s">
        <v>301</v>
      </c>
      <c r="F5" s="16" t="s">
        <v>300</v>
      </c>
      <c r="G5" s="17" t="s">
        <v>301</v>
      </c>
      <c r="H5" s="18"/>
    </row>
    <row r="6" spans="1:8" ht="15.75" customHeight="1" x14ac:dyDescent="0.2">
      <c r="A6" s="19" t="s">
        <v>96</v>
      </c>
      <c r="B6" s="20">
        <v>2629714.41023</v>
      </c>
      <c r="C6" s="21">
        <f>IF(1572223.23546="","-",2629714.41023/1572223.23546*100)</f>
        <v>167.26087942979672</v>
      </c>
      <c r="D6" s="21">
        <v>100</v>
      </c>
      <c r="E6" s="21">
        <v>100</v>
      </c>
      <c r="F6" s="21">
        <f>IF(1361306.86729="","-",(1572223.23546-1361306.86729)/1361306.86729*100)</f>
        <v>15.493668124210567</v>
      </c>
      <c r="G6" s="21">
        <f>IF(1572223.23546="","-",(2629714.41023-1572223.23546)/1572223.23546*100)</f>
        <v>67.260879429796745</v>
      </c>
    </row>
    <row r="7" spans="1:8" x14ac:dyDescent="0.2">
      <c r="A7" s="22" t="s">
        <v>120</v>
      </c>
      <c r="B7" s="23"/>
      <c r="C7" s="23"/>
      <c r="D7" s="23"/>
      <c r="E7" s="23"/>
      <c r="F7" s="23"/>
      <c r="G7" s="23"/>
    </row>
    <row r="8" spans="1:8" x14ac:dyDescent="0.2">
      <c r="A8" s="24" t="s">
        <v>129</v>
      </c>
      <c r="B8" s="20">
        <v>1587075.12366</v>
      </c>
      <c r="C8" s="20">
        <f>IF(1009762.267="","-",1587075.12366/1009762.267*100)</f>
        <v>157.1731461480725</v>
      </c>
      <c r="D8" s="20">
        <f>IF(1009762.267="","-",1009762.267/1572223.23546*100)</f>
        <v>64.225120467995396</v>
      </c>
      <c r="E8" s="20">
        <f>IF(1587075.12366="","-",1587075.12366/2629714.41023*100)</f>
        <v>60.351615273735803</v>
      </c>
      <c r="F8" s="20">
        <f>IF(1361306.86729="","-",(1009762.267-875522.35184)/1361306.86729*100)</f>
        <v>9.861106146275155</v>
      </c>
      <c r="G8" s="20">
        <f>IF(1572223.23546="","-",(1587075.12366-1009762.267)/1572223.23546*100)</f>
        <v>36.719521988942631</v>
      </c>
    </row>
    <row r="9" spans="1:8" ht="15.75" customHeight="1" x14ac:dyDescent="0.2">
      <c r="A9" s="25" t="s">
        <v>2</v>
      </c>
      <c r="B9" s="26">
        <v>749322.60427999997</v>
      </c>
      <c r="C9" s="26" t="s">
        <v>99</v>
      </c>
      <c r="D9" s="26">
        <f>IF(438720.7544="","-",438720.7544/1572223.23546*100)</f>
        <v>27.904482296474857</v>
      </c>
      <c r="E9" s="26">
        <f>IF(749322.60428="","-",749322.60428/2629714.41023*100)</f>
        <v>28.494447966099205</v>
      </c>
      <c r="F9" s="26">
        <f>IF(OR(1361306.86729="",357021.51263="",438720.7544=""),"-",(438720.7544-357021.51263)/1361306.86729*100)</f>
        <v>6.0015301276369399</v>
      </c>
      <c r="G9" s="26">
        <f>IF(OR(1572223.23546="",749322.60428="",438720.7544=""),"-",(749322.60428-438720.7544)/1572223.23546*100)</f>
        <v>19.755581960288502</v>
      </c>
    </row>
    <row r="10" spans="1:8" ht="15.75" customHeight="1" x14ac:dyDescent="0.2">
      <c r="A10" s="25" t="s">
        <v>3</v>
      </c>
      <c r="B10" s="26">
        <v>216986.61941000001</v>
      </c>
      <c r="C10" s="26" t="s">
        <v>195</v>
      </c>
      <c r="D10" s="26">
        <f>IF(118873.60248="","-",118873.60248/1572223.23546*100)</f>
        <v>7.5608603027177645</v>
      </c>
      <c r="E10" s="26">
        <f>IF(216986.61941="","-",216986.61941/2629714.41023*100)</f>
        <v>8.2513378093791534</v>
      </c>
      <c r="F10" s="26">
        <f>IF(OR(1361306.86729="",124232.66174="",118873.60248=""),"-",(118873.60248-124232.66174)/1361306.86729*100)</f>
        <v>-0.39367018478856697</v>
      </c>
      <c r="G10" s="26">
        <f>IF(OR(1572223.23546="",216986.61941="",118873.60248=""),"-",(216986.61941-118873.60248)/1572223.23546*100)</f>
        <v>6.2403998819731328</v>
      </c>
    </row>
    <row r="11" spans="1:8" ht="13.5" customHeight="1" x14ac:dyDescent="0.2">
      <c r="A11" s="25" t="s">
        <v>4</v>
      </c>
      <c r="B11" s="26">
        <v>143484.11319</v>
      </c>
      <c r="C11" s="26">
        <f>IF(OR(154977.80417="",143484.11319=""),"-",143484.11319/154977.80417*100)</f>
        <v>92.583653484087179</v>
      </c>
      <c r="D11" s="26">
        <f>IF(154977.80417="","-",154977.80417/1572223.23546*100)</f>
        <v>9.8572391422937269</v>
      </c>
      <c r="E11" s="26">
        <f>IF(143484.11319="","-",143484.11319/2629714.41023*100)</f>
        <v>5.456262194549506</v>
      </c>
      <c r="F11" s="26">
        <f>IF(OR(1361306.86729="",121478.61347="",154977.80417=""),"-",(154977.80417-121478.61347)/1361306.86729*100)</f>
        <v>2.4608111150344798</v>
      </c>
      <c r="G11" s="26">
        <f>IF(OR(1572223.23546="",143484.11319="",154977.80417=""),"-",(143484.11319-154977.80417)/1572223.23546*100)</f>
        <v>-0.73104701169469533</v>
      </c>
    </row>
    <row r="12" spans="1:8" ht="15.75" customHeight="1" x14ac:dyDescent="0.2">
      <c r="A12" s="25" t="s">
        <v>6</v>
      </c>
      <c r="B12" s="26">
        <v>119553.79837999999</v>
      </c>
      <c r="C12" s="26" t="s">
        <v>363</v>
      </c>
      <c r="D12" s="26">
        <f>IF(21667.15476="","-",21667.15476/1572223.23546*100)</f>
        <v>1.3781220294496308</v>
      </c>
      <c r="E12" s="26">
        <f>IF(119553.79838="","-",119553.79838/2629714.41023*100)</f>
        <v>4.5462654771528435</v>
      </c>
      <c r="F12" s="26">
        <f>IF(OR(1361306.86729="",20948.8324="",21667.15476=""),"-",(21667.15476-20948.8324)/1361306.86729*100)</f>
        <v>5.2767114987819816E-2</v>
      </c>
      <c r="G12" s="26">
        <f>IF(OR(1572223.23546="",119553.79838="",21667.15476=""),"-",(119553.79838-21667.15476)/1572223.23546*100)</f>
        <v>6.22600158884946</v>
      </c>
    </row>
    <row r="13" spans="1:8" s="27" customFormat="1" x14ac:dyDescent="0.2">
      <c r="A13" s="25" t="s">
        <v>5</v>
      </c>
      <c r="B13" s="26">
        <v>72902.934080000006</v>
      </c>
      <c r="C13" s="26">
        <f>IF(OR(60334.40485="",72902.93408=""),"-",72902.93408/60334.40485*100)</f>
        <v>120.83144643797709</v>
      </c>
      <c r="D13" s="26">
        <f>IF(60334.40485="","-",60334.40485/1572223.23546*100)</f>
        <v>3.8375215102547058</v>
      </c>
      <c r="E13" s="26">
        <f>IF(72902.93408="","-",72902.93408/2629714.41023*100)</f>
        <v>2.772275719233853</v>
      </c>
      <c r="F13" s="26">
        <f>IF(OR(1361306.86729="",54035.21941="",60334.40485=""),"-",(60334.40485-54035.21941)/1361306.86729*100)</f>
        <v>0.46273074729579555</v>
      </c>
      <c r="G13" s="26">
        <f>IF(OR(1572223.23546="",72902.93408="",60334.40485=""),"-",(72902.93408-60334.40485)/1572223.23546*100)</f>
        <v>0.79941123795455893</v>
      </c>
    </row>
    <row r="14" spans="1:8" s="27" customFormat="1" x14ac:dyDescent="0.2">
      <c r="A14" s="25" t="s">
        <v>302</v>
      </c>
      <c r="B14" s="26">
        <v>57486.036</v>
      </c>
      <c r="C14" s="26">
        <f>IF(OR(49898.47956="",57486.036=""),"-",57486.036/49898.47956*100)</f>
        <v>115.20598725032576</v>
      </c>
      <c r="D14" s="26">
        <f>IF(49898.47956="","-",49898.47956/1572223.23546*100)</f>
        <v>3.1737528383112044</v>
      </c>
      <c r="E14" s="26">
        <f>IF(57486.036="","-",57486.036/2629714.41023*100)</f>
        <v>2.1860182146156379</v>
      </c>
      <c r="F14" s="26">
        <f>IF(OR(1361306.86729="",46614.63328="",49898.47956=""),"-",(49898.47956-46614.63328)/1361306.86729*100)</f>
        <v>0.24122748212805703</v>
      </c>
      <c r="G14" s="26">
        <f>IF(OR(1572223.23546="",57486.036="",49898.47956=""),"-",(57486.036-49898.47956)/1572223.23546*100)</f>
        <v>0.48260045195045331</v>
      </c>
    </row>
    <row r="15" spans="1:8" s="27" customFormat="1" x14ac:dyDescent="0.2">
      <c r="A15" s="25" t="s">
        <v>327</v>
      </c>
      <c r="B15" s="26">
        <v>48344.988310000001</v>
      </c>
      <c r="C15" s="26" t="s">
        <v>194</v>
      </c>
      <c r="D15" s="26">
        <f>IF(21533.53654="","-",21533.53654/1572223.23546*100)</f>
        <v>1.369623349555684</v>
      </c>
      <c r="E15" s="26">
        <f>IF(48344.98831="","-",48344.98831/2629714.41023*100)</f>
        <v>1.8384121150924391</v>
      </c>
      <c r="F15" s="26">
        <f>IF(OR(1361306.86729="",20499.17493="",21533.53654=""),"-",(21533.53654-20499.17493)/1361306.86729*100)</f>
        <v>7.5982986265186389E-2</v>
      </c>
      <c r="G15" s="26">
        <f>IF(OR(1572223.23546="",48344.98831="",21533.53654=""),"-",(48344.98831-21533.53654)/1572223.23546*100)</f>
        <v>1.7053209216918563</v>
      </c>
    </row>
    <row r="16" spans="1:8" s="27" customFormat="1" x14ac:dyDescent="0.2">
      <c r="A16" s="25" t="s">
        <v>40</v>
      </c>
      <c r="B16" s="26">
        <v>31810.624510000001</v>
      </c>
      <c r="C16" s="26">
        <f>IF(OR(22908.64638="",31810.62451=""),"-",31810.62451/22908.64638*100)</f>
        <v>138.85859505767974</v>
      </c>
      <c r="D16" s="26">
        <f>IF(22908.64638="","-",22908.64638/1572223.23546*100)</f>
        <v>1.4570861098676868</v>
      </c>
      <c r="E16" s="26">
        <f>IF(31810.62451="","-",31810.62451/2629714.41023*100)</f>
        <v>1.2096608052285716</v>
      </c>
      <c r="F16" s="26">
        <f>IF(OR(1361306.86729="",11599.2305="",22908.64638=""),"-",(22908.64638-11599.2305)/1361306.86729*100)</f>
        <v>0.83077637759324896</v>
      </c>
      <c r="G16" s="26">
        <f>IF(OR(1572223.23546="",31810.62451="",22908.64638=""),"-",(31810.62451-22908.64638)/1572223.23546*100)</f>
        <v>0.56620319107518258</v>
      </c>
    </row>
    <row r="17" spans="1:7" s="27" customFormat="1" x14ac:dyDescent="0.2">
      <c r="A17" s="25" t="s">
        <v>292</v>
      </c>
      <c r="B17" s="26">
        <v>26514.382290000001</v>
      </c>
      <c r="C17" s="26">
        <f>IF(OR(20448.1662="",26514.38229=""),"-",26514.38229/20448.1662*100)</f>
        <v>129.66630861010901</v>
      </c>
      <c r="D17" s="26">
        <f>IF(20448.1662="","-",20448.1662/1572223.23546*100)</f>
        <v>1.3005892381444986</v>
      </c>
      <c r="E17" s="26">
        <f>IF(26514.38229="","-",26514.38229/2629714.41023*100)</f>
        <v>1.0082609041824053</v>
      </c>
      <c r="F17" s="26">
        <f>IF(OR(1361306.86729="",20287.57356="",20448.1662=""),"-",(20448.1662-20287.57356)/1361306.86729*100)</f>
        <v>1.1796946291742154E-2</v>
      </c>
      <c r="G17" s="26">
        <f>IF(OR(1572223.23546="",26514.38229="",20448.1662=""),"-",(26514.38229-20448.1662)/1572223.23546*100)</f>
        <v>0.38583681713781259</v>
      </c>
    </row>
    <row r="18" spans="1:7" s="27" customFormat="1" x14ac:dyDescent="0.2">
      <c r="A18" s="25" t="s">
        <v>38</v>
      </c>
      <c r="B18" s="26">
        <v>24062.432629999999</v>
      </c>
      <c r="C18" s="26">
        <f>IF(OR(19419.49218="",24062.43263=""),"-",24062.43263/19419.49218*100)</f>
        <v>123.90866046838099</v>
      </c>
      <c r="D18" s="26">
        <f>IF(19419.49218="","-",19419.49218/1572223.23546*100)</f>
        <v>1.2351612507697265</v>
      </c>
      <c r="E18" s="26">
        <f>IF(24062.43263="","-",24062.43263/2629714.41023*100)</f>
        <v>0.91502075420788564</v>
      </c>
      <c r="F18" s="26">
        <f>IF(OR(1361306.86729="",22711.31089="",19419.49218=""),"-",(19419.49218-22711.31089)/1361306.86729*100)</f>
        <v>-0.24181312745105996</v>
      </c>
      <c r="G18" s="26">
        <f>IF(OR(1572223.23546="",24062.43263="",19419.49218=""),"-",(24062.43263-19419.49218)/1572223.23546*100)</f>
        <v>0.29531050968354183</v>
      </c>
    </row>
    <row r="19" spans="1:7" s="28" customFormat="1" x14ac:dyDescent="0.2">
      <c r="A19" s="25" t="s">
        <v>8</v>
      </c>
      <c r="B19" s="26">
        <v>21524.984949999998</v>
      </c>
      <c r="C19" s="26">
        <f>IF(OR(15303.18103="",21524.98495=""),"-",21524.98495/15303.18103*100)</f>
        <v>140.65693209668578</v>
      </c>
      <c r="D19" s="26">
        <f>IF(15303.18103="","-",15303.18103/1572223.23546*100)</f>
        <v>0.97334657603648789</v>
      </c>
      <c r="E19" s="26">
        <f>IF(21524.98495="","-",21524.98495/2629714.41023*100)</f>
        <v>0.81852937589969621</v>
      </c>
      <c r="F19" s="26">
        <f>IF(OR(1361306.86729="",22740.36351="",15303.18103=""),"-",(15303.18103-22740.36351)/1361306.86729*100)</f>
        <v>-0.54632667025366977</v>
      </c>
      <c r="G19" s="26">
        <f>IF(OR(1572223.23546="",21524.98495="",15303.18103=""),"-",(21524.98495-15303.18103)/1572223.23546*100)</f>
        <v>0.39573285648457079</v>
      </c>
    </row>
    <row r="20" spans="1:7" s="27" customFormat="1" x14ac:dyDescent="0.2">
      <c r="A20" s="25" t="s">
        <v>49</v>
      </c>
      <c r="B20" s="26">
        <v>14646.19759</v>
      </c>
      <c r="C20" s="26">
        <f>IF(OR(16153.97635="",14646.19759=""),"-",14646.19759/16153.97635*100)</f>
        <v>90.666206713865833</v>
      </c>
      <c r="D20" s="26">
        <f>IF(16153.97635="","-",16153.97635/1572223.23546*100)</f>
        <v>1.0274607311266253</v>
      </c>
      <c r="E20" s="26">
        <f>IF(14646.19759="","-",14646.19759/2629714.41023*100)</f>
        <v>0.55695012101025121</v>
      </c>
      <c r="F20" s="26">
        <f>IF(OR(1361306.86729="",8961.73015="",16153.97635=""),"-",(16153.97635-8961.73015)/1361306.86729*100)</f>
        <v>0.52833393945318519</v>
      </c>
      <c r="G20" s="26">
        <f>IF(OR(1572223.23546="",14646.19759="",16153.97635=""),"-",(14646.19759-16153.97635)/1572223.23546*100)</f>
        <v>-9.5901060739561964E-2</v>
      </c>
    </row>
    <row r="21" spans="1:7" s="27" customFormat="1" x14ac:dyDescent="0.2">
      <c r="A21" s="25" t="s">
        <v>7</v>
      </c>
      <c r="B21" s="26">
        <v>12343.60716</v>
      </c>
      <c r="C21" s="26">
        <f>IF(OR(11660.5778="",12343.60716=""),"-",12343.60716/11660.5778*100)</f>
        <v>105.85759446671675</v>
      </c>
      <c r="D21" s="26">
        <f>IF(11660.5778="","-",11660.5778/1572223.23546*100)</f>
        <v>0.74166171425321503</v>
      </c>
      <c r="E21" s="26">
        <f>IF(12343.60716="","-",12343.60716/2629714.41023*100)</f>
        <v>0.4693896459623691</v>
      </c>
      <c r="F21" s="26">
        <f>IF(OR(1361306.86729="",10849.21296="",11660.5778=""),"-",(11660.5778-10849.21296)/1361306.86729*100)</f>
        <v>5.9601906043066553E-2</v>
      </c>
      <c r="G21" s="26">
        <f>IF(OR(1572223.23546="",12343.60716="",11660.5778=""),"-",(12343.60716-11660.5778)/1572223.23546*100)</f>
        <v>4.344353553585284E-2</v>
      </c>
    </row>
    <row r="22" spans="1:7" s="27" customFormat="1" x14ac:dyDescent="0.2">
      <c r="A22" s="25" t="s">
        <v>39</v>
      </c>
      <c r="B22" s="26">
        <v>12118.17417</v>
      </c>
      <c r="C22" s="26">
        <f>IF(OR(13846.06054="",12118.17417=""),"-",12118.17417/13846.06054*100)</f>
        <v>87.520736566127994</v>
      </c>
      <c r="D22" s="26">
        <f>IF(13846.06054="","-",13846.06054/1572223.23546*100)</f>
        <v>0.88066759399780326</v>
      </c>
      <c r="E22" s="26">
        <f>IF(12118.17417="","-",12118.17417/2629714.41023*100)</f>
        <v>0.4608171184999561</v>
      </c>
      <c r="F22" s="26">
        <f>IF(OR(1361306.86729="",6157.71781="",13846.06054=""),"-",(13846.06054-6157.71781)/1361306.86729*100)</f>
        <v>0.56477660656376816</v>
      </c>
      <c r="G22" s="26">
        <f>IF(OR(1572223.23546="",12118.17417="",13846.06054=""),"-",(12118.17417-13846.06054)/1572223.23546*100)</f>
        <v>-0.10990082903172819</v>
      </c>
    </row>
    <row r="23" spans="1:7" s="27" customFormat="1" x14ac:dyDescent="0.2">
      <c r="A23" s="25" t="s">
        <v>45</v>
      </c>
      <c r="B23" s="26">
        <v>11892.43218</v>
      </c>
      <c r="C23" s="26" t="s">
        <v>298</v>
      </c>
      <c r="D23" s="26">
        <f>IF(4312.69382="","-",4312.69382/1572223.23546*100)</f>
        <v>0.27430543721344985</v>
      </c>
      <c r="E23" s="26">
        <f>IF(11892.43218="","-",11892.43218/2629714.41023*100)</f>
        <v>0.45223284071215414</v>
      </c>
      <c r="F23" s="26">
        <f>IF(OR(1361306.86729="",9093.44591="",4312.69382=""),"-",(4312.69382-9093.44591)/1361306.86729*100)</f>
        <v>-0.35118842083836732</v>
      </c>
      <c r="G23" s="26">
        <f>IF(OR(1572223.23546="",11892.43218="",4312.69382=""),"-",(11892.43218-4312.69382)/1572223.23546*100)</f>
        <v>0.48210318923205098</v>
      </c>
    </row>
    <row r="24" spans="1:7" s="27" customFormat="1" x14ac:dyDescent="0.2">
      <c r="A24" s="25" t="s">
        <v>42</v>
      </c>
      <c r="B24" s="26">
        <v>6942.3012699999999</v>
      </c>
      <c r="C24" s="26">
        <f>IF(OR(7481.04368="",6942.30127=""),"-",6942.30127/7481.04368*100)</f>
        <v>92.798566175461758</v>
      </c>
      <c r="D24" s="26">
        <f>IF(7481.04368="","-",7481.04368/1572223.23546*100)</f>
        <v>0.47582579313625273</v>
      </c>
      <c r="E24" s="26">
        <f>IF(6942.30127="","-",6942.30127/2629714.41023*100)</f>
        <v>0.26399449472510639</v>
      </c>
      <c r="F24" s="26">
        <f>IF(OR(1361306.86729="",5172.50984="",7481.04368=""),"-",(7481.04368-5172.50984)/1361306.86729*100)</f>
        <v>0.16958217838096101</v>
      </c>
      <c r="G24" s="26">
        <f>IF(OR(1572223.23546="",6942.30127="",7481.04368=""),"-",(6942.30127-7481.04368)/1572223.23546*100)</f>
        <v>-3.4266279612791432E-2</v>
      </c>
    </row>
    <row r="25" spans="1:7" s="27" customFormat="1" x14ac:dyDescent="0.2">
      <c r="A25" s="25" t="s">
        <v>41</v>
      </c>
      <c r="B25" s="26">
        <v>6769.9351800000004</v>
      </c>
      <c r="C25" s="26" t="s">
        <v>99</v>
      </c>
      <c r="D25" s="26">
        <f>IF(3997.63663="","-",3997.63663/1572223.23546*100)</f>
        <v>0.2542664769122544</v>
      </c>
      <c r="E25" s="26">
        <f>IF(6769.93518="","-",6769.93518/2629714.41023*100)</f>
        <v>0.25743993924450104</v>
      </c>
      <c r="F25" s="26">
        <f>IF(OR(1361306.86729="",3870.86713="",3997.63663=""),"-",(3997.63663-3870.86713)/1361306.86729*100)</f>
        <v>9.3123382424687429E-3</v>
      </c>
      <c r="G25" s="26">
        <f>IF(OR(1572223.23546="",6769.93518="",3997.63663=""),"-",(6769.93518-3997.63663)/1572223.23546*100)</f>
        <v>0.17632982947163245</v>
      </c>
    </row>
    <row r="26" spans="1:7" s="29" customFormat="1" x14ac:dyDescent="0.2">
      <c r="A26" s="25" t="s">
        <v>43</v>
      </c>
      <c r="B26" s="26">
        <v>3396.14597</v>
      </c>
      <c r="C26" s="26">
        <f>IF(OR(3031.41889="",3396.14597=""),"-",3396.14597/3031.41889*100)</f>
        <v>112.0315632129613</v>
      </c>
      <c r="D26" s="26">
        <f>IF(3031.41889="","-",3031.41889/1572223.23546*100)</f>
        <v>0.19281097121765087</v>
      </c>
      <c r="E26" s="26">
        <f>IF(3396.14597="","-",3396.14597/2629714.41023*100)</f>
        <v>0.12914504924141046</v>
      </c>
      <c r="F26" s="26">
        <f>IF(OR(1361306.86729="",3489.40548="",3031.41889=""),"-",(3031.41889-3489.40548)/1361306.86729*100)</f>
        <v>-3.3643155779543632E-2</v>
      </c>
      <c r="G26" s="26">
        <f>IF(OR(1572223.23546="",3396.14597="",3031.41889=""),"-",(3396.14597-3031.41889)/1572223.23546*100)</f>
        <v>2.3198173883576301E-2</v>
      </c>
    </row>
    <row r="27" spans="1:7" s="29" customFormat="1" x14ac:dyDescent="0.2">
      <c r="A27" s="25" t="s">
        <v>293</v>
      </c>
      <c r="B27" s="26">
        <v>2090.91129</v>
      </c>
      <c r="C27" s="26" t="s">
        <v>372</v>
      </c>
      <c r="D27" s="26">
        <f>IF(515.40973="","-",515.40973/1572223.23546*100)</f>
        <v>3.2782223184050691E-2</v>
      </c>
      <c r="E27" s="26">
        <f>IF(2090.91129="","-",2090.91129/2629714.41023*100)</f>
        <v>7.9510964455532823E-2</v>
      </c>
      <c r="F27" s="26">
        <f>IF(OR(1361306.86729="",561.08767="",515.40973=""),"-",(515.40973-561.08767)/1361306.86729*100)</f>
        <v>-3.3554477023195117E-3</v>
      </c>
      <c r="G27" s="26">
        <f>IF(OR(1572223.23546="",2090.91129="",515.40973=""),"-",(2090.91129-515.40973)/1572223.23546*100)</f>
        <v>0.10020851520738663</v>
      </c>
    </row>
    <row r="28" spans="1:7" s="27" customFormat="1" x14ac:dyDescent="0.2">
      <c r="A28" s="25" t="s">
        <v>44</v>
      </c>
      <c r="B28" s="26">
        <v>1983.53217</v>
      </c>
      <c r="C28" s="26">
        <f>IF(OR(1526.34103="",1983.53217=""),"-",1983.53217/1526.34103*100)</f>
        <v>129.95340693947014</v>
      </c>
      <c r="D28" s="26">
        <f>IF(1526.34103="","-",1526.34103/1572223.23546*100)</f>
        <v>9.7081699059957227E-2</v>
      </c>
      <c r="E28" s="26">
        <f>IF(1983.53217="","-",1983.53217/2629714.41023*100)</f>
        <v>7.5427664779253209E-2</v>
      </c>
      <c r="F28" s="26">
        <f>IF(OR(1361306.86729="",3315.11024="",1526.34103=""),"-",(1526.34103-3315.11024)/1361306.86729*100)</f>
        <v>-0.131400880505434</v>
      </c>
      <c r="G28" s="26">
        <f>IF(OR(1572223.23546="",1983.53217="",1526.34103=""),"-",(1983.53217-1526.34103)/1572223.23546*100)</f>
        <v>2.9079276383180738E-2</v>
      </c>
    </row>
    <row r="29" spans="1:7" s="27" customFormat="1" x14ac:dyDescent="0.2">
      <c r="A29" s="25" t="s">
        <v>46</v>
      </c>
      <c r="B29" s="26">
        <v>1066.46576</v>
      </c>
      <c r="C29" s="26">
        <f>IF(OR(881.76406="",1066.46576=""),"-",1066.46576/881.76406*100)</f>
        <v>120.94683922590359</v>
      </c>
      <c r="D29" s="26">
        <f>IF(881.76406="","-",881.76406/1572223.23546*100)</f>
        <v>5.6083897000925184E-2</v>
      </c>
      <c r="E29" s="26">
        <f>IF(1066.46576="","-",1066.46576/2629714.41023*100)</f>
        <v>4.0554432673421938E-2</v>
      </c>
      <c r="F29" s="26">
        <f>IF(OR(1361306.86729="",484.77653="",881.76406=""),"-",(881.76406-484.77653)/1361306.86729*100)</f>
        <v>2.9162236637378949E-2</v>
      </c>
      <c r="G29" s="26">
        <f>IF(OR(1572223.23546="",1066.46576="",881.76406=""),"-",(1066.46576-881.76406)/1572223.23546*100)</f>
        <v>1.1747803736405165E-2</v>
      </c>
    </row>
    <row r="30" spans="1:7" s="29" customFormat="1" x14ac:dyDescent="0.2">
      <c r="A30" s="25" t="s">
        <v>48</v>
      </c>
      <c r="B30" s="26">
        <v>1001.4307700000001</v>
      </c>
      <c r="C30" s="26" t="s">
        <v>195</v>
      </c>
      <c r="D30" s="26">
        <f>IF(567.49263="","-",567.49263/1572223.23546*100)</f>
        <v>3.6094914335365574E-2</v>
      </c>
      <c r="E30" s="26">
        <f>IF(1001.43077="","-",1001.43077/2629714.41023*100)</f>
        <v>3.8081350815293014E-2</v>
      </c>
      <c r="F30" s="26">
        <f>IF(OR(1361306.86729="",263.09543="",567.49263=""),"-",(567.49263-263.09543)/1361306.86729*100)</f>
        <v>2.2360659988880673E-2</v>
      </c>
      <c r="G30" s="26">
        <f>IF(OR(1572223.23546="",1001.43077="",567.49263=""),"-",(1001.43077-567.49263)/1572223.23546*100)</f>
        <v>2.7600287937039596E-2</v>
      </c>
    </row>
    <row r="31" spans="1:7" s="29" customFormat="1" x14ac:dyDescent="0.2">
      <c r="A31" s="25" t="s">
        <v>51</v>
      </c>
      <c r="B31" s="26">
        <v>557.37522999999999</v>
      </c>
      <c r="C31" s="26">
        <f>IF(OR(386.05318="",557.37523=""),"-",557.37523/386.05318*100)</f>
        <v>144.37783675295719</v>
      </c>
      <c r="D31" s="26">
        <f>IF(386.05318="","-",386.05318/1572223.23546*100)</f>
        <v>2.4554603398101338E-2</v>
      </c>
      <c r="E31" s="26">
        <f>IF(557.37523="","-",557.37523/2629714.41023*100)</f>
        <v>2.1195276104193035E-2</v>
      </c>
      <c r="F31" s="26">
        <f>IF(OR(1361306.86729="",186.7095="",386.05318=""),"-",(386.05318-186.7095)/1361306.86729*100)</f>
        <v>1.4643552074106574E-2</v>
      </c>
      <c r="G31" s="26">
        <f>IF(OR(1572223.23546="",557.37523="",386.05318=""),"-",(557.37523-386.05318)/1572223.23546*100)</f>
        <v>1.0896801811345492E-2</v>
      </c>
    </row>
    <row r="32" spans="1:7" s="29" customFormat="1" x14ac:dyDescent="0.2">
      <c r="A32" s="25" t="s">
        <v>47</v>
      </c>
      <c r="B32" s="26">
        <v>192.34358</v>
      </c>
      <c r="C32" s="26">
        <f>IF(OR(1099.89005="",192.34358=""),"-",192.34358/1099.89005*100)</f>
        <v>17.48752795790816</v>
      </c>
      <c r="D32" s="26">
        <f>IF(1099.89005="","-",1099.89005/1572223.23546*100)</f>
        <v>6.9957625939690099E-2</v>
      </c>
      <c r="E32" s="26">
        <f>IF(192.34358="","-",192.34358/2629714.41023*100)</f>
        <v>7.3142383542392818E-3</v>
      </c>
      <c r="F32" s="26">
        <f>IF(OR(1361306.86729="",832.67148="",1099.89005=""),"-",(1099.89005-832.67148)/1361306.86729*100)</f>
        <v>1.9629561594143804E-2</v>
      </c>
      <c r="G32" s="26">
        <f>IF(OR(1572223.23546="",192.34358="",1099.89005=""),"-",(192.34358-1099.89005)/1572223.23546*100)</f>
        <v>-5.7723766544797987E-2</v>
      </c>
    </row>
    <row r="33" spans="1:7" s="29" customFormat="1" x14ac:dyDescent="0.2">
      <c r="A33" s="25" t="s">
        <v>50</v>
      </c>
      <c r="B33" s="26">
        <v>49.144820000000003</v>
      </c>
      <c r="C33" s="26">
        <f>IF(OR(213.03992="",49.14482=""),"-",49.14482/213.03992*100)</f>
        <v>23.068362023417961</v>
      </c>
      <c r="D33" s="26">
        <f>IF(213.03992="","-",213.03992/1572223.23546*100)</f>
        <v>1.3550233528870911E-2</v>
      </c>
      <c r="E33" s="26">
        <f>IF(49.14482="","-",49.14482/2629714.41023*100)</f>
        <v>1.8688272691825003E-3</v>
      </c>
      <c r="F33" s="26">
        <f>IF(OR(1361306.86729="",86.85781="",213.03992=""),"-",(213.03992-86.85781)/1361306.86729*100)</f>
        <v>9.2691892645186628E-3</v>
      </c>
      <c r="G33" s="26">
        <f>IF(OR(1572223.23546="",49.14482="",213.03992=""),"-",(49.14482-213.03992)/1572223.23546*100)</f>
        <v>-1.0424416603412406E-2</v>
      </c>
    </row>
    <row r="34" spans="1:7" s="29" customFormat="1" x14ac:dyDescent="0.2">
      <c r="A34" s="25" t="s">
        <v>52</v>
      </c>
      <c r="B34" s="26">
        <v>21.759360000000001</v>
      </c>
      <c r="C34" s="26" t="s">
        <v>329</v>
      </c>
      <c r="D34" s="26">
        <f>IF(3.64614="","-",3.64614/1572223.23546*100)</f>
        <v>2.3190981520720334E-4</v>
      </c>
      <c r="E34" s="26">
        <f>IF(21.75936="","-",21.75936/2629714.41023*100)</f>
        <v>8.2744194256808613E-4</v>
      </c>
      <c r="F34" s="26">
        <f>IF(OR(1361306.86729="",25.65794="",3.64614=""),"-",(3.64614-25.65794)/1361306.86729*100)</f>
        <v>-1.6169609166682339E-3</v>
      </c>
      <c r="G34" s="26">
        <f>IF(OR(1572223.23546="",21.75936="",3.64614=""),"-",(21.75936-3.64614)/1572223.23546*100)</f>
        <v>1.1520768547031712E-3</v>
      </c>
    </row>
    <row r="35" spans="1:7" s="27" customFormat="1" ht="14.25" customHeight="1" x14ac:dyDescent="0.2">
      <c r="A35" s="25" t="s">
        <v>53</v>
      </c>
      <c r="B35" s="26">
        <v>9.8491300000000006</v>
      </c>
      <c r="C35" s="26" t="str">
        <f>IF(OR(""="",9.84913=""),"-",9.84913/""*100)</f>
        <v>-</v>
      </c>
      <c r="D35" s="26" t="str">
        <f>IF(""="","-",""/1572223.23546*100)</f>
        <v>-</v>
      </c>
      <c r="E35" s="26">
        <f>IF(9.84913="","-",9.84913/2629714.41023*100)</f>
        <v>3.7453230516916003E-4</v>
      </c>
      <c r="F35" s="26" t="str">
        <f>IF(OR(1361306.86729="",2.36964="",""=""),"-",(""-2.36964)/1361306.86729*100)</f>
        <v>-</v>
      </c>
      <c r="G35" s="26" t="str">
        <f>IF(OR(1572223.23546="",9.84913="",""=""),"-",(9.84913-"")/1572223.23546*100)</f>
        <v>-</v>
      </c>
    </row>
    <row r="36" spans="1:7" s="27" customFormat="1" ht="14.25" customHeight="1" x14ac:dyDescent="0.2">
      <c r="A36" s="24" t="s">
        <v>131</v>
      </c>
      <c r="B36" s="20">
        <v>517239.71779999998</v>
      </c>
      <c r="C36" s="20" t="s">
        <v>91</v>
      </c>
      <c r="D36" s="20">
        <f>IF(243411.14254="","-",243411.14254/1572223.23546*100)</f>
        <v>15.481970820052341</v>
      </c>
      <c r="E36" s="20">
        <f>IF(517239.7178="","-",517239.7178/2629714.41023*100)</f>
        <v>19.669045269245082</v>
      </c>
      <c r="F36" s="20">
        <f>IF(1361306.86729="","-",(243411.14254-220852.57041)/1361306.86729*100)</f>
        <v>1.6571261537017097</v>
      </c>
      <c r="G36" s="20">
        <f>IF(1572223.23546="","-",(517239.7178-243411.14254)/1572223.23546*100)</f>
        <v>17.416647272731812</v>
      </c>
    </row>
    <row r="37" spans="1:7" s="27" customFormat="1" ht="14.25" customHeight="1" x14ac:dyDescent="0.2">
      <c r="A37" s="25" t="s">
        <v>10</v>
      </c>
      <c r="B37" s="26">
        <v>329235.51228999998</v>
      </c>
      <c r="C37" s="26" t="s">
        <v>373</v>
      </c>
      <c r="D37" s="26">
        <f>IF(43620.74939="","-",43620.74939/1572223.23546*100)</f>
        <v>2.7744628374759683</v>
      </c>
      <c r="E37" s="26">
        <f>IF(329235.51229="","-",329235.51229/2629714.41023*100)</f>
        <v>12.519820061418926</v>
      </c>
      <c r="F37" s="26">
        <f>IF(OR(1361306.86729="",33715.30077="",43620.74939=""),"-",(43620.74939-33715.30077)/1361306.86729*100)</f>
        <v>0.72764259536272746</v>
      </c>
      <c r="G37" s="26">
        <f>IF(OR(1572223.23546="",329235.51229="",43620.74939=""),"-",(329235.51229-43620.74939)/1572223.23546*100)</f>
        <v>18.166298300281447</v>
      </c>
    </row>
    <row r="38" spans="1:7" s="29" customFormat="1" ht="14.25" customHeight="1" x14ac:dyDescent="0.2">
      <c r="A38" s="25" t="s">
        <v>294</v>
      </c>
      <c r="B38" s="26">
        <v>133773.31002999999</v>
      </c>
      <c r="C38" s="26">
        <f>IF(OR(149954.3786="",133773.31003=""),"-",133773.31003/149954.3786*100)</f>
        <v>89.209339052937793</v>
      </c>
      <c r="D38" s="26">
        <f>IF(149954.3786="","-",149954.3786/1572223.23546*100)</f>
        <v>9.5377281812099941</v>
      </c>
      <c r="E38" s="26">
        <f>IF(133773.31003="","-",133773.31003/2629714.41023*100)</f>
        <v>5.0869900362412324</v>
      </c>
      <c r="F38" s="26">
        <f>IF(OR(1361306.86729="",137476.83742="",149954.3786=""),"-",(149954.3786-137476.83742)/1361306.86729*100)</f>
        <v>0.9165854870650485</v>
      </c>
      <c r="G38" s="26">
        <f>IF(OR(1572223.23546="",133773.31003="",149954.3786=""),"-",(133773.31003-149954.3786)/1572223.23546*100)</f>
        <v>-1.0291839100867732</v>
      </c>
    </row>
    <row r="39" spans="1:7" s="27" customFormat="1" ht="14.25" customHeight="1" x14ac:dyDescent="0.2">
      <c r="A39" s="25" t="s">
        <v>9</v>
      </c>
      <c r="B39" s="26">
        <v>38290.119910000001</v>
      </c>
      <c r="C39" s="26">
        <f>IF(OR(35091.34527="",38290.11991=""),"-",38290.11991/35091.34527*100)</f>
        <v>109.11556571966101</v>
      </c>
      <c r="D39" s="26">
        <f>IF(35091.34527="","-",35091.34527/1572223.23546*100)</f>
        <v>2.231956917983914</v>
      </c>
      <c r="E39" s="26">
        <f>IF(38290.11991="","-",38290.11991/2629714.41023*100)</f>
        <v>1.4560562075123236</v>
      </c>
      <c r="F39" s="26">
        <f>IF(OR(1361306.86729="",37997.43648="",35091.34527=""),"-",(35091.34527-37997.43648)/1361306.86729*100)</f>
        <v>-0.21347803936266432</v>
      </c>
      <c r="G39" s="26">
        <f>IF(OR(1572223.23546="",38290.11991="",35091.34527=""),"-",(38290.11991-35091.34527)/1572223.23546*100)</f>
        <v>0.20345549969334401</v>
      </c>
    </row>
    <row r="40" spans="1:7" s="29" customFormat="1" ht="14.25" customHeight="1" x14ac:dyDescent="0.2">
      <c r="A40" s="25" t="s">
        <v>11</v>
      </c>
      <c r="B40" s="26">
        <v>6823.2822299999998</v>
      </c>
      <c r="C40" s="26">
        <f>IF(OR(7117.1987="",6823.28223=""),"-",6823.28223/7117.1987*100)</f>
        <v>95.870334911402708</v>
      </c>
      <c r="D40" s="26">
        <f>IF(7117.1987="","-",7117.1987/1572223.23546*100)</f>
        <v>0.45268372451687211</v>
      </c>
      <c r="E40" s="26">
        <f>IF(6823.28223="","-",6823.28223/2629714.41023*100)</f>
        <v>0.25946856447439182</v>
      </c>
      <c r="F40" s="26">
        <f>IF(OR(1361306.86729="",7489.21166="",7117.1987=""),"-",(7117.1987-7489.21166)/1361306.86729*100)</f>
        <v>-2.7327634124154454E-2</v>
      </c>
      <c r="G40" s="26">
        <f>IF(OR(1572223.23546="",6823.28223="",7117.1987=""),"-",(6823.28223-7117.1987)/1572223.23546*100)</f>
        <v>-1.8694321733135195E-2</v>
      </c>
    </row>
    <row r="41" spans="1:7" s="29" customFormat="1" ht="14.25" customHeight="1" x14ac:dyDescent="0.2">
      <c r="A41" s="25" t="s">
        <v>13</v>
      </c>
      <c r="B41" s="26">
        <v>4677.4923600000002</v>
      </c>
      <c r="C41" s="26">
        <f>IF(OR(3799.82808="",4677.49236=""),"-",4677.49236/3799.82808*100)</f>
        <v>123.09747339937547</v>
      </c>
      <c r="D41" s="26">
        <f>IF(3799.82808="","-",3799.82808/1572223.23546*100)</f>
        <v>0.24168502247635648</v>
      </c>
      <c r="E41" s="26">
        <f>IF(4677.49236="","-",4677.49236/2629714.41023*100)</f>
        <v>0.17787073538494613</v>
      </c>
      <c r="F41" s="26">
        <f>IF(OR(1361306.86729="",1647.72018="",3799.82808=""),"-",(3799.82808-1647.72018)/1361306.86729*100)</f>
        <v>0.15809131296636111</v>
      </c>
      <c r="G41" s="26">
        <f>IF(OR(1572223.23546="",4677.49236="",3799.82808=""),"-",(4677.49236-3799.82808)/1572223.23546*100)</f>
        <v>5.5823133776751077E-2</v>
      </c>
    </row>
    <row r="42" spans="1:7" s="29" customFormat="1" ht="14.25" customHeight="1" x14ac:dyDescent="0.2">
      <c r="A42" s="25" t="s">
        <v>12</v>
      </c>
      <c r="B42" s="26">
        <v>1541.9384700000001</v>
      </c>
      <c r="C42" s="26">
        <f>IF(OR(1945.49116="",1541.93847=""),"-",1541.93847/1945.49116*100)</f>
        <v>79.257027824274459</v>
      </c>
      <c r="D42" s="26">
        <f>IF(1945.49116="","-",1945.49116/1572223.23546*100)</f>
        <v>0.12374140746182201</v>
      </c>
      <c r="E42" s="26">
        <f>IF(1541.93847="","-",1541.93847/2629714.41023*100)</f>
        <v>5.8635206317523246E-2</v>
      </c>
      <c r="F42" s="26">
        <f>IF(OR(1361306.86729="",1357.38933="",1945.49116=""),"-",(1945.49116-1357.38933)/1361306.86729*100)</f>
        <v>4.3201268143953059E-2</v>
      </c>
      <c r="G42" s="26">
        <f>IF(OR(1572223.23546="",1541.93847="",1945.49116=""),"-",(1541.93847-1945.49116)/1572223.23546*100)</f>
        <v>-2.5667645719656903E-2</v>
      </c>
    </row>
    <row r="43" spans="1:7" s="29" customFormat="1" x14ac:dyDescent="0.2">
      <c r="A43" s="25" t="s">
        <v>15</v>
      </c>
      <c r="B43" s="26">
        <v>1199.0789</v>
      </c>
      <c r="C43" s="26" t="s">
        <v>194</v>
      </c>
      <c r="D43" s="26">
        <f>IF(542.72152="","-",542.72152/1572223.23546*100)</f>
        <v>3.4519367718236965E-2</v>
      </c>
      <c r="E43" s="26">
        <f>IF(1199.0789="","-",1199.0789/2629714.41023*100)</f>
        <v>4.5597304990055029E-2</v>
      </c>
      <c r="F43" s="26">
        <f>IF(OR(1361306.86729="",564.46538="",542.72152=""),"-",(542.72152-564.46538)/1361306.86729*100)</f>
        <v>-1.5972783596755206E-3</v>
      </c>
      <c r="G43" s="26">
        <f>IF(OR(1572223.23546="",1199.0789="",542.72152=""),"-",(1199.0789-542.72152)/1572223.23546*100)</f>
        <v>4.1747085604415667E-2</v>
      </c>
    </row>
    <row r="44" spans="1:7" s="29" customFormat="1" x14ac:dyDescent="0.2">
      <c r="A44" s="25" t="s">
        <v>14</v>
      </c>
      <c r="B44" s="26">
        <v>840.80736999999999</v>
      </c>
      <c r="C44" s="26" t="s">
        <v>101</v>
      </c>
      <c r="D44" s="26">
        <f>IF(448.08482="","-",448.08482/1572223.23546*100)</f>
        <v>2.8500076191082344E-2</v>
      </c>
      <c r="E44" s="26">
        <f>IF(840.80737="","-",840.80737/2629714.41023*100)</f>
        <v>3.1973333938055321E-2</v>
      </c>
      <c r="F44" s="26">
        <f>IF(OR(1361306.86729="",76.99643="",448.08482=""),"-",(448.08482-76.99643)/1361306.86729*100)</f>
        <v>2.7259716300317965E-2</v>
      </c>
      <c r="G44" s="26">
        <f>IF(OR(1572223.23546="",840.80737="",448.08482=""),"-",(840.80737-448.08482)/1572223.23546*100)</f>
        <v>2.4978803336734651E-2</v>
      </c>
    </row>
    <row r="45" spans="1:7" s="29" customFormat="1" x14ac:dyDescent="0.2">
      <c r="A45" s="25" t="s">
        <v>303</v>
      </c>
      <c r="B45" s="26">
        <v>798.00991999999997</v>
      </c>
      <c r="C45" s="26">
        <f>IF(OR(683.06661="",798.00992=""),"-",798.00992/683.06661*100)</f>
        <v>116.82754043562457</v>
      </c>
      <c r="D45" s="26">
        <f>IF(683.06661="","-",683.06661/1572223.23546*100)</f>
        <v>4.3445904792276446E-2</v>
      </c>
      <c r="E45" s="26">
        <f>IF(798.00992="","-",798.00992/2629714.41023*100)</f>
        <v>3.0345877746101119E-2</v>
      </c>
      <c r="F45" s="26">
        <f>IF(OR(1361306.86729="",363.89983="",683.06661=""),"-",(683.06661-363.89983)/1361306.86729*100)</f>
        <v>2.3445615949574703E-2</v>
      </c>
      <c r="G45" s="26">
        <f>IF(OR(1572223.23546="",798.00992="",683.06661=""),"-",(798.00992-683.06661)/1572223.23546*100)</f>
        <v>7.3108771965432733E-3</v>
      </c>
    </row>
    <row r="46" spans="1:7" s="27" customFormat="1" x14ac:dyDescent="0.2">
      <c r="A46" s="25" t="s">
        <v>16</v>
      </c>
      <c r="B46" s="26">
        <v>60.166319999999999</v>
      </c>
      <c r="C46" s="26">
        <f>IF(OR(208.27839="",60.16632=""),"-",60.16632/208.27839*100)</f>
        <v>28.88745202994895</v>
      </c>
      <c r="D46" s="26">
        <f>IF(208.27839="","-",208.27839/1572223.23546*100)</f>
        <v>1.3247380225815201E-2</v>
      </c>
      <c r="E46" s="26">
        <f>IF(60.16632="","-",60.16632/2629714.41023*100)</f>
        <v>2.2879412215236609E-3</v>
      </c>
      <c r="F46" s="26">
        <f>IF(OR(1361306.86729="",163.31293="",208.27839=""),"-",(208.27839-163.31293)/1361306.86729*100)</f>
        <v>3.3031097602199185E-3</v>
      </c>
      <c r="G46" s="26">
        <f>IF(OR(1572223.23546="",60.16632="",208.27839=""),"-",(60.16632-208.27839)/1572223.23546*100)</f>
        <v>-9.4205496178578919E-3</v>
      </c>
    </row>
    <row r="47" spans="1:7" s="29" customFormat="1" x14ac:dyDescent="0.2">
      <c r="A47" s="24" t="s">
        <v>132</v>
      </c>
      <c r="B47" s="20">
        <v>525399.56877000001</v>
      </c>
      <c r="C47" s="20">
        <f>IF(319049.82592="","-",525399.56877/319049.82592*100)</f>
        <v>164.67633770210585</v>
      </c>
      <c r="D47" s="20">
        <f>IF(319049.82592="","-",319049.82592/1572223.23546*100)</f>
        <v>20.292908711952254</v>
      </c>
      <c r="E47" s="20">
        <f>IF(525399.56877="","-",525399.56877/2629714.41023*100)</f>
        <v>19.979339457019119</v>
      </c>
      <c r="F47" s="20">
        <f>IF(1361306.86729="","-",(319049.82592-264931.94504)/1361306.86729*100)</f>
        <v>3.975435824233684</v>
      </c>
      <c r="G47" s="20">
        <f>IF(1572223.23546="","-",(525399.56877-319049.82592)/1572223.23546*100)</f>
        <v>13.1247101681223</v>
      </c>
    </row>
    <row r="48" spans="1:7" s="28" customFormat="1" x14ac:dyDescent="0.2">
      <c r="A48" s="30" t="s">
        <v>54</v>
      </c>
      <c r="B48" s="26">
        <f>IF(228178.90529="","-",228178.90529)</f>
        <v>228178.90529</v>
      </c>
      <c r="C48" s="26" t="s">
        <v>99</v>
      </c>
      <c r="D48" s="26">
        <f>IF(135272.30965="","-",135272.30965/1572223.23546*100)</f>
        <v>8.6038869416926111</v>
      </c>
      <c r="E48" s="26">
        <f>IF(228178.90529="","-",228178.90529/2629714.41023*100)</f>
        <v>8.6769462266453115</v>
      </c>
      <c r="F48" s="26">
        <f>IF(OR(1361306.86729="",96790.0014="",135272.30965=""),"-",(135272.30965-96790.0014)/1361306.86729*100)</f>
        <v>2.8268650643486475</v>
      </c>
      <c r="G48" s="26">
        <f>IF(OR(1572223.23546="",228178.90529="",135272.30965=""),"-",(228178.90529-135272.30965)/1572223.23546*100)</f>
        <v>5.9092496246449011</v>
      </c>
    </row>
    <row r="49" spans="1:7" s="27" customFormat="1" x14ac:dyDescent="0.2">
      <c r="A49" s="25" t="s">
        <v>295</v>
      </c>
      <c r="B49" s="26">
        <f>IF(56304.08484="","-",56304.08484)</f>
        <v>56304.084840000003</v>
      </c>
      <c r="C49" s="26" t="s">
        <v>91</v>
      </c>
      <c r="D49" s="26">
        <f>IF(27163.47238="","-",27163.47238/1572223.23546*100)</f>
        <v>1.7277109107252526</v>
      </c>
      <c r="E49" s="26">
        <f>IF(56304.08484="","-",56304.08484/2629714.41023*100)</f>
        <v>2.1410722252183856</v>
      </c>
      <c r="F49" s="26">
        <f>IF(OR(1361306.86729="",41446.01293="",27163.47238=""),"-",(27163.47238-41446.01293)/1361306.86729*100)</f>
        <v>-1.0491786160186451</v>
      </c>
      <c r="G49" s="26">
        <f>IF(OR(1572223.23546="",56304.08484="",27163.47238=""),"-",(56304.08484-27163.47238)/1572223.23546*100)</f>
        <v>1.8534653224021373</v>
      </c>
    </row>
    <row r="50" spans="1:7" s="29" customFormat="1" x14ac:dyDescent="0.2">
      <c r="A50" s="25" t="s">
        <v>70</v>
      </c>
      <c r="B50" s="26">
        <f>IF(51848.50889="","-",51848.50889)</f>
        <v>51848.508889999997</v>
      </c>
      <c r="C50" s="26" t="s">
        <v>374</v>
      </c>
      <c r="D50" s="26">
        <f>IF(17.81651="","-",17.81651/1572223.23546*100)</f>
        <v>1.1332048527311872E-3</v>
      </c>
      <c r="E50" s="26">
        <f>IF(51848.50889="","-",51848.50889/2629714.41023*100)</f>
        <v>1.9716402925086158</v>
      </c>
      <c r="F50" s="26">
        <f>IF(OR(1361306.86729="",70.05237="",17.81651=""),"-",(17.81651-70.05237)/1361306.86729*100)</f>
        <v>-3.8371847858218551E-3</v>
      </c>
      <c r="G50" s="26">
        <f>IF(OR(1572223.23546="",51848.50889="",17.81651=""),"-",(51848.50889-17.81651)/1572223.23546*100)</f>
        <v>3.2966496875893965</v>
      </c>
    </row>
    <row r="51" spans="1:7" s="29" customFormat="1" ht="24" x14ac:dyDescent="0.2">
      <c r="A51" s="31" t="s">
        <v>296</v>
      </c>
      <c r="B51" s="26">
        <f>IF(42825.42462="","-",42825.42462)</f>
        <v>42825.424619999998</v>
      </c>
      <c r="C51" s="26">
        <f>IF(OR(33195.47839="",42825.42462=""),"-",42825.42462/33195.47839*100)</f>
        <v>129.00981307412331</v>
      </c>
      <c r="D51" s="26">
        <f>IF(33195.47839="","-",33195.47839/1572223.23546*100)</f>
        <v>2.1113718231169436</v>
      </c>
      <c r="E51" s="26">
        <f>IF(42825.42462="","-",42825.42462/2629714.41023*100)</f>
        <v>1.6285199812345557</v>
      </c>
      <c r="F51" s="26">
        <f>IF(OR(1361306.86729="",22191.42751="",33195.47839=""),"-",(33195.47839-22191.42751)/1361306.86729*100)</f>
        <v>0.80834462415562003</v>
      </c>
      <c r="G51" s="26">
        <f>IF(OR(1572223.23546="",42825.42462="",33195.47839=""),"-",(42825.42462-33195.47839)/1572223.23546*100)</f>
        <v>0.61250501918593492</v>
      </c>
    </row>
    <row r="52" spans="1:7" s="28" customFormat="1" x14ac:dyDescent="0.2">
      <c r="A52" s="30" t="s">
        <v>17</v>
      </c>
      <c r="B52" s="26">
        <f>IF(23782.92024="","-",23782.92024)</f>
        <v>23782.920239999999</v>
      </c>
      <c r="C52" s="26" t="s">
        <v>195</v>
      </c>
      <c r="D52" s="26">
        <f>IF(13084.25894="","-",13084.25894/1572223.23546*100)</f>
        <v>0.83221381321029864</v>
      </c>
      <c r="E52" s="26">
        <f>IF(23782.92024="","-",23782.92024/2629714.41023*100)</f>
        <v>0.90439175248387149</v>
      </c>
      <c r="F52" s="26">
        <f>IF(OR(1361306.86729="",15011.90954="",13084.25894=""),"-",(13084.25894-15011.90954)/1361306.86729*100)</f>
        <v>-0.1416029439297137</v>
      </c>
      <c r="G52" s="26">
        <f>IF(OR(1572223.23546="",23782.92024="",13084.25894=""),"-",(23782.92024-13084.25894)/1572223.23546*100)</f>
        <v>0.68047978548477517</v>
      </c>
    </row>
    <row r="53" spans="1:7" s="29" customFormat="1" x14ac:dyDescent="0.2">
      <c r="A53" s="25" t="s">
        <v>58</v>
      </c>
      <c r="B53" s="26">
        <f>IF(15633.71304="","-",15633.71304)</f>
        <v>15633.713040000001</v>
      </c>
      <c r="C53" s="26">
        <f>IF(OR(14508.85958="",15633.71304=""),"-",15633.71304/14508.85958*100)</f>
        <v>107.75287302077537</v>
      </c>
      <c r="D53" s="26">
        <f>IF(14508.85958="","-",14508.85958/1572223.23546*100)</f>
        <v>0.92282439622863133</v>
      </c>
      <c r="E53" s="26">
        <f>IF(15633.71304="","-",15633.71304/2629714.41023*100)</f>
        <v>0.59450231474499327</v>
      </c>
      <c r="F53" s="26">
        <f>IF(OR(1361306.86729="",9514.0604="",14508.85958=""),"-",(14508.85958-9514.0604)/1361306.86729*100)</f>
        <v>0.36691206810286037</v>
      </c>
      <c r="G53" s="26">
        <f>IF(OR(1572223.23546="",15633.71304="",14508.85958=""),"-",(15633.71304-14508.85958)/1572223.23546*100)</f>
        <v>7.1545403644342614E-2</v>
      </c>
    </row>
    <row r="54" spans="1:7" s="27" customFormat="1" x14ac:dyDescent="0.2">
      <c r="A54" s="30" t="s">
        <v>64</v>
      </c>
      <c r="B54" s="26">
        <f>IF(9903.83747="","-",9903.83747)</f>
        <v>9903.8374700000004</v>
      </c>
      <c r="C54" s="26" t="s">
        <v>195</v>
      </c>
      <c r="D54" s="26">
        <f>IF(5646.76573="","-",5646.76573/1572223.23546*100)</f>
        <v>0.35915801284719423</v>
      </c>
      <c r="E54" s="26">
        <f>IF(9903.83747="","-",9903.83747/2629714.41023*100)</f>
        <v>0.37661266301285512</v>
      </c>
      <c r="F54" s="26">
        <f>IF(OR(1361306.86729="",5083.23496="",5646.76573=""),"-",(5646.76573-5083.23496)/1361306.86729*100)</f>
        <v>4.1396307000334184E-2</v>
      </c>
      <c r="G54" s="26">
        <f>IF(OR(1572223.23546="",9903.83747="",5646.76573=""),"-",(9903.83747-5646.76573)/1572223.23546*100)</f>
        <v>0.27076763935208403</v>
      </c>
    </row>
    <row r="55" spans="1:7" s="29" customFormat="1" x14ac:dyDescent="0.2">
      <c r="A55" s="25" t="s">
        <v>56</v>
      </c>
      <c r="B55" s="26">
        <f>IF(8751.69299="","-",8751.69299)</f>
        <v>8751.6929899999996</v>
      </c>
      <c r="C55" s="26">
        <f>IF(OR(11958.27836="",8751.69299=""),"-",8751.69299/11958.27836*100)</f>
        <v>73.18522555281946</v>
      </c>
      <c r="D55" s="26">
        <f>IF(11958.27836="","-",11958.27836/1572223.23546*100)</f>
        <v>0.76059672000084988</v>
      </c>
      <c r="E55" s="26">
        <f>IF(8751.69299="","-",8751.69299/2629714.41023*100)</f>
        <v>0.33280013053716201</v>
      </c>
      <c r="F55" s="26">
        <f>IF(OR(1361306.86729="",11140.87787="",11958.27836=""),"-",(11958.27836-11140.87787)/1361306.86729*100)</f>
        <v>6.0045277787162496E-2</v>
      </c>
      <c r="G55" s="26">
        <f>IF(OR(1572223.23546="",8751.69299="",11958.27836=""),"-",(8751.69299-11958.27836)/1572223.23546*100)</f>
        <v>-0.20395229492088124</v>
      </c>
    </row>
    <row r="56" spans="1:7" s="27" customFormat="1" x14ac:dyDescent="0.2">
      <c r="A56" s="25" t="s">
        <v>66</v>
      </c>
      <c r="B56" s="26">
        <f>IF(8600.81558="","-",8600.81558)</f>
        <v>8600.8155800000004</v>
      </c>
      <c r="C56" s="26" t="s">
        <v>101</v>
      </c>
      <c r="D56" s="26">
        <f>IF(4646.59179="","-",4646.59179/1572223.23546*100)</f>
        <v>0.29554275024058546</v>
      </c>
      <c r="E56" s="26">
        <f>IF(8600.81558="","-",8600.81558/2629714.41023*100)</f>
        <v>0.32706272386619184</v>
      </c>
      <c r="F56" s="26">
        <f>IF(OR(1361306.86729="",2981.77437="",4646.59179=""),"-",(4646.59179-2981.77437)/1361306.86729*100)</f>
        <v>0.12229552792267985</v>
      </c>
      <c r="G56" s="26">
        <f>IF(OR(1572223.23546="",8600.81558="",4646.59179=""),"-",(8600.81558-4646.59179)/1572223.23546*100)</f>
        <v>0.25150523798505464</v>
      </c>
    </row>
    <row r="57" spans="1:7" s="29" customFormat="1" x14ac:dyDescent="0.2">
      <c r="A57" s="25" t="s">
        <v>55</v>
      </c>
      <c r="B57" s="26">
        <f>IF(5585.68824="","-",5585.68824)</f>
        <v>5585.6882400000004</v>
      </c>
      <c r="C57" s="26">
        <f>IF(OR(3607.04392="",5585.68824=""),"-",5585.68824/3607.04392*100)</f>
        <v>154.85501047073473</v>
      </c>
      <c r="D57" s="26">
        <f>IF(3607.04392="","-",3607.04392/1572223.23546*100)</f>
        <v>0.22942314034334021</v>
      </c>
      <c r="E57" s="26">
        <f>IF(5585.68824="","-",5585.68824/2629714.41023*100)</f>
        <v>0.21240664835203396</v>
      </c>
      <c r="F57" s="26">
        <f>IF(OR(1361306.86729="",4399.67522="",3607.04392=""),"-",(3607.04392-4399.67522)/1361306.86729*100)</f>
        <v>-5.8225762246973609E-2</v>
      </c>
      <c r="G57" s="26">
        <f>IF(OR(1572223.23546="",5585.68824="",3607.04392=""),"-",(5585.68824-3607.04392)/1572223.23546*100)</f>
        <v>0.1258500876576277</v>
      </c>
    </row>
    <row r="58" spans="1:7" s="27" customFormat="1" x14ac:dyDescent="0.2">
      <c r="A58" s="25" t="s">
        <v>61</v>
      </c>
      <c r="B58" s="26">
        <f>IF(5250.82149="","-",5250.82149)</f>
        <v>5250.8214900000003</v>
      </c>
      <c r="C58" s="26" t="s">
        <v>281</v>
      </c>
      <c r="D58" s="26">
        <f>IF(2227.01524="","-",2227.01524/1572223.23546*100)</f>
        <v>0.14164752115169074</v>
      </c>
      <c r="E58" s="26">
        <f>IF(5250.82149="","-",5250.82149/2629714.41023*100)</f>
        <v>0.19967268953516334</v>
      </c>
      <c r="F58" s="26">
        <f>IF(OR(1361306.86729="",193.44042="",2227.01524=""),"-",(2227.01524-193.44042)/1361306.86729*100)</f>
        <v>0.14938401244153765</v>
      </c>
      <c r="G58" s="26">
        <f>IF(OR(1572223.23546="",5250.82149="",2227.01524=""),"-",(5250.82149-2227.01524)/1572223.23546*100)</f>
        <v>0.19232677534595122</v>
      </c>
    </row>
    <row r="59" spans="1:7" s="29" customFormat="1" x14ac:dyDescent="0.2">
      <c r="A59" s="25" t="s">
        <v>35</v>
      </c>
      <c r="B59" s="26">
        <f>IF(5031.00403="","-",5031.00403)</f>
        <v>5031.0040300000001</v>
      </c>
      <c r="C59" s="26" t="s">
        <v>194</v>
      </c>
      <c r="D59" s="26">
        <f>IF(2268.3681="","-",2268.3681/1572223.23546*100)</f>
        <v>0.14427773670043254</v>
      </c>
      <c r="E59" s="26">
        <f>IF(5031.00403="","-",5031.00403/2629714.41023*100)</f>
        <v>0.19131370351200908</v>
      </c>
      <c r="F59" s="26">
        <f>IF(OR(1361306.86729="",2776.49723="",2268.3681=""),"-",(2268.3681-2776.49723)/1361306.86729*100)</f>
        <v>-3.7326567742330563E-2</v>
      </c>
      <c r="G59" s="26">
        <f>IF(OR(1572223.23546="",5031.00403="",2268.3681=""),"-",(5031.00403-2268.3681)/1572223.23546*100)</f>
        <v>0.17571524626346777</v>
      </c>
    </row>
    <row r="60" spans="1:7" s="29" customFormat="1" x14ac:dyDescent="0.2">
      <c r="A60" s="25" t="s">
        <v>60</v>
      </c>
      <c r="B60" s="26">
        <f>IF(4762.52906="","-",4762.52906)</f>
        <v>4762.5290599999998</v>
      </c>
      <c r="C60" s="26">
        <f>IF(OR(7491.65294="",4762.52906=""),"-",4762.52906/7491.65294*100)</f>
        <v>63.5711384142149</v>
      </c>
      <c r="D60" s="26">
        <f>IF(7491.65294="","-",7491.65294/1572223.23546*100)</f>
        <v>0.47650058662363537</v>
      </c>
      <c r="E60" s="26">
        <f>IF(4762.52906="","-",4762.52906/2629714.41023*100)</f>
        <v>0.18110442112926856</v>
      </c>
      <c r="F60" s="26">
        <f>IF(OR(1361306.86729="",2783.23293="",7491.65294=""),"-",(7491.65294-2783.23293)/1361306.86729*100)</f>
        <v>0.34587499138773997</v>
      </c>
      <c r="G60" s="26">
        <f>IF(OR(1572223.23546="",4762.52906="",7491.65294=""),"-",(4762.52906-7491.65294)/1572223.23546*100)</f>
        <v>-0.17358373915657815</v>
      </c>
    </row>
    <row r="61" spans="1:7" s="27" customFormat="1" x14ac:dyDescent="0.2">
      <c r="A61" s="25" t="s">
        <v>57</v>
      </c>
      <c r="B61" s="26">
        <f>IF(4646.74413="","-",4646.74413)</f>
        <v>4646.74413</v>
      </c>
      <c r="C61" s="26">
        <f>IF(OR(7401.63254="",4646.74413=""),"-",4646.74413/7401.63254*100)</f>
        <v>62.779989480536955</v>
      </c>
      <c r="D61" s="26">
        <f>IF(7401.63254="","-",7401.63254/1572223.23546*100)</f>
        <v>0.47077491116167319</v>
      </c>
      <c r="E61" s="26">
        <f>IF(4646.74413="","-",4646.74413/2629714.41023*100)</f>
        <v>0.17670147419519927</v>
      </c>
      <c r="F61" s="26">
        <f>IF(OR(1361306.86729="",5826.86911="",7401.63254=""),"-",(7401.63254-5826.86911)/1361306.86729*100)</f>
        <v>0.11568026782491263</v>
      </c>
      <c r="G61" s="26">
        <f>IF(OR(1572223.23546="",4646.74413="",7401.63254=""),"-",(4646.74413-7401.63254)/1572223.23546*100)</f>
        <v>-0.17522247145736758</v>
      </c>
    </row>
    <row r="62" spans="1:7" s="28" customFormat="1" x14ac:dyDescent="0.2">
      <c r="A62" s="30" t="s">
        <v>116</v>
      </c>
      <c r="B62" s="26">
        <f>IF(3716.34446="","-",3716.34446)</f>
        <v>3716.3444599999998</v>
      </c>
      <c r="C62" s="26" t="str">
        <f>IF(OR(""="",3716.34446=""),"-",3716.34446/""*100)</f>
        <v>-</v>
      </c>
      <c r="D62" s="26" t="str">
        <f>IF(""="","-",""/1572223.23546*100)</f>
        <v>-</v>
      </c>
      <c r="E62" s="26">
        <f>IF(3716.34446="","-",3716.34446/2629714.41023*100)</f>
        <v>0.14132121897126315</v>
      </c>
      <c r="F62" s="26" t="str">
        <f>IF(OR(1361306.86729="",3314.59665="",""=""),"-",(""-3314.59665)/1361306.86729*100)</f>
        <v>-</v>
      </c>
      <c r="G62" s="26" t="str">
        <f>IF(OR(1572223.23546="",3716.34446="",""=""),"-",(3716.34446-"")/1572223.23546*100)</f>
        <v>-</v>
      </c>
    </row>
    <row r="63" spans="1:7" s="29" customFormat="1" x14ac:dyDescent="0.2">
      <c r="A63" s="25" t="s">
        <v>65</v>
      </c>
      <c r="B63" s="26">
        <f>IF(3628.96099="","-",3628.96099)</f>
        <v>3628.96099</v>
      </c>
      <c r="C63" s="26" t="s">
        <v>356</v>
      </c>
      <c r="D63" s="26">
        <f>IF(764.88569="","-",764.88569/1572223.23546*100)</f>
        <v>4.8649941862499581E-2</v>
      </c>
      <c r="E63" s="26">
        <f>IF(3628.96099="","-",3628.96099/2629714.41023*100)</f>
        <v>0.13799829273790243</v>
      </c>
      <c r="F63" s="26">
        <f>IF(OR(1361306.86729="",3091.07468="",764.88569=""),"-",(764.88569-3091.07468)/1361306.86729*100)</f>
        <v>-0.1708791049170878</v>
      </c>
      <c r="G63" s="26">
        <f>IF(OR(1572223.23546="",3628.96099="",764.88569=""),"-",(3628.96099-764.88569)/1572223.23546*100)</f>
        <v>0.18216721616902137</v>
      </c>
    </row>
    <row r="64" spans="1:7" s="29" customFormat="1" x14ac:dyDescent="0.2">
      <c r="A64" s="25" t="s">
        <v>73</v>
      </c>
      <c r="B64" s="26">
        <f>IF(2357.49375="","-",2357.49375)</f>
        <v>2357.4937500000001</v>
      </c>
      <c r="C64" s="26">
        <f>IF(OR(1875.26399="",2357.49375=""),"-",2357.49375/1875.26399*100)</f>
        <v>125.71529995624778</v>
      </c>
      <c r="D64" s="26">
        <f>IF(1875.26399="","-",1875.26399/1572223.23546*100)</f>
        <v>0.11927466454541592</v>
      </c>
      <c r="E64" s="26">
        <f>IF(2357.49375="","-",2357.49375/2629714.41023*100)</f>
        <v>8.9648280468364969E-2</v>
      </c>
      <c r="F64" s="26">
        <f>IF(OR(1361306.86729="",1252.31075="",1875.26399=""),"-",(1875.26399-1252.31075)/1361306.86729*100)</f>
        <v>4.5761411696991883E-2</v>
      </c>
      <c r="G64" s="26">
        <f>IF(OR(1572223.23546="",2357.49375="",1875.26399=""),"-",(2357.49375-1875.26399)/1572223.23546*100)</f>
        <v>3.0671837759662018E-2</v>
      </c>
    </row>
    <row r="65" spans="1:7" s="29" customFormat="1" x14ac:dyDescent="0.2">
      <c r="A65" s="25" t="s">
        <v>72</v>
      </c>
      <c r="B65" s="26">
        <f>IF(2026.9522="","-",2026.9522)</f>
        <v>2026.9521999999999</v>
      </c>
      <c r="C65" s="26">
        <f>IF(OR(12245.58789="",2026.9522=""),"-",2026.9522/12245.58789*100)</f>
        <v>16.552510326231467</v>
      </c>
      <c r="D65" s="26">
        <f>IF(12245.58789="","-",12245.58789/1572223.23546*100)</f>
        <v>0.77887081260551361</v>
      </c>
      <c r="E65" s="26">
        <f>IF(2026.9522="","-",2026.9522/2629714.41023*100)</f>
        <v>7.707879578538411E-2</v>
      </c>
      <c r="F65" s="26">
        <f>IF(OR(1361306.86729="",395.70259="",12245.58789=""),"-",(12245.58789-395.70259)/1361306.86729*100)</f>
        <v>0.87047862496939954</v>
      </c>
      <c r="G65" s="26">
        <f>IF(OR(1572223.23546="",2026.9522="",12245.58789=""),"-",(2026.9522-12245.58789)/1572223.23546*100)</f>
        <v>-0.64994814092098308</v>
      </c>
    </row>
    <row r="66" spans="1:7" s="29" customFormat="1" x14ac:dyDescent="0.2">
      <c r="A66" s="25" t="s">
        <v>34</v>
      </c>
      <c r="B66" s="26">
        <f>IF(1920.18139="","-",1920.18139)</f>
        <v>1920.18139</v>
      </c>
      <c r="C66" s="26" t="s">
        <v>326</v>
      </c>
      <c r="D66" s="26">
        <f>IF(624.49878="","-",624.49878/1572223.23546*100)</f>
        <v>3.9720744860845703E-2</v>
      </c>
      <c r="E66" s="26">
        <f>IF(1920.18139="","-",1920.18139/2629714.41023*100)</f>
        <v>7.3018628278804509E-2</v>
      </c>
      <c r="F66" s="26">
        <f>IF(OR(1361306.86729="",308.19528="",624.49878=""),"-",(624.49878-308.19528)/1361306.86729*100)</f>
        <v>2.3235282771303149E-2</v>
      </c>
      <c r="G66" s="26">
        <f>IF(OR(1572223.23546="",1920.18139="",624.49878=""),"-",(1920.18139-624.49878)/1572223.23546*100)</f>
        <v>8.2410854945856968E-2</v>
      </c>
    </row>
    <row r="67" spans="1:7" s="29" customFormat="1" x14ac:dyDescent="0.2">
      <c r="A67" s="25" t="s">
        <v>122</v>
      </c>
      <c r="B67" s="26">
        <f>IF(1843.74282="","-",1843.74282)</f>
        <v>1843.7428199999999</v>
      </c>
      <c r="C67" s="26">
        <f>IF(OR(1487.66448="",1843.74282=""),"-",1843.74282/1487.66448*100)</f>
        <v>123.9353930128116</v>
      </c>
      <c r="D67" s="26">
        <f>IF(1487.66448="","-",1487.66448/1572223.23546*100)</f>
        <v>9.4621708065823096E-2</v>
      </c>
      <c r="E67" s="26">
        <f>IF(1843.74282="","-",1843.74282/2629714.41023*100)</f>
        <v>7.0111903133950673E-2</v>
      </c>
      <c r="F67" s="26">
        <f>IF(OR(1361306.86729="",883.39714="",1487.66448=""),"-",(1487.66448-883.39714)/1361306.86729*100)</f>
        <v>4.4388767479219104E-2</v>
      </c>
      <c r="G67" s="26">
        <f>IF(OR(1572223.23546="",1843.74282="",1487.66448=""),"-",(1843.74282-1487.66448)/1572223.23546*100)</f>
        <v>2.2648077700990015E-2</v>
      </c>
    </row>
    <row r="68" spans="1:7" s="29" customFormat="1" x14ac:dyDescent="0.2">
      <c r="A68" s="25" t="s">
        <v>81</v>
      </c>
      <c r="B68" s="26">
        <f>IF(1764.66139="","-",1764.66139)</f>
        <v>1764.66139</v>
      </c>
      <c r="C68" s="26" t="s">
        <v>352</v>
      </c>
      <c r="D68" s="26">
        <f>IF(133.92468="","-",133.92468/1572223.23546*100)</f>
        <v>8.5181720368619537E-3</v>
      </c>
      <c r="E68" s="26">
        <f>IF(1764.66139="","-",1764.66139/2629714.41023*100)</f>
        <v>6.7104678102503881E-2</v>
      </c>
      <c r="F68" s="26">
        <f>IF(OR(1361306.86729="",19.39621="",133.92468=""),"-",(133.92468-19.39621)/1361306.86729*100)</f>
        <v>8.4131265882758481E-3</v>
      </c>
      <c r="G68" s="26">
        <f>IF(OR(1572223.23546="",1764.66139="",133.92468=""),"-",(1764.66139-133.92468)/1572223.23546*100)</f>
        <v>0.10372170269592026</v>
      </c>
    </row>
    <row r="69" spans="1:7" s="29" customFormat="1" x14ac:dyDescent="0.2">
      <c r="A69" s="30" t="s">
        <v>87</v>
      </c>
      <c r="B69" s="26">
        <f>IF(1591.76102="","-",1591.76102)</f>
        <v>1591.7610199999999</v>
      </c>
      <c r="C69" s="26" t="s">
        <v>341</v>
      </c>
      <c r="D69" s="26">
        <f>IF(233.5663="","-",233.5663/1572223.23546*100)</f>
        <v>1.485579749313801E-2</v>
      </c>
      <c r="E69" s="26">
        <f>IF(1591.76102="","-",1591.76102/2629714.41023*100)</f>
        <v>6.052980558678922E-2</v>
      </c>
      <c r="F69" s="26">
        <f>IF(OR(1361306.86729="",278.35582="",233.5663=""),"-",(233.5663-278.35582)/1361306.86729*100)</f>
        <v>-3.290185414928818E-3</v>
      </c>
      <c r="G69" s="26">
        <f>IF(OR(1572223.23546="",1591.76102="",233.5663=""),"-",(1591.76102-233.5663)/1572223.23546*100)</f>
        <v>8.6386887648471897E-2</v>
      </c>
    </row>
    <row r="70" spans="1:7" s="29" customFormat="1" x14ac:dyDescent="0.2">
      <c r="A70" s="25" t="s">
        <v>98</v>
      </c>
      <c r="B70" s="26">
        <f>IF(1465.32775="","-",1465.32775)</f>
        <v>1465.3277499999999</v>
      </c>
      <c r="C70" s="26" t="s">
        <v>313</v>
      </c>
      <c r="D70" s="26">
        <f>IF(341.76294="","-",341.76294/1572223.23546*100)</f>
        <v>2.1737558146442685E-2</v>
      </c>
      <c r="E70" s="26">
        <f>IF(1465.32775="","-",1465.32775/2629714.41023*100)</f>
        <v>5.5721934834430921E-2</v>
      </c>
      <c r="F70" s="26">
        <f>IF(OR(1361306.86729="",315.09482="",341.76294=""),"-",(341.76294-315.09482)/1361306.86729*100)</f>
        <v>1.9590087026512344E-3</v>
      </c>
      <c r="G70" s="26">
        <f>IF(OR(1572223.23546="",1465.32775="",341.76294=""),"-",(1465.32775-341.76294)/1572223.23546*100)</f>
        <v>7.1463440092924713E-2</v>
      </c>
    </row>
    <row r="71" spans="1:7" s="29" customFormat="1" x14ac:dyDescent="0.2">
      <c r="A71" s="25" t="s">
        <v>74</v>
      </c>
      <c r="B71" s="26">
        <f>IF(1144.46381="","-",1144.46381)</f>
        <v>1144.46381</v>
      </c>
      <c r="C71" s="26">
        <f>IF(OR(1652.35113="",1144.46381=""),"-",1144.46381/1652.35113*100)</f>
        <v>69.262748650766497</v>
      </c>
      <c r="D71" s="26">
        <f>IF(1652.35113="","-",1652.35113/1572223.23546*100)</f>
        <v>0.10509647057318525</v>
      </c>
      <c r="E71" s="26">
        <f>IF(1144.46381="","-",1144.46381/2629714.41023*100)</f>
        <v>4.352046007535483E-2</v>
      </c>
      <c r="F71" s="26">
        <f>IF(OR(1361306.86729="",682.09246="",1652.35113=""),"-",(1652.35113-682.09246)/1361306.86729*100)</f>
        <v>7.1274059751974012E-2</v>
      </c>
      <c r="G71" s="26">
        <f>IF(OR(1572223.23546="",1144.46381="",1652.35113=""),"-",(1144.46381-1652.35113)/1572223.23546*100)</f>
        <v>-3.2303766319253177E-2</v>
      </c>
    </row>
    <row r="72" spans="1:7" x14ac:dyDescent="0.2">
      <c r="A72" s="25" t="s">
        <v>75</v>
      </c>
      <c r="B72" s="26">
        <f>IF(1090.07651="","-",1090.07651)</f>
        <v>1090.0765100000001</v>
      </c>
      <c r="C72" s="26" t="s">
        <v>360</v>
      </c>
      <c r="D72" s="26">
        <f>IF(191.82117="","-",191.82117/1572223.23546*100)</f>
        <v>1.2200631925139885E-2</v>
      </c>
      <c r="E72" s="26">
        <f>IF(1090.07651="","-",1090.07651/2629714.41023*100)</f>
        <v>4.1452277318001989E-2</v>
      </c>
      <c r="F72" s="26">
        <f>IF(OR(1361306.86729="",141.4942="",191.82117=""),"-",(191.82117-141.4942)/1361306.86729*100)</f>
        <v>3.6969599734839806E-3</v>
      </c>
      <c r="G72" s="26">
        <f>IF(OR(1572223.23546="",1090.07651="",191.82117=""),"-",(1090.07651-191.82117)/1572223.23546*100)</f>
        <v>5.7132811660628405E-2</v>
      </c>
    </row>
    <row r="73" spans="1:7" x14ac:dyDescent="0.2">
      <c r="A73" s="25" t="s">
        <v>78</v>
      </c>
      <c r="B73" s="26">
        <f>IF(1076.19802="","-",1076.19802)</f>
        <v>1076.19802</v>
      </c>
      <c r="C73" s="26" t="s">
        <v>343</v>
      </c>
      <c r="D73" s="26">
        <f>IF(9.75744="","-",9.75744/1572223.23546*100)</f>
        <v>6.2061415834152676E-4</v>
      </c>
      <c r="E73" s="26">
        <f>IF(1076.19802="","-",1076.19802/2629714.41023*100)</f>
        <v>4.0924520769761975E-2</v>
      </c>
      <c r="F73" s="26">
        <f>IF(OR(1361306.86729="",4.91="",9.75744=""),"-",(9.75744-4.91)/1361306.86729*100)</f>
        <v>3.5608723620486577E-4</v>
      </c>
      <c r="G73" s="26">
        <f>IF(OR(1572223.23546="",1076.19802="",9.75744=""),"-",(1076.19802-9.75744)/1572223.23546*100)</f>
        <v>6.7830099183592174E-2</v>
      </c>
    </row>
    <row r="74" spans="1:7" x14ac:dyDescent="0.2">
      <c r="A74" s="30" t="s">
        <v>69</v>
      </c>
      <c r="B74" s="26">
        <f>IF(1044.76299="","-",1044.76299)</f>
        <v>1044.7629899999999</v>
      </c>
      <c r="C74" s="26" t="s">
        <v>355</v>
      </c>
      <c r="D74" s="26">
        <f>IF(460.17578="","-",460.17578/1572223.23546*100)</f>
        <v>2.9269112020556168E-2</v>
      </c>
      <c r="E74" s="26">
        <f>IF(1044.76299="","-",1044.76299/2629714.41023*100)</f>
        <v>3.9729142675558556E-2</v>
      </c>
      <c r="F74" s="26">
        <f>IF(OR(1361306.86729="",574.86521="",460.17578=""),"-",(460.17578-574.86521)/1361306.86729*100)</f>
        <v>-8.4249505204007542E-3</v>
      </c>
      <c r="G74" s="26">
        <f>IF(OR(1572223.23546="",1044.76299="",460.17578=""),"-",(1044.76299-460.17578)/1572223.23546*100)</f>
        <v>3.7182201408501751E-2</v>
      </c>
    </row>
    <row r="75" spans="1:7" x14ac:dyDescent="0.2">
      <c r="A75" s="25" t="s">
        <v>37</v>
      </c>
      <c r="B75" s="26">
        <f>IF(1007.20889="","-",1007.20889)</f>
        <v>1007.20889</v>
      </c>
      <c r="C75" s="26" t="s">
        <v>101</v>
      </c>
      <c r="D75" s="26">
        <f>IF(520.55085="","-",520.55085/1572223.23546*100)</f>
        <v>3.3109220005115715E-2</v>
      </c>
      <c r="E75" s="26">
        <f>IF(1007.20889="","-",1007.20889/2629714.41023*100)</f>
        <v>3.8301075055215121E-2</v>
      </c>
      <c r="F75" s="26">
        <f>IF(OR(1361306.86729="",1340.06666="",520.55085=""),"-",(520.55085-1340.06666)/1361306.86729*100)</f>
        <v>-6.0200666704299972E-2</v>
      </c>
      <c r="G75" s="26">
        <f>IF(OR(1572223.23546="",1007.20889="",520.55085=""),"-",(1007.20889-520.55085)/1572223.23546*100)</f>
        <v>3.0953494963303598E-2</v>
      </c>
    </row>
    <row r="76" spans="1:7" x14ac:dyDescent="0.2">
      <c r="A76" s="25" t="s">
        <v>297</v>
      </c>
      <c r="B76" s="26">
        <f>IF(890.87203="","-",890.87203)</f>
        <v>890.87203</v>
      </c>
      <c r="C76" s="26">
        <f>IF(OR(831.21191="",890.87203=""),"-",890.87203/831.21191*100)</f>
        <v>107.1774861839985</v>
      </c>
      <c r="D76" s="26">
        <f>IF(831.21191="","-",831.21191/1572223.23546*100)</f>
        <v>5.286856797767682E-2</v>
      </c>
      <c r="E76" s="26">
        <f>IF(890.87203="","-",890.87203/2629714.41023*100)</f>
        <v>3.3877139910492508E-2</v>
      </c>
      <c r="F76" s="26">
        <f>IF(OR(1361306.86729="",817.48019="",831.21191=""),"-",(831.21191-817.48019)/1361306.86729*100)</f>
        <v>1.0087159868175939E-3</v>
      </c>
      <c r="G76" s="26">
        <f>IF(OR(1572223.23546="",890.87203="",831.21191=""),"-",(890.87203-831.21191)/1572223.23546*100)</f>
        <v>3.7946341622756064E-3</v>
      </c>
    </row>
    <row r="77" spans="1:7" x14ac:dyDescent="0.2">
      <c r="A77" s="25" t="s">
        <v>92</v>
      </c>
      <c r="B77" s="26">
        <f>IF(757.70305="","-",757.70305)</f>
        <v>757.70304999999996</v>
      </c>
      <c r="C77" s="26" t="s">
        <v>361</v>
      </c>
      <c r="D77" s="26">
        <f>IF(231.46488="","-",231.46488/1572223.23546*100)</f>
        <v>1.4722138356661427E-2</v>
      </c>
      <c r="E77" s="26">
        <f>IF(757.70305="","-",757.70305/2629714.41023*100)</f>
        <v>2.8813130697858926E-2</v>
      </c>
      <c r="F77" s="26">
        <f>IF(OR(1361306.86729="",183.36195="",231.46488=""),"-",(231.46488-183.36195)/1361306.86729*100)</f>
        <v>3.5335846131269526E-3</v>
      </c>
      <c r="G77" s="26">
        <f>IF(OR(1572223.23546="",757.70305="",231.46488=""),"-",(757.70305-231.46488)/1572223.23546*100)</f>
        <v>3.3470957439834144E-2</v>
      </c>
    </row>
    <row r="78" spans="1:7" x14ac:dyDescent="0.2">
      <c r="A78" s="25" t="s">
        <v>135</v>
      </c>
      <c r="B78" s="26">
        <f>IF(559.4758="","-",559.4758)</f>
        <v>559.47580000000005</v>
      </c>
      <c r="C78" s="26">
        <f>IF(OR(534.65498="",559.4758=""),"-",559.4758/534.65498*100)</f>
        <v>104.64239947788386</v>
      </c>
      <c r="D78" s="26">
        <f>IF(534.65498="","-",534.65498/1572223.23546*100)</f>
        <v>3.400630190047859E-2</v>
      </c>
      <c r="E78" s="26">
        <f>IF(559.4758="","-",559.4758/2629714.41023*100)</f>
        <v>2.1275154359863251E-2</v>
      </c>
      <c r="F78" s="26">
        <f>IF(OR(1361306.86729="",157.38954="",534.65498=""),"-",(534.65498-157.38954)/1361306.86729*100)</f>
        <v>2.7713475121963881E-2</v>
      </c>
      <c r="G78" s="26">
        <f>IF(OR(1572223.23546="",559.4758="",534.65498=""),"-",(559.4758-534.65498)/1572223.23546*100)</f>
        <v>1.5787083818754254E-3</v>
      </c>
    </row>
    <row r="79" spans="1:7" x14ac:dyDescent="0.2">
      <c r="A79" s="25" t="s">
        <v>84</v>
      </c>
      <c r="B79" s="26">
        <f>IF(449.41926="","-",449.41926)</f>
        <v>449.41926000000001</v>
      </c>
      <c r="C79" s="26" t="s">
        <v>375</v>
      </c>
      <c r="D79" s="26">
        <f>IF(27.5959="","-",27.5959/1572223.23546*100)</f>
        <v>1.7552151232471773E-3</v>
      </c>
      <c r="E79" s="26">
        <f>IF(449.41926="","-",449.41926/2629714.41023*100)</f>
        <v>1.709004058584038E-2</v>
      </c>
      <c r="F79" s="26">
        <f>IF(OR(1361306.86729="",1122.53902="",27.5959=""),"-",(27.5959-1122.53902)/1361306.86729*100)</f>
        <v>-8.043323267587274E-2</v>
      </c>
      <c r="G79" s="26">
        <f>IF(OR(1572223.23546="",449.41926="",27.5959=""),"-",(449.41926-27.5959)/1572223.23546*100)</f>
        <v>2.6829737055538625E-2</v>
      </c>
    </row>
    <row r="80" spans="1:7" x14ac:dyDescent="0.2">
      <c r="A80" s="25" t="s">
        <v>202</v>
      </c>
      <c r="B80" s="26">
        <f>IF(421.91856="","-",421.91856)</f>
        <v>421.91856000000001</v>
      </c>
      <c r="C80" s="26">
        <f>IF(OR(381.39219="",421.91856=""),"-",421.91856/381.39219*100)</f>
        <v>110.62590453150077</v>
      </c>
      <c r="D80" s="26">
        <f>IF(381.39219="","-",381.39219/1572223.23546*100)</f>
        <v>2.4258144861242465E-2</v>
      </c>
      <c r="E80" s="26">
        <f>IF(421.91856="","-",421.91856/2629714.41023*100)</f>
        <v>1.6044273034313949E-2</v>
      </c>
      <c r="F80" s="26">
        <f>IF(OR(1361306.86729="",84.02928="",381.39219=""),"-",(381.39219-84.02928)/1361306.86729*100)</f>
        <v>2.1843929325940339E-2</v>
      </c>
      <c r="G80" s="26">
        <f>IF(OR(1572223.23546="",421.91856="",381.39219=""),"-",(421.91856-381.39219)/1572223.23546*100)</f>
        <v>2.5776473140687816E-3</v>
      </c>
    </row>
    <row r="81" spans="1:7" x14ac:dyDescent="0.2">
      <c r="A81" s="25" t="s">
        <v>133</v>
      </c>
      <c r="B81" s="26">
        <f>IF(405.6008="","-",405.6008)</f>
        <v>405.60079999999999</v>
      </c>
      <c r="C81" s="26">
        <f>IF(OR(299.4="",405.6008=""),"-",405.6008/299.4*100)</f>
        <v>135.47120908483635</v>
      </c>
      <c r="D81" s="26">
        <f>IF(299.4="","-",299.4/1572223.23546*100)</f>
        <v>1.9043097268079855E-2</v>
      </c>
      <c r="E81" s="26">
        <f>IF(405.6008="","-",405.6008/2629714.41023*100)</f>
        <v>1.5423758504807577E-2</v>
      </c>
      <c r="F81" s="26">
        <f>IF(OR(1361306.86729="",179.7168="",299.4=""),"-",(299.4-179.7168)/1361306.86729*100)</f>
        <v>8.7917869861523137E-3</v>
      </c>
      <c r="G81" s="26">
        <f>IF(OR(1572223.23546="",405.6008="",299.4=""),"-",(405.6008-299.4)/1572223.23546*100)</f>
        <v>6.7548168481893637E-3</v>
      </c>
    </row>
    <row r="82" spans="1:7" x14ac:dyDescent="0.2">
      <c r="A82" s="25" t="s">
        <v>36</v>
      </c>
      <c r="B82" s="26">
        <f>IF(388.17367="","-",388.17367)</f>
        <v>388.17367000000002</v>
      </c>
      <c r="C82" s="26">
        <f>IF(OR(562.95087="",388.17367=""),"-",388.17367/562.95087*100)</f>
        <v>68.953383090073203</v>
      </c>
      <c r="D82" s="26">
        <f>IF(562.95087="","-",562.95087/1572223.23546*100)</f>
        <v>3.5806039327188302E-2</v>
      </c>
      <c r="E82" s="26">
        <f>IF(388.17367="","-",388.17367/2629714.41023*100)</f>
        <v>1.4761058025538582E-2</v>
      </c>
      <c r="F82" s="26">
        <f>IF(OR(1361306.86729="",543.73806="",562.95087=""),"-",(562.95087-543.73806)/1361306.86729*100)</f>
        <v>1.4113504061172913E-3</v>
      </c>
      <c r="G82" s="26">
        <f>IF(OR(1572223.23546="",388.17367="",562.95087=""),"-",(388.17367-562.95087)/1572223.23546*100)</f>
        <v>-1.1116563860529881E-2</v>
      </c>
    </row>
    <row r="83" spans="1:7" x14ac:dyDescent="0.2">
      <c r="A83" s="25" t="s">
        <v>89</v>
      </c>
      <c r="B83" s="26">
        <f>IF(383.74909="","-",383.74909)</f>
        <v>383.74909000000002</v>
      </c>
      <c r="C83" s="26">
        <f>IF(OR(331.85469="",383.74909=""),"-",383.74909/331.85469*100)</f>
        <v>115.6376876879456</v>
      </c>
      <c r="D83" s="26">
        <f>IF(331.85469="","-",331.85469/1572223.23546*100)</f>
        <v>2.1107351838805903E-2</v>
      </c>
      <c r="E83" s="26">
        <f>IF(383.74909="","-",383.74909/2629714.41023*100)</f>
        <v>1.4592804774052882E-2</v>
      </c>
      <c r="F83" s="26">
        <f>IF(OR(1361306.86729="",597.79092="",331.85469=""),"-",(331.85469-597.79092)/1361306.86729*100)</f>
        <v>-1.9535362407258575E-2</v>
      </c>
      <c r="G83" s="26">
        <f>IF(OR(1572223.23546="",383.74909="",331.85469=""),"-",(383.74909-331.85469)/1572223.23546*100)</f>
        <v>3.3007017597483086E-3</v>
      </c>
    </row>
    <row r="84" spans="1:7" x14ac:dyDescent="0.2">
      <c r="A84" s="30" t="s">
        <v>103</v>
      </c>
      <c r="B84" s="26">
        <f>IF(379.47044="","-",379.47044)</f>
        <v>379.47044</v>
      </c>
      <c r="C84" s="26" t="s">
        <v>350</v>
      </c>
      <c r="D84" s="26">
        <f>IF(100.60856="","-",100.60856/1572223.23546*100)</f>
        <v>6.3991269007396398E-3</v>
      </c>
      <c r="E84" s="26">
        <f>IF(379.47044="","-",379.47044/2629714.41023*100)</f>
        <v>1.4430100794360053E-2</v>
      </c>
      <c r="F84" s="26">
        <f>IF(OR(1361306.86729="",100.41322="",100.60856=""),"-",(100.60856-100.41322)/1361306.86729*100)</f>
        <v>1.4349446454264323E-5</v>
      </c>
      <c r="G84" s="26">
        <f>IF(OR(1572223.23546="",379.47044="",100.60856=""),"-",(379.47044-100.60856)/1572223.23546*100)</f>
        <v>1.7736786590513066E-2</v>
      </c>
    </row>
    <row r="85" spans="1:7" x14ac:dyDescent="0.2">
      <c r="A85" s="25" t="s">
        <v>312</v>
      </c>
      <c r="B85" s="26">
        <f>IF(322.09022="","-",322.09022)</f>
        <v>322.09021999999999</v>
      </c>
      <c r="C85" s="26">
        <f>IF(OR(446.12179="",322.09022=""),"-",322.09022/446.12179*100)</f>
        <v>72.197822930818958</v>
      </c>
      <c r="D85" s="26">
        <f>IF(446.12179="","-",446.12179/1572223.23546*100)</f>
        <v>2.8375219239745807E-2</v>
      </c>
      <c r="E85" s="26">
        <f>IF(322.09022="","-",322.09022/2629714.41023*100)</f>
        <v>1.2248106438745543E-2</v>
      </c>
      <c r="F85" s="26">
        <f>IF(OR(1361306.86729="",290.33093="",446.12179=""),"-",(446.12179-290.33093)/1361306.86729*100)</f>
        <v>1.1444213185388401E-2</v>
      </c>
      <c r="G85" s="26">
        <f>IF(OR(1572223.23546="",322.09022="",446.12179=""),"-",(322.09022-446.12179)/1572223.23546*100)</f>
        <v>-7.8889286968024542E-3</v>
      </c>
    </row>
    <row r="86" spans="1:7" x14ac:dyDescent="0.2">
      <c r="A86" s="25" t="s">
        <v>82</v>
      </c>
      <c r="B86" s="26">
        <f>IF(300.26248="","-",300.26248)</f>
        <v>300.26247999999998</v>
      </c>
      <c r="C86" s="26" t="s">
        <v>376</v>
      </c>
      <c r="D86" s="26">
        <f>IF(102.18825="","-",102.18825/1572223.23546*100)</f>
        <v>6.4996018183195101E-3</v>
      </c>
      <c r="E86" s="26">
        <f>IF(300.26248="","-",300.26248/2629714.41023*100)</f>
        <v>1.1418064213814702E-2</v>
      </c>
      <c r="F86" s="26">
        <f>IF(OR(1361306.86729="",796.23452="",102.18825=""),"-",(102.18825-796.23452)/1361306.86729*100)</f>
        <v>-5.0983821993174958E-2</v>
      </c>
      <c r="G86" s="26">
        <f>IF(OR(1572223.23546="",300.26248="",102.18825=""),"-",(300.26248-102.18825)/1572223.23546*100)</f>
        <v>1.2598352799565867E-2</v>
      </c>
    </row>
    <row r="87" spans="1:7" x14ac:dyDescent="0.2">
      <c r="A87" s="25" t="s">
        <v>123</v>
      </c>
      <c r="B87" s="26">
        <f>IF(295.30431="","-",295.30431)</f>
        <v>295.30430999999999</v>
      </c>
      <c r="C87" s="26">
        <f>IF(OR(336.93794="",295.30431=""),"-",295.30431/336.93794*100)</f>
        <v>87.643531624844613</v>
      </c>
      <c r="D87" s="26">
        <f>IF(336.93794="","-",336.93794/1572223.23546*100)</f>
        <v>2.1430667884857899E-2</v>
      </c>
      <c r="E87" s="26">
        <f>IF(295.30431="","-",295.30431/2629714.41023*100)</f>
        <v>1.1229520165810403E-2</v>
      </c>
      <c r="F87" s="26">
        <f>IF(OR(1361306.86729="",63.79511="",336.93794=""),"-",(336.93794-63.79511)/1361306.86729*100)</f>
        <v>2.0064750759963088E-2</v>
      </c>
      <c r="G87" s="26">
        <f>IF(OR(1572223.23546="",295.30431="",336.93794=""),"-",(295.30431-336.93794)/1572223.23546*100)</f>
        <v>-2.6480736997770483E-3</v>
      </c>
    </row>
    <row r="88" spans="1:7" x14ac:dyDescent="0.2">
      <c r="A88" s="25" t="s">
        <v>63</v>
      </c>
      <c r="B88" s="26">
        <f>IF(264.05837="","-",264.05837)</f>
        <v>264.05837000000002</v>
      </c>
      <c r="C88" s="26">
        <f>IF(OR(1550.77618="",264.05837=""),"-",264.05837/1550.77618*100)</f>
        <v>17.027497159519179</v>
      </c>
      <c r="D88" s="26">
        <f>IF(1550.77618="","-",1550.77618/1572223.23546*100)</f>
        <v>9.8635877210291642E-2</v>
      </c>
      <c r="E88" s="26">
        <f>IF(264.05837="","-",264.05837/2629714.41023*100)</f>
        <v>1.0041332586260002E-2</v>
      </c>
      <c r="F88" s="26">
        <f>IF(OR(1361306.86729="",4634.52109="",1550.77618=""),"-",(1550.77618-4634.52109)/1361306.86729*100)</f>
        <v>-0.22652827103847029</v>
      </c>
      <c r="G88" s="26">
        <f>IF(OR(1572223.23546="",264.05837="",1550.77618=""),"-",(264.05837-1550.77618)/1572223.23546*100)</f>
        <v>-8.184065602004241E-2</v>
      </c>
    </row>
    <row r="89" spans="1:7" x14ac:dyDescent="0.2">
      <c r="A89" s="25" t="s">
        <v>85</v>
      </c>
      <c r="B89" s="26">
        <f>IF(248.3943="","-",248.3943)</f>
        <v>248.39429999999999</v>
      </c>
      <c r="C89" s="26">
        <f>IF(OR(910.87987="",248.3943=""),"-",248.3943/910.87987*100)</f>
        <v>27.269710110071919</v>
      </c>
      <c r="D89" s="26">
        <f>IF(910.87987="","-",910.87987/1572223.23546*100)</f>
        <v>5.7935784782718547E-2</v>
      </c>
      <c r="E89" s="26">
        <f>IF(248.3943="","-",248.3943/2629714.41023*100)</f>
        <v>9.4456758891272499E-3</v>
      </c>
      <c r="F89" s="26">
        <f>IF(OR(1361306.86729="",39.80536="",910.87987=""),"-",(910.87987-39.80536)/1361306.86729*100)</f>
        <v>6.3988108113645081E-2</v>
      </c>
      <c r="G89" s="26">
        <f>IF(OR(1572223.23546="",248.3943="",910.87987=""),"-",(248.3943-910.87987)/1572223.23546*100)</f>
        <v>-4.2136864222476048E-2</v>
      </c>
    </row>
    <row r="90" spans="1:7" x14ac:dyDescent="0.2">
      <c r="A90" s="25" t="s">
        <v>128</v>
      </c>
      <c r="B90" s="26">
        <f>IF(243.38135="","-",243.38135)</f>
        <v>243.38135</v>
      </c>
      <c r="C90" s="26">
        <f>IF(OR(324.97647="",243.38135=""),"-",243.38135/324.97647*100)</f>
        <v>74.891991410947384</v>
      </c>
      <c r="D90" s="26">
        <f>IF(324.97647="","-",324.97647/1572223.23546*100)</f>
        <v>2.0669868163150418E-2</v>
      </c>
      <c r="E90" s="26">
        <f>IF(243.38135="","-",243.38135/2629714.41023*100)</f>
        <v>9.2550487251850822E-3</v>
      </c>
      <c r="F90" s="26">
        <f>IF(OR(1361306.86729="",214.63237="",324.97647=""),"-",(324.97647-214.63237)/1361306.86729*100)</f>
        <v>8.1057476937338724E-3</v>
      </c>
      <c r="G90" s="26">
        <f>IF(OR(1572223.23546="",243.38135="",324.97647=""),"-",(243.38135-324.97647)/1572223.23546*100)</f>
        <v>-5.1897922737496605E-3</v>
      </c>
    </row>
    <row r="91" spans="1:7" x14ac:dyDescent="0.2">
      <c r="A91" s="25" t="s">
        <v>80</v>
      </c>
      <c r="B91" s="26">
        <f>IF(227.87202="","-",227.87202)</f>
        <v>227.87201999999999</v>
      </c>
      <c r="C91" s="26">
        <f>IF(OR(378.75375="",227.87202=""),"-",227.87202/378.75375*100)</f>
        <v>60.163634023425502</v>
      </c>
      <c r="D91" s="26">
        <f>IF(378.75375="","-",378.75375/1572223.23546*100)</f>
        <v>2.4090328997661992E-2</v>
      </c>
      <c r="E91" s="26">
        <f>IF(227.87202="","-",227.87202/2629714.41023*100)</f>
        <v>8.6652763172130869E-3</v>
      </c>
      <c r="F91" s="26">
        <f>IF(OR(1361306.86729="",146.38074="",378.75375=""),"-",(378.75375-146.38074)/1361306.86729*100)</f>
        <v>1.7069847775218597E-2</v>
      </c>
      <c r="G91" s="26">
        <f>IF(OR(1572223.23546="",227.87202="",378.75375=""),"-",(227.87202-378.75375)/1572223.23546*100)</f>
        <v>-9.5967116244694839E-3</v>
      </c>
    </row>
    <row r="92" spans="1:7" x14ac:dyDescent="0.2">
      <c r="A92" s="30" t="s">
        <v>305</v>
      </c>
      <c r="B92" s="26">
        <f>IF(224.11318="","-",224.11318)</f>
        <v>224.11318</v>
      </c>
      <c r="C92" s="26">
        <f>IF(OR(341.76138="",224.11318=""),"-",224.11318/341.76138*100)</f>
        <v>65.57592317774467</v>
      </c>
      <c r="D92" s="26">
        <f>IF(341.76138="","-",341.76138/1572223.23546*100)</f>
        <v>2.1737458923891787E-2</v>
      </c>
      <c r="E92" s="26">
        <f>IF(224.11318="","-",224.11318/2629714.41023*100)</f>
        <v>8.5223391227642331E-3</v>
      </c>
      <c r="F92" s="26">
        <f>IF(OR(1361306.86729="",791.24182="",341.76138=""),"-",(341.76138-791.24182)/1361306.86729*100)</f>
        <v>-3.3018304013612748E-2</v>
      </c>
      <c r="G92" s="26">
        <f>IF(OR(1572223.23546="",224.11318="",341.76138=""),"-",(224.11318-341.76138)/1572223.23546*100)</f>
        <v>-7.4829195591667071E-3</v>
      </c>
    </row>
    <row r="93" spans="1:7" x14ac:dyDescent="0.2">
      <c r="A93" s="25" t="s">
        <v>119</v>
      </c>
      <c r="B93" s="26">
        <f>IF(220.46897="","-",220.46897)</f>
        <v>220.46897000000001</v>
      </c>
      <c r="C93" s="26">
        <f>IF(OR(312.1341="",220.46897=""),"-",220.46897/312.1341*100)</f>
        <v>70.632772901134487</v>
      </c>
      <c r="D93" s="26">
        <f>IF(312.1341="","-",312.1341/1572223.23546*100)</f>
        <v>1.9853039502286451E-2</v>
      </c>
      <c r="E93" s="26">
        <f>IF(220.46897="","-",220.46897/2629714.41023*100)</f>
        <v>8.3837609567921616E-3</v>
      </c>
      <c r="F93" s="26">
        <f>IF(OR(1361306.86729="",744.02661="",312.1341=""),"-",(312.1341-744.02661)/1361306.86729*100)</f>
        <v>-3.1726315379557529E-2</v>
      </c>
      <c r="G93" s="26">
        <f>IF(OR(1572223.23546="",220.46897="",312.1341=""),"-",(220.46897-312.1341)/1572223.23546*100)</f>
        <v>-5.8302871966639429E-3</v>
      </c>
    </row>
    <row r="94" spans="1:7" x14ac:dyDescent="0.2">
      <c r="A94" s="30" t="s">
        <v>79</v>
      </c>
      <c r="B94" s="26">
        <f>IF(216.70877="","-",216.70877)</f>
        <v>216.70876999999999</v>
      </c>
      <c r="C94" s="26" t="s">
        <v>377</v>
      </c>
      <c r="D94" s="26">
        <f>IF(0.85315="","-",0.85315/1572223.23546*100)</f>
        <v>5.4263922626126681E-5</v>
      </c>
      <c r="E94" s="26">
        <f>IF(216.70877="","-",216.70877/2629714.41023*100)</f>
        <v>8.2407720457008185E-3</v>
      </c>
      <c r="F94" s="26">
        <f>IF(OR(1361306.86729="",355.57937="",0.85315=""),"-",(0.85315-355.57937)/1361306.86729*100)</f>
        <v>-2.6057770552951488E-2</v>
      </c>
      <c r="G94" s="26">
        <f>IF(OR(1572223.23546="",216.70877="",0.85315=""),"-",(216.70877-0.85315)/1572223.23546*100)</f>
        <v>1.3729323872817913E-2</v>
      </c>
    </row>
    <row r="95" spans="1:7" x14ac:dyDescent="0.2">
      <c r="A95" s="30" t="s">
        <v>83</v>
      </c>
      <c r="B95" s="26">
        <f>IF(195.09679="","-",195.09679)</f>
        <v>195.09679</v>
      </c>
      <c r="C95" s="26">
        <f>IF(OR(164.12449="",195.09679=""),"-",195.09679/164.12449*100)</f>
        <v>118.87122391058153</v>
      </c>
      <c r="D95" s="26">
        <f>IF(164.12449="","-",164.12449/1572223.23546*100)</f>
        <v>1.0439006770688042E-2</v>
      </c>
      <c r="E95" s="26">
        <f>IF(195.09679="","-",195.09679/2629714.41023*100)</f>
        <v>7.4189345139929648E-3</v>
      </c>
      <c r="F95" s="26">
        <f>IF(OR(1361306.86729="",287.84784="",164.12449=""),"-",(164.12449-287.84784)/1361306.86729*100)</f>
        <v>-9.0885716492637922E-3</v>
      </c>
      <c r="G95" s="26">
        <f>IF(OR(1572223.23546="",195.09679="",164.12449=""),"-",(195.09679-164.12449)/1572223.23546*100)</f>
        <v>1.9699683417373063E-3</v>
      </c>
    </row>
    <row r="96" spans="1:7" x14ac:dyDescent="0.2">
      <c r="A96" s="30" t="s">
        <v>311</v>
      </c>
      <c r="B96" s="26">
        <f>IF(178.69909="","-",178.69909)</f>
        <v>178.69909000000001</v>
      </c>
      <c r="C96" s="26" t="s">
        <v>344</v>
      </c>
      <c r="D96" s="26">
        <f>IF(9.98064="","-",9.98064/1572223.23546*100)</f>
        <v>6.3481061562354214E-4</v>
      </c>
      <c r="E96" s="26">
        <f>IF(178.69909="","-",178.69909/2629714.41023*100)</f>
        <v>6.7953801106626866E-3</v>
      </c>
      <c r="F96" s="26">
        <f>IF(OR(1361306.86729="",7.78215="",9.98064=""),"-",(9.98064-7.78215)/1361306.86729*100)</f>
        <v>1.6149848743337414E-4</v>
      </c>
      <c r="G96" s="26">
        <f>IF(OR(1572223.23546="",178.69909="",9.98064=""),"-",(178.69909-9.98064)/1572223.23546*100)</f>
        <v>1.0731201918068364E-2</v>
      </c>
    </row>
    <row r="97" spans="1:7" x14ac:dyDescent="0.2">
      <c r="A97" s="30" t="s">
        <v>291</v>
      </c>
      <c r="B97" s="26">
        <f>IF(176.90536="","-",176.90536)</f>
        <v>176.90536</v>
      </c>
      <c r="C97" s="26">
        <f>IF(OR(211.45377="",176.90536=""),"-",176.90536/211.45377*100)</f>
        <v>83.661483075000277</v>
      </c>
      <c r="D97" s="26">
        <f>IF(211.45377="","-",211.45377/1572223.23546*100)</f>
        <v>1.3449347728163613E-2</v>
      </c>
      <c r="E97" s="26">
        <f>IF(176.90536="","-",176.90536/2629714.41023*100)</f>
        <v>6.727170042184448E-3</v>
      </c>
      <c r="F97" s="26">
        <f>IF(OR(1361306.86729="",50.18097="",211.45377=""),"-",(211.45377-50.18097)/1361306.86729*100)</f>
        <v>1.1846910044687518E-2</v>
      </c>
      <c r="G97" s="26">
        <f>IF(OR(1572223.23546="",176.90536="",211.45377=""),"-",(176.90536-211.45377)/1572223.23546*100)</f>
        <v>-2.1974239548680783E-3</v>
      </c>
    </row>
    <row r="98" spans="1:7" x14ac:dyDescent="0.2">
      <c r="A98" s="25" t="s">
        <v>59</v>
      </c>
      <c r="B98" s="26">
        <f>IF(144.99583="","-",144.99583)</f>
        <v>144.99583000000001</v>
      </c>
      <c r="C98" s="26">
        <f>IF(OR(824.19585="",144.99583=""),"-",144.99583/824.19585*100)</f>
        <v>17.592399913200246</v>
      </c>
      <c r="D98" s="26">
        <f>IF(824.19585="","-",824.19585/1572223.23546*100)</f>
        <v>5.2422317099190902E-2</v>
      </c>
      <c r="E98" s="26">
        <f>IF(144.99583="","-",144.99583/2629714.41023*100)</f>
        <v>5.5137481635246614E-3</v>
      </c>
      <c r="F98" s="26">
        <f>IF(OR(1361306.86729="",2415.68821="",824.19585=""),"-",(824.19585-2415.68821)/1361306.86729*100)</f>
        <v>-0.1169091553301452</v>
      </c>
      <c r="G98" s="26">
        <f>IF(OR(1572223.23546="",144.99583="",824.19585=""),"-",(144.99583-824.19585)/1572223.23546*100)</f>
        <v>-4.3199973431335283E-2</v>
      </c>
    </row>
    <row r="99" spans="1:7" x14ac:dyDescent="0.2">
      <c r="A99" s="25" t="s">
        <v>126</v>
      </c>
      <c r="B99" s="26">
        <f>IF(138.65446="","-",138.65446)</f>
        <v>138.65446</v>
      </c>
      <c r="C99" s="26">
        <f>IF(OR(114.4689="",138.65446=""),"-",138.65446/114.4689*100)</f>
        <v>121.128498657714</v>
      </c>
      <c r="D99" s="26">
        <f>IF(114.4689="","-",114.4689/1572223.23546*100)</f>
        <v>7.2807027283570691E-3</v>
      </c>
      <c r="E99" s="26">
        <f>IF(138.65446="","-",138.65446/2629714.41023*100)</f>
        <v>5.2726052479543971E-3</v>
      </c>
      <c r="F99" s="26">
        <f>IF(OR(1361306.86729="",1.07711="",114.4689=""),"-",(114.4689-1.07711)/1361306.86729*100)</f>
        <v>8.3296274135260112E-3</v>
      </c>
      <c r="G99" s="26">
        <f>IF(OR(1572223.23546="",138.65446="",114.4689=""),"-",(138.65446-114.4689)/1572223.23546*100)</f>
        <v>1.5383031782330706E-3</v>
      </c>
    </row>
    <row r="100" spans="1:7" x14ac:dyDescent="0.2">
      <c r="A100" s="25" t="s">
        <v>310</v>
      </c>
      <c r="B100" s="26">
        <f>IF(117.96092="","-",117.96092)</f>
        <v>117.96092</v>
      </c>
      <c r="C100" s="26" t="s">
        <v>320</v>
      </c>
      <c r="D100" s="26">
        <f>IF(1.47513="","-",1.47513/1572223.23546*100)</f>
        <v>9.3824462501879217E-5</v>
      </c>
      <c r="E100" s="26">
        <f>IF(117.96092="","-",117.96092/2629714.41023*100)</f>
        <v>4.4856931817810171E-3</v>
      </c>
      <c r="F100" s="26">
        <f>IF(OR(1361306.86729="",44.72959="",1.47513=""),"-",(1.47513-44.72959)/1361306.86729*100)</f>
        <v>-3.1774217143345591E-3</v>
      </c>
      <c r="G100" s="26">
        <f>IF(OR(1572223.23546="",117.96092="",1.47513=""),"-",(117.96092-1.47513)/1572223.23546*100)</f>
        <v>7.4089854018674819E-3</v>
      </c>
    </row>
    <row r="101" spans="1:7" x14ac:dyDescent="0.2">
      <c r="A101" s="25" t="s">
        <v>94</v>
      </c>
      <c r="B101" s="26">
        <f>IF(117.22409="","-",117.22409)</f>
        <v>117.22409</v>
      </c>
      <c r="C101" s="26">
        <f>IF(OR(102.5224="",117.22409=""),"-",117.22409/102.5224*100)</f>
        <v>114.33997838521141</v>
      </c>
      <c r="D101" s="26">
        <f>IF(102.5224="","-",102.5224/1572223.23546*100)</f>
        <v>6.520855161512993E-3</v>
      </c>
      <c r="E101" s="26">
        <f>IF(117.22409="","-",117.22409/2629714.41023*100)</f>
        <v>4.4576737893658709E-3</v>
      </c>
      <c r="F101" s="26">
        <f>IF(OR(1361306.86729="",74.83124="",102.5224=""),"-",(102.5224-74.83124)/1361306.86729*100)</f>
        <v>2.0341600167731282E-3</v>
      </c>
      <c r="G101" s="26">
        <f>IF(OR(1572223.23546="",117.22409="",102.5224=""),"-",(117.22409-102.5224)/1572223.23546*100)</f>
        <v>9.3508922069190687E-4</v>
      </c>
    </row>
    <row r="102" spans="1:7" x14ac:dyDescent="0.2">
      <c r="A102" s="30" t="s">
        <v>304</v>
      </c>
      <c r="B102" s="26">
        <f>IF(105.38431="","-",105.38431)</f>
        <v>105.38431</v>
      </c>
      <c r="C102" s="26" t="s">
        <v>313</v>
      </c>
      <c r="D102" s="26">
        <f>IF(24.63456="","-",24.63456/1572223.23546*100)</f>
        <v>1.5668614637152616E-3</v>
      </c>
      <c r="E102" s="26">
        <f>IF(105.38431="","-",105.38431/2629714.41023*100)</f>
        <v>4.0074431501017204E-3</v>
      </c>
      <c r="F102" s="26" t="str">
        <f>IF(OR(1361306.86729="",""="",24.63456=""),"-",(24.63456-"")/1361306.86729*100)</f>
        <v>-</v>
      </c>
      <c r="G102" s="26">
        <f>IF(OR(1572223.23546="",105.38431="",24.63456=""),"-",(105.38431-24.63456)/1572223.23546*100)</f>
        <v>5.1360231917940268E-3</v>
      </c>
    </row>
    <row r="103" spans="1:7" x14ac:dyDescent="0.2">
      <c r="A103" s="30" t="s">
        <v>97</v>
      </c>
      <c r="B103" s="26">
        <f>IF(97.9432="","-",97.9432)</f>
        <v>97.943200000000004</v>
      </c>
      <c r="C103" s="26">
        <f>IF(OR(275.38569="",97.9432=""),"-",97.9432/275.38569*100)</f>
        <v>35.565827694242209</v>
      </c>
      <c r="D103" s="26">
        <f>IF(275.38569="","-",275.38569/1572223.23546*100)</f>
        <v>1.751568630897557E-2</v>
      </c>
      <c r="E103" s="26">
        <f>IF(97.9432="","-",97.9432/2629714.41023*100)</f>
        <v>3.7244804842299852E-3</v>
      </c>
      <c r="F103" s="26">
        <f>IF(OR(1361306.86729="",125.53353="",275.38569=""),"-",(275.38569-125.53353)/1361306.86729*100)</f>
        <v>1.1007963274167259E-2</v>
      </c>
      <c r="G103" s="26">
        <f>IF(OR(1572223.23546="",97.9432="",275.38569=""),"-",(97.9432-275.38569)/1572223.23546*100)</f>
        <v>-1.1286087496861347E-2</v>
      </c>
    </row>
    <row r="104" spans="1:7" x14ac:dyDescent="0.2">
      <c r="A104" s="25" t="s">
        <v>336</v>
      </c>
      <c r="B104" s="26">
        <f>IF(84.91065="","-",84.91065)</f>
        <v>84.910650000000004</v>
      </c>
      <c r="C104" s="26" t="str">
        <f>IF(OR(""="",84.91065=""),"-",84.91065/""*100)</f>
        <v>-</v>
      </c>
      <c r="D104" s="26" t="str">
        <f>IF(""="","-",""/1572223.23546*100)</f>
        <v>-</v>
      </c>
      <c r="E104" s="26">
        <f>IF(84.91065="","-",84.91065/2629714.41023*100)</f>
        <v>3.2288924481565112E-3</v>
      </c>
      <c r="F104" s="26" t="str">
        <f>IF(OR(1361306.86729="",""="",""=""),"-",(""-"")/1361306.86729*100)</f>
        <v>-</v>
      </c>
      <c r="G104" s="26" t="str">
        <f>IF(OR(1572223.23546="",84.91065="",""=""),"-",(84.91065-"")/1572223.23546*100)</f>
        <v>-</v>
      </c>
    </row>
    <row r="105" spans="1:7" x14ac:dyDescent="0.2">
      <c r="A105" s="30" t="s">
        <v>93</v>
      </c>
      <c r="B105" s="26">
        <f>IF(74.70979="","-",74.70979)</f>
        <v>74.709789999999998</v>
      </c>
      <c r="C105" s="26" t="s">
        <v>342</v>
      </c>
      <c r="D105" s="26">
        <f>IF(28.60973="","-",28.60973/1572223.23546*100)</f>
        <v>1.8196989686155721E-3</v>
      </c>
      <c r="E105" s="26">
        <f>IF(74.70979="","-",74.70979/2629714.41023*100)</f>
        <v>2.8409849263238336E-3</v>
      </c>
      <c r="F105" s="26" t="str">
        <f>IF(OR(1361306.86729="",""="",28.60973=""),"-",(28.60973-"")/1361306.86729*100)</f>
        <v>-</v>
      </c>
      <c r="G105" s="26">
        <f>IF(OR(1572223.23546="",74.70979="",28.60973=""),"-",(74.70979-28.60973)/1572223.23546*100)</f>
        <v>2.9321574036216347E-3</v>
      </c>
    </row>
    <row r="106" spans="1:7" x14ac:dyDescent="0.2">
      <c r="A106" s="25" t="s">
        <v>319</v>
      </c>
      <c r="B106" s="26">
        <f>IF(72.69="","-",72.69)</f>
        <v>72.69</v>
      </c>
      <c r="C106" s="26" t="s">
        <v>195</v>
      </c>
      <c r="D106" s="26">
        <f>IF(39.46925="","-",39.46925/1572223.23546*100)</f>
        <v>2.5104100429130293E-3</v>
      </c>
      <c r="E106" s="26">
        <f>IF(72.69="","-",72.69/2629714.41023*100)</f>
        <v>2.7641784871096473E-3</v>
      </c>
      <c r="F106" s="26" t="str">
        <f>IF(OR(1361306.86729="",""="",39.46925=""),"-",(39.46925-"")/1361306.86729*100)</f>
        <v>-</v>
      </c>
      <c r="G106" s="26">
        <f>IF(OR(1572223.23546="",72.69="",39.46925=""),"-",(72.69-39.46925)/1572223.23546*100)</f>
        <v>2.1129792036358175E-3</v>
      </c>
    </row>
    <row r="107" spans="1:7" x14ac:dyDescent="0.2">
      <c r="A107" s="30" t="s">
        <v>71</v>
      </c>
      <c r="B107" s="26">
        <f>IF(55.92973="","-",55.92973)</f>
        <v>55.929729999999999</v>
      </c>
      <c r="C107" s="26">
        <f>IF(OR(50.55919="",55.92973=""),"-",55.92973/50.55919*100)</f>
        <v>110.62228251678874</v>
      </c>
      <c r="D107" s="26">
        <f>IF(50.55919="","-",50.55919/1572223.23546*100)</f>
        <v>3.2157767968113912E-3</v>
      </c>
      <c r="E107" s="26">
        <f>IF(55.92973="","-",55.92973/2629714.41023*100)</f>
        <v>2.1268366550536667E-3</v>
      </c>
      <c r="F107" s="26">
        <f>IF(OR(1361306.86729="",170.12161="",50.55919=""),"-",(50.55919-170.12161)/1361306.86729*100)</f>
        <v>-8.78291462952927E-3</v>
      </c>
      <c r="G107" s="26">
        <f>IF(OR(1572223.23546="",55.92973="",50.55919=""),"-",(55.92973-50.55919)/1572223.23546*100)</f>
        <v>3.4158889646664515E-4</v>
      </c>
    </row>
    <row r="108" spans="1:7" x14ac:dyDescent="0.2">
      <c r="A108" s="30" t="s">
        <v>328</v>
      </c>
      <c r="B108" s="26">
        <f>IF(50.63863="","-",50.63863)</f>
        <v>50.638629999999999</v>
      </c>
      <c r="C108" s="26">
        <f>IF(OR(150.50017="",50.63863=""),"-",50.63863/150.50017*100)</f>
        <v>33.646892226101805</v>
      </c>
      <c r="D108" s="26">
        <f>IF(150.50017="","-",150.50017/1572223.23546*100)</f>
        <v>9.5724428061875547E-3</v>
      </c>
      <c r="E108" s="26">
        <f>IF(50.63863="","-",50.63863/2629714.41023*100)</f>
        <v>1.9256322969143651E-3</v>
      </c>
      <c r="F108" s="26">
        <f>IF(OR(1361306.86729="",190.79586="",150.50017=""),"-",(150.50017-190.79586)/1361306.86729*100)</f>
        <v>-2.9600739530696715E-3</v>
      </c>
      <c r="G108" s="26">
        <f>IF(OR(1572223.23546="",50.63863="",150.50017=""),"-",(50.63863-150.50017)/1572223.23546*100)</f>
        <v>-6.3516132917843917E-3</v>
      </c>
    </row>
    <row r="109" spans="1:7" x14ac:dyDescent="0.2">
      <c r="A109" s="32" t="s">
        <v>201</v>
      </c>
      <c r="B109" s="33">
        <f>IF(48.74235="","-",48.74235)</f>
        <v>48.742350000000002</v>
      </c>
      <c r="C109" s="33">
        <f>IF(OR(2085.50385="",48.74235=""),"-",48.74235/2085.50385*100)</f>
        <v>2.3371977951515173</v>
      </c>
      <c r="D109" s="33">
        <f>IF(2085.50385="","-",2085.50385/1572223.23546*100)</f>
        <v>0.13264680250001676</v>
      </c>
      <c r="E109" s="33">
        <f>IF(48.74235="","-",48.74235/2629714.41023*100)</f>
        <v>1.853522565430856E-3</v>
      </c>
      <c r="F109" s="33">
        <f>IF(OR(1361306.86729="",15.83932="",2085.50385=""),"-",(2085.50385-15.83932)/1361306.86729*100)</f>
        <v>0.15203512005490369</v>
      </c>
      <c r="G109" s="33">
        <f>IF(OR(1572223.23546="",48.74235="",2085.50385=""),"-",(48.74235-2085.50385)/1572223.23546*100)</f>
        <v>-0.1295465843566474</v>
      </c>
    </row>
    <row r="110" spans="1:7" x14ac:dyDescent="0.2">
      <c r="A110" s="34" t="s">
        <v>279</v>
      </c>
      <c r="B110" s="35"/>
      <c r="C110" s="35"/>
      <c r="D110" s="35"/>
      <c r="E110" s="35"/>
    </row>
    <row r="111" spans="1:7" ht="13.5" x14ac:dyDescent="0.2">
      <c r="A111" s="36" t="s">
        <v>405</v>
      </c>
      <c r="B111" s="36"/>
      <c r="C111" s="36"/>
      <c r="D111" s="36"/>
      <c r="E111" s="36"/>
    </row>
  </sheetData>
  <mergeCells count="10">
    <mergeCell ref="A111:E111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22"/>
  <sheetViews>
    <sheetView zoomScaleNormal="100" workbookViewId="0">
      <selection sqref="A1:G1"/>
    </sheetView>
  </sheetViews>
  <sheetFormatPr defaultRowHeight="12" x14ac:dyDescent="0.2"/>
  <cols>
    <col min="1" max="1" width="30.5" style="3" customWidth="1"/>
    <col min="2" max="2" width="11.75" style="3" customWidth="1"/>
    <col min="3" max="3" width="10.25" style="3" customWidth="1"/>
    <col min="4" max="5" width="8.875" style="3" customWidth="1"/>
    <col min="6" max="6" width="9.625" style="3" customWidth="1"/>
    <col min="7" max="7" width="10.125" style="3" customWidth="1"/>
    <col min="8" max="16384" width="9" style="3"/>
  </cols>
  <sheetData>
    <row r="1" spans="1:7" x14ac:dyDescent="0.2">
      <c r="A1" s="37" t="s">
        <v>414</v>
      </c>
      <c r="B1" s="37"/>
      <c r="C1" s="37"/>
      <c r="D1" s="37"/>
      <c r="E1" s="37"/>
      <c r="F1" s="37"/>
      <c r="G1" s="37"/>
    </row>
    <row r="2" spans="1:7" x14ac:dyDescent="0.2">
      <c r="A2" s="110"/>
    </row>
    <row r="3" spans="1:7" ht="55.5" customHeight="1" x14ac:dyDescent="0.2">
      <c r="A3" s="4"/>
      <c r="B3" s="5" t="s">
        <v>366</v>
      </c>
      <c r="C3" s="6"/>
      <c r="D3" s="5" t="s">
        <v>104</v>
      </c>
      <c r="E3" s="6"/>
      <c r="F3" s="7" t="s">
        <v>114</v>
      </c>
      <c r="G3" s="8"/>
    </row>
    <row r="4" spans="1:7" ht="21" customHeight="1" x14ac:dyDescent="0.2">
      <c r="A4" s="9"/>
      <c r="B4" s="10" t="s">
        <v>95</v>
      </c>
      <c r="C4" s="11" t="s">
        <v>367</v>
      </c>
      <c r="D4" s="12" t="s">
        <v>368</v>
      </c>
      <c r="E4" s="12"/>
      <c r="F4" s="12" t="s">
        <v>415</v>
      </c>
      <c r="G4" s="5"/>
    </row>
    <row r="5" spans="1:7" ht="30" customHeight="1" x14ac:dyDescent="0.2">
      <c r="A5" s="13"/>
      <c r="B5" s="14"/>
      <c r="C5" s="15"/>
      <c r="D5" s="16" t="s">
        <v>300</v>
      </c>
      <c r="E5" s="16" t="s">
        <v>301</v>
      </c>
      <c r="F5" s="16" t="s">
        <v>300</v>
      </c>
      <c r="G5" s="17" t="s">
        <v>301</v>
      </c>
    </row>
    <row r="6" spans="1:7" x14ac:dyDescent="0.2">
      <c r="A6" s="19" t="s">
        <v>117</v>
      </c>
      <c r="B6" s="21">
        <v>5111753.2354199998</v>
      </c>
      <c r="C6" s="111">
        <f>IF(3828107.2484="","-",5111753.23542/3828107.2484*100)</f>
        <v>133.53213229740399</v>
      </c>
      <c r="D6" s="111">
        <v>100</v>
      </c>
      <c r="E6" s="111">
        <v>100</v>
      </c>
      <c r="F6" s="111">
        <f>IF(2890255.78537="","-",(3828107.2484-2890255.78537)/2890255.78537*100)</f>
        <v>32.448735775471839</v>
      </c>
      <c r="G6" s="111">
        <f>IF(3828107.2484="","-",(5111753.23542-3828107.2484)/3828107.2484*100)</f>
        <v>33.532132297403997</v>
      </c>
    </row>
    <row r="7" spans="1:7" x14ac:dyDescent="0.2">
      <c r="A7" s="94" t="s">
        <v>120</v>
      </c>
      <c r="B7" s="23"/>
      <c r="C7" s="23"/>
      <c r="D7" s="23"/>
      <c r="E7" s="23"/>
      <c r="F7" s="23"/>
      <c r="G7" s="23"/>
    </row>
    <row r="8" spans="1:7" ht="16.5" customHeight="1" x14ac:dyDescent="0.2">
      <c r="A8" s="24" t="s">
        <v>129</v>
      </c>
      <c r="B8" s="20">
        <v>2362913.5957900002</v>
      </c>
      <c r="C8" s="112">
        <f>IF(1807649.41432="","-",2362913.59579/1807649.41432*100)</f>
        <v>130.71747082544093</v>
      </c>
      <c r="D8" s="112">
        <f>IF(1807649.41432="","-",1807649.41432/3828107.2484*100)</f>
        <v>47.220448566991621</v>
      </c>
      <c r="E8" s="112">
        <f>IF(2362913.59579="","-",2362913.59579/5111753.23542*100)</f>
        <v>46.225110778373768</v>
      </c>
      <c r="F8" s="112">
        <f>IF(2890255.78537="","-",(1807649.41432-1326687.63447)/2890255.78537*100)</f>
        <v>16.640803290994157</v>
      </c>
      <c r="G8" s="112">
        <f>IF(3828107.2484="","-",(2362913.59579-1807649.41432)/3828107.2484*100)</f>
        <v>14.504927512207999</v>
      </c>
    </row>
    <row r="9" spans="1:7" x14ac:dyDescent="0.2">
      <c r="A9" s="25" t="s">
        <v>2</v>
      </c>
      <c r="B9" s="26">
        <v>849942.05596000003</v>
      </c>
      <c r="C9" s="113" t="s">
        <v>195</v>
      </c>
      <c r="D9" s="113">
        <f>IF(482162.54002="","-",482162.54002/3828107.2484*100)</f>
        <v>12.595324757986475</v>
      </c>
      <c r="E9" s="113">
        <f>IF(849942.05596="","-",849942.05596/5111753.23542*100)</f>
        <v>16.627212168041318</v>
      </c>
      <c r="F9" s="113">
        <f>IF(OR(2890255.78537="",349184.61449="",482162.54002=""),"-",(482162.54002-349184.61449)/2890255.78537*100)</f>
        <v>4.6009050895464831</v>
      </c>
      <c r="G9" s="113">
        <f>IF(OR(3828107.2484="",849942.05596="",482162.54002=""),"-",(849942.05596-482162.54002)/3828107.2484*100)</f>
        <v>9.607346191612514</v>
      </c>
    </row>
    <row r="10" spans="1:7" s="29" customFormat="1" x14ac:dyDescent="0.2">
      <c r="A10" s="25" t="s">
        <v>4</v>
      </c>
      <c r="B10" s="99">
        <v>334145.65980999998</v>
      </c>
      <c r="C10" s="113">
        <f>IF(OR(317476.95548="",334145.65981=""),"-",334145.65981/317476.95548*100)</f>
        <v>105.25036669348118</v>
      </c>
      <c r="D10" s="113">
        <f>IF(317476.95548="","-",317476.95548/3828107.2484*100)</f>
        <v>8.293314029085602</v>
      </c>
      <c r="E10" s="113">
        <f>IF(334145.65981="","-",334145.65981/5111753.23542*100)</f>
        <v>6.5368112352267209</v>
      </c>
      <c r="F10" s="113">
        <f>IF(OR(2890255.78537="",236744.17852="",317476.95548=""),"-",(317476.95548-236744.17852)/2890255.78537*100)</f>
        <v>2.793274469638849</v>
      </c>
      <c r="G10" s="113">
        <f>IF(OR(3828107.2484="",334145.65981="",317476.95548=""),"-",(334145.65981-317476.95548)/3828107.2484*100)</f>
        <v>0.43542939756891208</v>
      </c>
    </row>
    <row r="11" spans="1:7" s="29" customFormat="1" x14ac:dyDescent="0.2">
      <c r="A11" s="25" t="s">
        <v>3</v>
      </c>
      <c r="B11" s="26">
        <v>263994.22148000001</v>
      </c>
      <c r="C11" s="113">
        <f>IF(OR(259861.46776="",263994.22148=""),"-",263994.22148/259861.46776*100)</f>
        <v>101.59036803556305</v>
      </c>
      <c r="D11" s="113">
        <f>IF(259861.46776="","-",259861.46776/3828107.2484*100)</f>
        <v>6.7882494114712175</v>
      </c>
      <c r="E11" s="113">
        <f>IF(263994.22148="","-",263994.22148/5111753.23542*100)</f>
        <v>5.1644555071780438</v>
      </c>
      <c r="F11" s="113">
        <f>IF(OR(2890255.78537="",192773.59066="",259861.46776=""),"-",(259861.46776-192773.59066)/2890255.78537*100)</f>
        <v>2.3211743901556332</v>
      </c>
      <c r="G11" s="113">
        <f>IF(OR(3828107.2484="",263994.22148="",259861.46776=""),"-",(263994.22148-259861.46776)/3828107.2484*100)</f>
        <v>0.10795814881433476</v>
      </c>
    </row>
    <row r="12" spans="1:7" s="29" customFormat="1" x14ac:dyDescent="0.2">
      <c r="A12" s="25" t="s">
        <v>5</v>
      </c>
      <c r="B12" s="26">
        <v>171738.4621</v>
      </c>
      <c r="C12" s="113">
        <f>IF(OR(146648.40981="",171738.4621=""),"-",171738.4621/146648.40981*100)</f>
        <v>117.1089835358645</v>
      </c>
      <c r="D12" s="113">
        <f>IF(146648.40981="","-",146648.40981/3828107.2484*100)</f>
        <v>3.8308333673591135</v>
      </c>
      <c r="E12" s="113">
        <f>IF(171738.4621="","-",171738.4621/5111753.23542*100)</f>
        <v>3.3596782589191116</v>
      </c>
      <c r="F12" s="113">
        <f>IF(OR(2890255.78537="",111749.17298="",146648.40981=""),"-",(146648.40981-111749.17298)/2890255.78537*100)</f>
        <v>1.2074791790627739</v>
      </c>
      <c r="G12" s="113">
        <f>IF(OR(3828107.2484="",171738.4621="",146648.40981=""),"-",(171738.4621-146648.40981)/3828107.2484*100)</f>
        <v>0.65541665010787398</v>
      </c>
    </row>
    <row r="13" spans="1:7" s="29" customFormat="1" x14ac:dyDescent="0.2">
      <c r="A13" s="25" t="s">
        <v>292</v>
      </c>
      <c r="B13" s="26">
        <v>113987.06712000001</v>
      </c>
      <c r="C13" s="113">
        <f>IF(OR(98748.24532="",113987.06712=""),"-",113987.06712/98748.24532*100)</f>
        <v>115.43199248818814</v>
      </c>
      <c r="D13" s="113">
        <f>IF(98748.24532="","-",98748.24532/3828107.2484*100)</f>
        <v>2.5795579619999658</v>
      </c>
      <c r="E13" s="113">
        <f>IF(113987.06712="","-",113987.06712/5111753.23542*100)</f>
        <v>2.2299015987346351</v>
      </c>
      <c r="F13" s="113">
        <f>IF(OR(2890255.78537="",73797.82478="",98748.24532=""),"-",(98748.24532-73797.82478)/2890255.78537*100)</f>
        <v>0.86325994627516822</v>
      </c>
      <c r="G13" s="113">
        <f>IF(OR(3828107.2484="",113987.06712="",98748.24532=""),"-",(113987.06712-98748.24532)/3828107.2484*100)</f>
        <v>0.398077190924294</v>
      </c>
    </row>
    <row r="14" spans="1:7" s="29" customFormat="1" x14ac:dyDescent="0.2">
      <c r="A14" s="30" t="s">
        <v>40</v>
      </c>
      <c r="B14" s="99">
        <v>106156.81911</v>
      </c>
      <c r="C14" s="113">
        <f>IF(OR(72900.42126="",106156.81911=""),"-",106156.81911/72900.42126*100)</f>
        <v>145.61893782669753</v>
      </c>
      <c r="D14" s="113">
        <f>IF(72900.42126="","-",72900.42126/3828107.2484*100)</f>
        <v>1.9043463656999042</v>
      </c>
      <c r="E14" s="113">
        <f>IF(106156.81911="","-",106156.81911/5111753.23542*100)</f>
        <v>2.0767203388149817</v>
      </c>
      <c r="F14" s="113">
        <f>IF(OR(2890255.78537="",56887.05437="",72900.42126=""),"-",(72900.42126-56887.05437)/2890255.78537*100)</f>
        <v>0.55404670310001747</v>
      </c>
      <c r="G14" s="113">
        <f>IF(OR(3828107.2484="",106156.81911="",72900.42126=""),"-",(106156.81911-72900.42126)/3828107.2484*100)</f>
        <v>0.86874258457361342</v>
      </c>
    </row>
    <row r="15" spans="1:7" s="29" customFormat="1" x14ac:dyDescent="0.2">
      <c r="A15" s="25" t="s">
        <v>302</v>
      </c>
      <c r="B15" s="26">
        <v>76546.245469999994</v>
      </c>
      <c r="C15" s="113">
        <f>IF(OR(67335.55503="",76546.24547=""),"-",76546.24547/67335.55503*100)</f>
        <v>113.6787918892127</v>
      </c>
      <c r="D15" s="113">
        <f>IF(67335.55503="","-",67335.55503/3828107.2484*100)</f>
        <v>1.758977757432048</v>
      </c>
      <c r="E15" s="113">
        <f>IF(76546.24547="","-",76546.24547/5111753.23542*100)</f>
        <v>1.4974558032183782</v>
      </c>
      <c r="F15" s="113">
        <f>IF(OR(2890255.78537="",47012.80862="",67335.55503=""),"-",(67335.55503-47012.80862)/2890255.78537*100)</f>
        <v>0.7031469848748475</v>
      </c>
      <c r="G15" s="113">
        <f>IF(OR(3828107.2484="",76546.24547="",67335.55503=""),"-",(76546.24547-67335.55503)/3828107.2484*100)</f>
        <v>0.24060690681667035</v>
      </c>
    </row>
    <row r="16" spans="1:7" s="29" customFormat="1" x14ac:dyDescent="0.2">
      <c r="A16" s="25" t="s">
        <v>6</v>
      </c>
      <c r="B16" s="26">
        <v>75448.36709</v>
      </c>
      <c r="C16" s="113" t="s">
        <v>100</v>
      </c>
      <c r="D16" s="113">
        <f>IF(45885.3969="","-",45885.3969/3828107.2484*100)</f>
        <v>1.1986444977260842</v>
      </c>
      <c r="E16" s="113">
        <f>IF(75448.36709="","-",75448.36709/5111753.23542*100)</f>
        <v>1.4759782723314674</v>
      </c>
      <c r="F16" s="113">
        <f>IF(OR(2890255.78537="",30961.7867="",45885.3969=""),"-",(45885.3969-30961.7867)/2890255.78537*100)</f>
        <v>0.51634219626999311</v>
      </c>
      <c r="G16" s="113">
        <f>IF(OR(3828107.2484="",75448.36709="",45885.3969=""),"-",(75448.36709-45885.3969)/3828107.2484*100)</f>
        <v>0.77226076156450874</v>
      </c>
    </row>
    <row r="17" spans="1:7" s="29" customFormat="1" x14ac:dyDescent="0.2">
      <c r="A17" s="25" t="s">
        <v>38</v>
      </c>
      <c r="B17" s="99">
        <v>62068.562790000004</v>
      </c>
      <c r="C17" s="113">
        <f>IF(OR(53368.39781="",62068.56279=""),"-",62068.56279/53368.39781*100)</f>
        <v>116.30209138182109</v>
      </c>
      <c r="D17" s="113">
        <f>IF(53368.39781="","-",53368.39781/3828107.2484*100)</f>
        <v>1.3941197136602146</v>
      </c>
      <c r="E17" s="113">
        <f>IF(62068.56279="","-",62068.56279/5111753.23542*100)</f>
        <v>1.2142323764754313</v>
      </c>
      <c r="F17" s="113">
        <f>IF(OR(2890255.78537="",42967.71688="",53368.39781=""),"-",(53368.39781-42967.71688)/2890255.78537*100)</f>
        <v>0.3598533037334114</v>
      </c>
      <c r="G17" s="113">
        <f>IF(OR(3828107.2484="",62068.56279="",53368.39781=""),"-",(62068.56279-53368.39781)/3828107.2484*100)</f>
        <v>0.2272706696928706</v>
      </c>
    </row>
    <row r="18" spans="1:7" s="29" customFormat="1" x14ac:dyDescent="0.2">
      <c r="A18" s="25" t="s">
        <v>327</v>
      </c>
      <c r="B18" s="26">
        <v>51277.801039999998</v>
      </c>
      <c r="C18" s="113">
        <f>IF(OR(40395.62798="",51277.80104=""),"-",51277.80104/40395.62798*100)</f>
        <v>126.93898722254744</v>
      </c>
      <c r="D18" s="113">
        <f>IF(40395.62798="","-",40395.62798/3828107.2484*100)</f>
        <v>1.0552376242040711</v>
      </c>
      <c r="E18" s="113">
        <f>IF(51277.80104="","-",51277.80104/5111753.23542*100)</f>
        <v>1.0031352977817762</v>
      </c>
      <c r="F18" s="113">
        <f>IF(OR(2890255.78537="",30707.53244="",40395.62798=""),"-",(40395.62798-30707.53244)/2890255.78537*100)</f>
        <v>0.33519855194268777</v>
      </c>
      <c r="G18" s="113">
        <f>IF(OR(3828107.2484="",51277.80104="",40395.62798=""),"-",(51277.80104-40395.62798)/3828107.2484*100)</f>
        <v>0.28427032875184799</v>
      </c>
    </row>
    <row r="19" spans="1:7" s="29" customFormat="1" x14ac:dyDescent="0.2">
      <c r="A19" s="25" t="s">
        <v>7</v>
      </c>
      <c r="B19" s="99">
        <v>47867.316729999999</v>
      </c>
      <c r="C19" s="113">
        <f>IF(OR(59050.65555="",47867.31673=""),"-",47867.31673/59050.65555*100)</f>
        <v>81.061448487170935</v>
      </c>
      <c r="D19" s="113">
        <f>IF(59050.65555="","-",59050.65555/3828107.2484*100)</f>
        <v>1.5425548898788266</v>
      </c>
      <c r="E19" s="113">
        <f>IF(47867.31673="","-",47867.31673/5111753.23542*100)</f>
        <v>0.93641681289153722</v>
      </c>
      <c r="F19" s="113">
        <f>IF(OR(2890255.78537="",32360.90094="",59050.65555=""),"-",(59050.65555-32360.90094)/2890255.78537*100)</f>
        <v>0.92343918988413254</v>
      </c>
      <c r="G19" s="113">
        <f>IF(OR(3828107.2484="",47867.31673="",59050.65555=""),"-",(47867.31673-59050.65555)/3828107.2484*100)</f>
        <v>-0.29213755243336526</v>
      </c>
    </row>
    <row r="20" spans="1:7" s="29" customFormat="1" ht="15.75" customHeight="1" x14ac:dyDescent="0.2">
      <c r="A20" s="25" t="s">
        <v>8</v>
      </c>
      <c r="B20" s="99">
        <v>36156.919829999999</v>
      </c>
      <c r="C20" s="113" t="s">
        <v>91</v>
      </c>
      <c r="D20" s="113">
        <f>IF(17255.95393="","-",17255.95393/3828107.2484*100)</f>
        <v>0.45076986641929423</v>
      </c>
      <c r="E20" s="113">
        <f>IF(36156.91983="","-",36156.91983/5111753.23542*100)</f>
        <v>0.70732913278098053</v>
      </c>
      <c r="F20" s="113">
        <f>IF(OR(2890255.78537="",14417.79288="",17255.95393=""),"-",(17255.95393-14417.79288)/2890255.78537*100)</f>
        <v>9.8197573528485058E-2</v>
      </c>
      <c r="G20" s="113">
        <f>IF(OR(3828107.2484="",36156.91983="",17255.95393=""),"-",(36156.91983-17255.95393)/3828107.2484*100)</f>
        <v>0.49374180694388514</v>
      </c>
    </row>
    <row r="21" spans="1:7" s="29" customFormat="1" x14ac:dyDescent="0.2">
      <c r="A21" s="25" t="s">
        <v>39</v>
      </c>
      <c r="B21" s="26">
        <v>30908.082839999999</v>
      </c>
      <c r="C21" s="113">
        <f>IF(OR(26844.74228="",30908.08284=""),"-",30908.08284/26844.74228*100)</f>
        <v>115.13644838761327</v>
      </c>
      <c r="D21" s="113">
        <f>IF(26844.74228="","-",26844.74228/3828107.2484*100)</f>
        <v>0.70125366239987297</v>
      </c>
      <c r="E21" s="113">
        <f>IF(30908.08284="","-",30908.08284/5111753.23542*100)</f>
        <v>0.60464739623645936</v>
      </c>
      <c r="F21" s="113">
        <f>IF(OR(2890255.78537="",22009.61476="",26844.74228=""),"-",(26844.74228-22009.61476)/2890255.78537*100)</f>
        <v>0.16729064411788808</v>
      </c>
      <c r="G21" s="113">
        <f>IF(OR(3828107.2484="",30908.08284="",26844.74228=""),"-",(30908.08284-26844.74228)/3828107.2484*100)</f>
        <v>0.10614489867540464</v>
      </c>
    </row>
    <row r="22" spans="1:7" s="29" customFormat="1" x14ac:dyDescent="0.2">
      <c r="A22" s="25" t="s">
        <v>42</v>
      </c>
      <c r="B22" s="26">
        <v>29179.627700000001</v>
      </c>
      <c r="C22" s="113">
        <f>IF(OR(22168.56212="",29179.6277=""),"-",29179.6277/22168.56212*100)</f>
        <v>131.62616295115853</v>
      </c>
      <c r="D22" s="113">
        <f>IF(22168.56212="","-",22168.56212/3828107.2484*100)</f>
        <v>0.57909981830487101</v>
      </c>
      <c r="E22" s="113">
        <f>IF(29179.6277="","-",29179.6277/5111753.23542*100)</f>
        <v>0.5708340437447289</v>
      </c>
      <c r="F22" s="113">
        <f>IF(OR(2890255.78537="",14606.73727="",22168.56212=""),"-",(22168.56212-14606.73727)/2890255.78537*100)</f>
        <v>0.26163168285231753</v>
      </c>
      <c r="G22" s="113">
        <f>IF(OR(3828107.2484="",29179.6277="",22168.56212=""),"-",(29179.6277-22168.56212)/3828107.2484*100)</f>
        <v>0.18314705218696145</v>
      </c>
    </row>
    <row r="23" spans="1:7" s="29" customFormat="1" x14ac:dyDescent="0.2">
      <c r="A23" s="25" t="s">
        <v>48</v>
      </c>
      <c r="B23" s="26">
        <v>19487.955160000001</v>
      </c>
      <c r="C23" s="113">
        <f>IF(OR(15614.20842="",19487.95516=""),"-",19487.95516/15614.20842*100)</f>
        <v>124.8091138263415</v>
      </c>
      <c r="D23" s="113">
        <f>IF(15614.20842="","-",15614.20842/3828107.2484*100)</f>
        <v>0.40788325422507776</v>
      </c>
      <c r="E23" s="113">
        <f>IF(19487.95516="","-",19487.95516/5111753.23542*100)</f>
        <v>0.38123818311426771</v>
      </c>
      <c r="F23" s="113">
        <f>IF(OR(2890255.78537="",11259.3192="",15614.20842=""),"-",(15614.20842-11259.3192)/2890255.78537*100)</f>
        <v>0.15067487251625736</v>
      </c>
      <c r="G23" s="113">
        <f>IF(OR(3828107.2484="",19487.95516="",15614.20842=""),"-",(19487.95516-15614.20842)/3828107.2484*100)</f>
        <v>0.10119222081928546</v>
      </c>
    </row>
    <row r="24" spans="1:7" s="29" customFormat="1" x14ac:dyDescent="0.2">
      <c r="A24" s="25" t="s">
        <v>50</v>
      </c>
      <c r="B24" s="26">
        <v>17299.354319999999</v>
      </c>
      <c r="C24" s="113">
        <f>IF(OR(17571.71146="",17299.35432=""),"-",17299.35432/17571.71146*100)</f>
        <v>98.450024969850034</v>
      </c>
      <c r="D24" s="113">
        <f>IF(17571.71146="","-",17571.71146/3828107.2484*100)</f>
        <v>0.45901826463572282</v>
      </c>
      <c r="E24" s="113">
        <f>IF(17299.35432="","-",17299.35432/5111753.23542*100)</f>
        <v>0.33842311088357185</v>
      </c>
      <c r="F24" s="113">
        <f>IF(OR(2890255.78537="",13536.62694="",17571.71146=""),"-",(17571.71146-13536.62694)/2890255.78537*100)</f>
        <v>0.13960994526591497</v>
      </c>
      <c r="G24" s="113">
        <f>IF(OR(3828107.2484="",17299.35432="",17571.71146=""),"-",(17299.35432-17571.71146)/3828107.2484*100)</f>
        <v>-7.1146684856813972E-3</v>
      </c>
    </row>
    <row r="25" spans="1:7" s="29" customFormat="1" x14ac:dyDescent="0.2">
      <c r="A25" s="25" t="s">
        <v>49</v>
      </c>
      <c r="B25" s="26">
        <v>16115.3316</v>
      </c>
      <c r="C25" s="113">
        <f>IF(OR(15950.25036="",16115.3316=""),"-",16115.3316/15950.25036*100)</f>
        <v>101.03497585476144</v>
      </c>
      <c r="D25" s="113">
        <f>IF(15950.25036="","-",15950.25036/3828107.2484*100)</f>
        <v>0.41666153336395123</v>
      </c>
      <c r="E25" s="113">
        <f>IF(16115.3316="","-",16115.3316/5111753.23542*100)</f>
        <v>0.31526035897693144</v>
      </c>
      <c r="F25" s="113">
        <f>IF(OR(2890255.78537="",9518.31307="",15950.25036=""),"-",(15950.25036-9518.31307)/2890255.78537*100)</f>
        <v>0.22253868749462971</v>
      </c>
      <c r="G25" s="113">
        <f>IF(OR(3828107.2484="",16115.3316="",15950.25036=""),"-",(16115.3316-15950.25036)/3828107.2484*100)</f>
        <v>4.3123462663956728E-3</v>
      </c>
    </row>
    <row r="26" spans="1:7" s="29" customFormat="1" x14ac:dyDescent="0.2">
      <c r="A26" s="25" t="s">
        <v>47</v>
      </c>
      <c r="B26" s="26">
        <v>12218.65655</v>
      </c>
      <c r="C26" s="113">
        <f>IF(OR(7938.75978="",12218.65655=""),"-",12218.65655/7938.75978*100)</f>
        <v>153.91140289673811</v>
      </c>
      <c r="D26" s="113">
        <f>IF(7938.75978="","-",7938.75978/3828107.2484*100)</f>
        <v>0.20738080897075425</v>
      </c>
      <c r="E26" s="113">
        <f>IF(12218.65655="","-",12218.65655/5111753.23542*100)</f>
        <v>0.23903064148979936</v>
      </c>
      <c r="F26" s="113">
        <f>IF(OR(2890255.78537="",5631.24233="",7938.75978=""),"-",(7938.75978-5631.24233)/2890255.78537*100)</f>
        <v>7.9837828253135054E-2</v>
      </c>
      <c r="G26" s="113">
        <f>IF(OR(3828107.2484="",12218.65655="",7938.75978=""),"-",(12218.65655-7938.75978)/3828107.2484*100)</f>
        <v>0.1118019034547381</v>
      </c>
    </row>
    <row r="27" spans="1:7" s="29" customFormat="1" x14ac:dyDescent="0.2">
      <c r="A27" s="25" t="s">
        <v>46</v>
      </c>
      <c r="B27" s="26">
        <v>11853.17592</v>
      </c>
      <c r="C27" s="113">
        <f>IF(OR(9615.08619="",11853.17592=""),"-",11853.17592/9615.08619*100)</f>
        <v>123.27685561807739</v>
      </c>
      <c r="D27" s="113">
        <f>IF(9615.08619="","-",9615.08619/3828107.2484*100)</f>
        <v>0.25117076314982378</v>
      </c>
      <c r="E27" s="113">
        <f>IF(11853.17592="","-",11853.17592/5111753.23542*100)</f>
        <v>0.23188083176370505</v>
      </c>
      <c r="F27" s="113">
        <f>IF(OR(2890255.78537="",7007.57234="",9615.08619=""),"-",(9615.08619-7007.57234)/2890255.78537*100)</f>
        <v>9.0217407857076423E-2</v>
      </c>
      <c r="G27" s="113">
        <f>IF(OR(3828107.2484="",11853.17592="",9615.08619=""),"-",(11853.17592-9615.08619)/3828107.2484*100)</f>
        <v>5.8464655893207651E-2</v>
      </c>
    </row>
    <row r="28" spans="1:7" s="29" customFormat="1" x14ac:dyDescent="0.2">
      <c r="A28" s="25" t="s">
        <v>43</v>
      </c>
      <c r="B28" s="26">
        <v>10506.52123</v>
      </c>
      <c r="C28" s="113">
        <f>IF(OR(8729.27277999999="",10506.52123=""),"-",10506.52123/8729.27277999999*100)</f>
        <v>120.35963928257507</v>
      </c>
      <c r="D28" s="113">
        <f>IF(8729.27277999999="","-",8729.27277999999/3828107.2484*100)</f>
        <v>0.22803104023923276</v>
      </c>
      <c r="E28" s="113">
        <f>IF(10506.52123="","-",10506.52123/5111753.23542*100)</f>
        <v>0.20553654971446891</v>
      </c>
      <c r="F28" s="113">
        <f>IF(OR(2890255.78537="",5883.06629="",8729.27277999999=""),"-",(8729.27277999999-5883.06629)/2890255.78537*100)</f>
        <v>9.8475937818618672E-2</v>
      </c>
      <c r="G28" s="113">
        <f>IF(OR(3828107.2484="",10506.52123="",8729.27277999999=""),"-",(10506.52123-8729.27277999999)/3828107.2484*100)</f>
        <v>4.6426297245011378E-2</v>
      </c>
    </row>
    <row r="29" spans="1:7" s="29" customFormat="1" x14ac:dyDescent="0.2">
      <c r="A29" s="25" t="s">
        <v>41</v>
      </c>
      <c r="B29" s="26">
        <v>9408.9170200000008</v>
      </c>
      <c r="C29" s="113">
        <f>IF(OR(7487.43242="",9408.91702=""),"-",9408.91702/7487.43242*100)</f>
        <v>125.66279723430212</v>
      </c>
      <c r="D29" s="113">
        <f>IF(7487.43242="","-",7487.43242/3828107.2484*100)</f>
        <v>0.19559097836481606</v>
      </c>
      <c r="E29" s="113">
        <f>IF(9408.91702="","-",9408.91702/5111753.23542*100)</f>
        <v>0.18406438234937469</v>
      </c>
      <c r="F29" s="113">
        <f>IF(OR(2890255.78537="",7326.49389="",7487.43242=""),"-",(7487.43242-7326.49389)/2890255.78537*100)</f>
        <v>5.5683144313608763E-3</v>
      </c>
      <c r="G29" s="113">
        <f>IF(OR(3828107.2484="",9408.91702="",7487.43242=""),"-",(9408.91702-7487.43242)/3828107.2484*100)</f>
        <v>5.0194116186350488E-2</v>
      </c>
    </row>
    <row r="30" spans="1:7" s="29" customFormat="1" x14ac:dyDescent="0.2">
      <c r="A30" s="25" t="s">
        <v>293</v>
      </c>
      <c r="B30" s="26">
        <v>5952.9074300000002</v>
      </c>
      <c r="C30" s="113">
        <f>IF(OR(4898.92326="",5952.90743=""),"-",5952.90743/4898.92326*100)</f>
        <v>121.51460870199466</v>
      </c>
      <c r="D30" s="113">
        <f>IF(4898.92326="","-",4898.92326/3828107.2484*100)</f>
        <v>0.12797246634214751</v>
      </c>
      <c r="E30" s="113">
        <f>IF(5952.90743="","-",5952.90743/5111753.23542*100)</f>
        <v>0.11645529734791449</v>
      </c>
      <c r="F30" s="113">
        <f>IF(OR(2890255.78537="",3056.29609="",4898.92326=""),"-",(4898.92326-3056.29609)/2890255.78537*100)</f>
        <v>6.3753083008330116E-2</v>
      </c>
      <c r="G30" s="113">
        <f>IF(OR(3828107.2484="",5952.90743="",4898.92326=""),"-",(5952.90743-4898.92326)/3828107.2484*100)</f>
        <v>2.7532775379804864E-2</v>
      </c>
    </row>
    <row r="31" spans="1:7" s="29" customFormat="1" x14ac:dyDescent="0.2">
      <c r="A31" s="25" t="s">
        <v>51</v>
      </c>
      <c r="B31" s="26">
        <v>5168.8777300000002</v>
      </c>
      <c r="C31" s="113">
        <f>IF(OR(3949.98497="",5168.87773=""),"-",5168.87773/3949.98497*100)</f>
        <v>130.85816197422139</v>
      </c>
      <c r="D31" s="113">
        <f>IF(3949.98497="","-",3949.98497/3828107.2484*100)</f>
        <v>0.10318375932782291</v>
      </c>
      <c r="E31" s="113">
        <f>IF(5168.87773="","-",5168.87773/5111753.23542*100)</f>
        <v>0.10111751275832677</v>
      </c>
      <c r="F31" s="113">
        <f>IF(OR(2890255.78537="",4210.56157="",3949.98497=""),"-",(3949.98497-4210.56157)/2890255.78537*100)</f>
        <v>-9.0156933970687234E-3</v>
      </c>
      <c r="G31" s="113">
        <f>IF(OR(3828107.2484="",5168.87773="",3949.98497=""),"-",(5168.87773-3949.98497)/3828107.2484*100)</f>
        <v>3.1840611584470366E-2</v>
      </c>
    </row>
    <row r="32" spans="1:7" s="29" customFormat="1" x14ac:dyDescent="0.2">
      <c r="A32" s="25" t="s">
        <v>44</v>
      </c>
      <c r="B32" s="26">
        <v>3262.3051700000001</v>
      </c>
      <c r="C32" s="113">
        <f>IF(OR(3666.52365="",3262.30517=""),"-",3262.30517/3666.52365*100)</f>
        <v>88.975429628007447</v>
      </c>
      <c r="D32" s="113">
        <f>IF(3666.52365="","-",3666.52365/3828107.2484*100)</f>
        <v>9.5779021121533747E-2</v>
      </c>
      <c r="E32" s="113">
        <f>IF(3262.30517="","-",3262.30517/5111753.23542*100)</f>
        <v>6.3819691987380481E-2</v>
      </c>
      <c r="F32" s="113">
        <f>IF(OR(2890255.78537="",2094.15357="",3666.52365=""),"-",(3666.52365-2094.15357)/2890255.78537*100)</f>
        <v>5.4402454203502648E-2</v>
      </c>
      <c r="G32" s="113">
        <f>IF(OR(3828107.2484="",3262.30517="",3666.52365=""),"-",(3262.30517-3666.52365)/3828107.2484*100)</f>
        <v>-1.05592255851491E-2</v>
      </c>
    </row>
    <row r="33" spans="1:7" s="29" customFormat="1" x14ac:dyDescent="0.2">
      <c r="A33" s="25" t="s">
        <v>52</v>
      </c>
      <c r="B33" s="26">
        <v>1687.7778499999999</v>
      </c>
      <c r="C33" s="113">
        <f>IF(OR(1437.17903="",1687.77785=""),"-",1687.77785/1437.17903*100)</f>
        <v>117.43685475288351</v>
      </c>
      <c r="D33" s="113">
        <f>IF(1437.17903="","-",1437.17903/3828107.2484*100)</f>
        <v>3.7542809977455176E-2</v>
      </c>
      <c r="E33" s="113">
        <f>IF(1687.77785="","-",1687.77785/5111753.23542*100)</f>
        <v>3.3017592443726915E-2</v>
      </c>
      <c r="F33" s="113">
        <f>IF(OR(2890255.78537="",617.57945="",1437.17903=""),"-",(1437.17903-617.57945)/2890255.78537*100)</f>
        <v>2.8357337234603194E-2</v>
      </c>
      <c r="G33" s="113">
        <f>IF(OR(3828107.2484="",1687.77785="",1437.17903=""),"-",(1687.77785-1437.17903)/3828107.2484*100)</f>
        <v>6.5462852459199127E-3</v>
      </c>
    </row>
    <row r="34" spans="1:7" s="29" customFormat="1" x14ac:dyDescent="0.2">
      <c r="A34" s="25" t="s">
        <v>45</v>
      </c>
      <c r="B34" s="26">
        <v>417.88087000000002</v>
      </c>
      <c r="C34" s="113">
        <f>IF(OR(587.97601="",417.88087=""),"-",417.88087/587.97601*100)</f>
        <v>71.071074821573092</v>
      </c>
      <c r="D34" s="113">
        <f>IF(587.97601="","-",587.97601/3828107.2484*100)</f>
        <v>1.5359444546538009E-2</v>
      </c>
      <c r="E34" s="113">
        <f>IF(417.88087="","-",417.88087/5111753.23542*100)</f>
        <v>8.174903027486722E-3</v>
      </c>
      <c r="F34" s="113">
        <f>IF(OR(2890255.78537="",333.37597="",587.97601=""),"-",(587.97601-333.37597)/2890255.78537*100)</f>
        <v>8.8089103147459668E-3</v>
      </c>
      <c r="G34" s="113">
        <f>IF(OR(3828107.2484="",417.88087="",587.97601=""),"-",(417.88087-587.97601)/3828107.2484*100)</f>
        <v>-4.4433222206899537E-3</v>
      </c>
    </row>
    <row r="35" spans="1:7" s="29" customFormat="1" ht="24" x14ac:dyDescent="0.2">
      <c r="A35" s="25" t="s">
        <v>321</v>
      </c>
      <c r="B35" s="26">
        <v>75.584540000000004</v>
      </c>
      <c r="C35" s="113" t="s">
        <v>281</v>
      </c>
      <c r="D35" s="113">
        <f>IF(31.03371="","-",31.03371/3828107.2484*100)</f>
        <v>8.1068026537059229E-4</v>
      </c>
      <c r="E35" s="113">
        <f>IF(75.58454="","-",75.58454/5111753.23542*100)</f>
        <v>1.4786421902423801E-3</v>
      </c>
      <c r="F35" s="113" t="str">
        <f>IF(OR(2890255.78537="",""="",31.03371=""),"-",(31.03371-"")/2890255.78537*100)</f>
        <v>-</v>
      </c>
      <c r="G35" s="113">
        <f>IF(OR(3828107.2484="",75.58454="",31.03371=""),"-",(75.58454-31.03371)/3828107.2484*100)</f>
        <v>1.1637821803090946E-3</v>
      </c>
    </row>
    <row r="36" spans="1:7" s="29" customFormat="1" x14ac:dyDescent="0.2">
      <c r="A36" s="25" t="s">
        <v>53</v>
      </c>
      <c r="B36" s="26">
        <v>41.141330000000004</v>
      </c>
      <c r="C36" s="113">
        <f>IF(OR(68.14103="",41.14133=""),"-",41.14133/68.14103*100)</f>
        <v>60.376736307038513</v>
      </c>
      <c r="D36" s="113">
        <f>IF(68.14103="","-",68.14103/3828107.2484*100)</f>
        <v>1.7800188338108946E-3</v>
      </c>
      <c r="E36" s="113">
        <f>IF(41.14133="","-",41.14133/5111753.23542*100)</f>
        <v>8.0483795099744646E-4</v>
      </c>
      <c r="F36" s="113">
        <f>IF(OR(2890255.78537="",31.70747="",68.14103=""),"-",(68.14103-31.70747)/2890255.78537*100)</f>
        <v>1.2605652476995529E-3</v>
      </c>
      <c r="G36" s="113">
        <f>IF(OR(3828107.2484="",41.14133="",68.14103=""),"-",(41.14133-68.14103)/3828107.2484*100)</f>
        <v>-7.0530155630526875E-4</v>
      </c>
    </row>
    <row r="37" spans="1:7" s="29" customFormat="1" x14ac:dyDescent="0.2">
      <c r="A37" s="24" t="s">
        <v>196</v>
      </c>
      <c r="B37" s="20">
        <v>1321676.4200899999</v>
      </c>
      <c r="C37" s="112">
        <f>IF(885672.91932="","-",1321676.42009/885672.91932*100)</f>
        <v>149.22850086742559</v>
      </c>
      <c r="D37" s="112">
        <f>IF(885672.91932="","-",885672.91932/3828107.2484*100)</f>
        <v>23.136052932952097</v>
      </c>
      <c r="E37" s="112">
        <f>IF(1321676.42009="","-",1321676.42009/5111753.23542*100)</f>
        <v>25.855638158194587</v>
      </c>
      <c r="F37" s="112">
        <f>IF(2890255.78537="","-",(885672.91932-733870.7065)/2890255.78537*100)</f>
        <v>5.252206866547863</v>
      </c>
      <c r="G37" s="112">
        <f>IF(3828107.2484="","-",(1321676.42009-885672.91932)/3828107.2484*100)</f>
        <v>11.389532018786372</v>
      </c>
    </row>
    <row r="38" spans="1:7" s="29" customFormat="1" x14ac:dyDescent="0.2">
      <c r="A38" s="25" t="s">
        <v>294</v>
      </c>
      <c r="B38" s="26">
        <v>728877.45594000001</v>
      </c>
      <c r="C38" s="113" t="s">
        <v>100</v>
      </c>
      <c r="D38" s="113">
        <f>IF(445278.03983="","-",445278.03983/3828107.2484*100)</f>
        <v>11.631806815655672</v>
      </c>
      <c r="E38" s="113">
        <f>IF(728877.45594="","-",728877.45594/5111753.23542*100)</f>
        <v>14.258854494178511</v>
      </c>
      <c r="F38" s="113">
        <f>IF(OR(2890255.78537="",337777.64727="",445278.03983=""),"-",(445278.03983-337777.64727)/2890255.78537*100)</f>
        <v>3.719407572995765</v>
      </c>
      <c r="G38" s="113">
        <f>IF(OR(3828107.2484="",728877.45594="",445278.03983=""),"-",(728877.45594-445278.03983)/3828107.2484*100)</f>
        <v>7.4083456316051111</v>
      </c>
    </row>
    <row r="39" spans="1:7" s="29" customFormat="1" x14ac:dyDescent="0.2">
      <c r="A39" s="25" t="s">
        <v>10</v>
      </c>
      <c r="B39" s="26">
        <v>481437.36696000001</v>
      </c>
      <c r="C39" s="113">
        <f>IF(OR(351603.79858="",481437.36696=""),"-",481437.36696/351603.79858*100)</f>
        <v>136.92609946318856</v>
      </c>
      <c r="D39" s="113">
        <f>IF(351603.79858="","-",351603.79858/3828107.2484*100)</f>
        <v>9.1847948807326851</v>
      </c>
      <c r="E39" s="113">
        <f>IF(481437.36696="","-",481437.36696/5111753.23542*100)</f>
        <v>9.4182435025239126</v>
      </c>
      <c r="F39" s="113">
        <f>IF(OR(2890255.78537="",276412.03584="",351603.79858=""),"-",(351603.79858-276412.03584)/2890255.78537*100)</f>
        <v>2.601560841798443</v>
      </c>
      <c r="G39" s="113">
        <f>IF(OR(3828107.2484="",481437.36696="",351603.79858=""),"-",(481437.36696-351603.79858)/3828107.2484*100)</f>
        <v>3.3915864931492035</v>
      </c>
    </row>
    <row r="40" spans="1:7" s="29" customFormat="1" x14ac:dyDescent="0.2">
      <c r="A40" s="25" t="s">
        <v>9</v>
      </c>
      <c r="B40" s="26">
        <v>63247.358829999997</v>
      </c>
      <c r="C40" s="113">
        <f>IF(OR(69898.73435="",63247.35883=""),"-",63247.35883/69898.73435*100)</f>
        <v>90.484269018813777</v>
      </c>
      <c r="D40" s="113">
        <f>IF(69898.73435="","-",69898.73435/3828107.2484*100)</f>
        <v>1.8259345889333418</v>
      </c>
      <c r="E40" s="113">
        <f>IF(63247.35883="","-",63247.35883/5111753.23542*100)</f>
        <v>1.237292880097397</v>
      </c>
      <c r="F40" s="113">
        <f>IF(OR(2890255.78537="",56548.58776="",69898.73435=""),"-",(69898.73435-56548.58776)/2890255.78537*100)</f>
        <v>0.46190190700685546</v>
      </c>
      <c r="G40" s="113">
        <f>IF(OR(3828107.2484="",63247.35883="",69898.73435=""),"-",(63247.35883-69898.73435)/3828107.2484*100)</f>
        <v>-0.17375102337532519</v>
      </c>
    </row>
    <row r="41" spans="1:7" s="29" customFormat="1" x14ac:dyDescent="0.2">
      <c r="A41" s="25" t="s">
        <v>14</v>
      </c>
      <c r="B41" s="26">
        <v>12762.88544</v>
      </c>
      <c r="C41" s="113" t="s">
        <v>290</v>
      </c>
      <c r="D41" s="113">
        <f>IF(3436.12121="","-",3436.12121/3828107.2484*100)</f>
        <v>8.9760317228211539E-2</v>
      </c>
      <c r="E41" s="113">
        <f>IF(12762.88544="","-",12762.88544/5111753.23542*100)</f>
        <v>0.2496772604664152</v>
      </c>
      <c r="F41" s="113">
        <f>IF(OR(2890255.78537="",1414.05304="",3436.12121=""),"-",(3436.12121-1414.05304)/2890255.78537*100)</f>
        <v>6.99615646558127E-2</v>
      </c>
      <c r="G41" s="113">
        <f>IF(OR(3828107.2484="",12762.88544="",3436.12121=""),"-",(12762.88544-3436.12121)/3828107.2484*100)</f>
        <v>0.24363905253433601</v>
      </c>
    </row>
    <row r="42" spans="1:7" s="29" customFormat="1" x14ac:dyDescent="0.2">
      <c r="A42" s="25" t="s">
        <v>11</v>
      </c>
      <c r="B42" s="26">
        <v>11935.694020000001</v>
      </c>
      <c r="C42" s="113">
        <f>IF(OR(7715.8108="",11935.69402=""),"-",11935.69402/7715.8108*100)</f>
        <v>154.69137760609684</v>
      </c>
      <c r="D42" s="113">
        <f>IF(7715.8108="","-",7715.8108/3828107.2484*100)</f>
        <v>0.20155680860887348</v>
      </c>
      <c r="E42" s="113">
        <f>IF(11935.69402="","-",11935.69402/5111753.23542*100)</f>
        <v>0.23349511352183497</v>
      </c>
      <c r="F42" s="113">
        <f>IF(OR(2890255.78537="",52938.84561="",7715.8108=""),"-",(7715.8108-52938.84561)/2890255.78537*100)</f>
        <v>-1.5646724085429244</v>
      </c>
      <c r="G42" s="113">
        <f>IF(OR(3828107.2484="",11935.69402="",7715.8108=""),"-",(11935.69402-7715.8108)/3828107.2484*100)</f>
        <v>0.11023419528707686</v>
      </c>
    </row>
    <row r="43" spans="1:7" s="29" customFormat="1" x14ac:dyDescent="0.2">
      <c r="A43" s="25" t="s">
        <v>13</v>
      </c>
      <c r="B43" s="26">
        <v>10278.38711</v>
      </c>
      <c r="C43" s="113" t="s">
        <v>99</v>
      </c>
      <c r="D43" s="113">
        <f>IF(6144.2822="","-",6144.2822/3828107.2484*100)</f>
        <v>0.16050444256931598</v>
      </c>
      <c r="E43" s="113">
        <f>IF(10278.38711="","-",10278.38711/5111753.23542*100)</f>
        <v>0.2010736167540273</v>
      </c>
      <c r="F43" s="113">
        <f>IF(OR(2890255.78537="",4134.2847="",6144.2822=""),"-",(6144.2822-4134.2847)/2890255.78537*100)</f>
        <v>6.954393137708699E-2</v>
      </c>
      <c r="G43" s="113">
        <f>IF(OR(3828107.2484="",10278.38711="",6144.2822=""),"-",(10278.38711-6144.2822)/3828107.2484*100)</f>
        <v>0.10799344536984681</v>
      </c>
    </row>
    <row r="44" spans="1:7" s="29" customFormat="1" x14ac:dyDescent="0.2">
      <c r="A44" s="25" t="s">
        <v>12</v>
      </c>
      <c r="B44" s="26">
        <v>8787.65481</v>
      </c>
      <c r="C44" s="113" t="s">
        <v>379</v>
      </c>
      <c r="D44" s="113">
        <f>IF(971.18269="","-",971.18269/3828107.2484*100)</f>
        <v>2.5369787912967085E-2</v>
      </c>
      <c r="E44" s="113">
        <f>IF(8787.65481="","-",8787.65481/5111753.23542*100)</f>
        <v>0.17191077904757221</v>
      </c>
      <c r="F44" s="113">
        <f>IF(OR(2890255.78537="",4009.7293="",971.18269=""),"-",(971.18269-4009.7293)/2890255.78537*100)</f>
        <v>-0.1051307162978662</v>
      </c>
      <c r="G44" s="113">
        <f>IF(OR(3828107.2484="",8787.65481="",971.18269=""),"-",(8787.65481-971.18269)/3828107.2484*100)</f>
        <v>0.20418634099833494</v>
      </c>
    </row>
    <row r="45" spans="1:7" s="29" customFormat="1" x14ac:dyDescent="0.2">
      <c r="A45" s="25" t="s">
        <v>303</v>
      </c>
      <c r="B45" s="26">
        <v>3035.8671899999999</v>
      </c>
      <c r="C45" s="113" t="s">
        <v>380</v>
      </c>
      <c r="D45" s="113">
        <f>IF(140.31686="","-",140.31686/3828107.2484*100)</f>
        <v>3.6654370135175023E-3</v>
      </c>
      <c r="E45" s="113">
        <f>IF(3035.86719="","-",3035.86719/5111753.23542*100)</f>
        <v>5.9389940206113302E-2</v>
      </c>
      <c r="F45" s="113">
        <f>IF(OR(2890255.78537="",75.45498="",140.31686=""),"-",(140.31686-75.45498)/2890255.78537*100)</f>
        <v>2.2441570856226692E-3</v>
      </c>
      <c r="G45" s="113">
        <f>IF(OR(3828107.2484="",3035.86719="",140.31686=""),"-",(3035.86719-140.31686)/3828107.2484*100)</f>
        <v>7.563921651385884E-2</v>
      </c>
    </row>
    <row r="46" spans="1:7" s="29" customFormat="1" x14ac:dyDescent="0.2">
      <c r="A46" s="25" t="s">
        <v>15</v>
      </c>
      <c r="B46" s="26">
        <v>1312.1370400000001</v>
      </c>
      <c r="C46" s="113" t="s">
        <v>298</v>
      </c>
      <c r="D46" s="113">
        <f>IF(470.56293="","-",470.56293/3828107.2484*100)</f>
        <v>1.2292313131944697E-2</v>
      </c>
      <c r="E46" s="113">
        <f>IF(1312.13704="","-",1312.13704/5111753.23542*100)</f>
        <v>2.5669021558161934E-2</v>
      </c>
      <c r="F46" s="113">
        <f>IF(OR(2890255.78537="",559.88249="",470.56293=""),"-",(470.56293-559.88249)/2890255.78537*100)</f>
        <v>-3.0903686951210649E-3</v>
      </c>
      <c r="G46" s="113">
        <f>IF(OR(3828107.2484="",1312.13704="",470.56293=""),"-",(1312.13704-470.56293)/3828107.2484*100)</f>
        <v>2.1984078694549252E-2</v>
      </c>
    </row>
    <row r="47" spans="1:7" s="29" customFormat="1" x14ac:dyDescent="0.2">
      <c r="A47" s="25" t="s">
        <v>16</v>
      </c>
      <c r="B47" s="26">
        <v>1.6127499999999999</v>
      </c>
      <c r="C47" s="113">
        <f>IF(OR(14.06987="",1.61275=""),"-",1.61275/14.06987*100)</f>
        <v>11.462437108516282</v>
      </c>
      <c r="D47" s="113">
        <f>IF(14.06987="","-",14.06987/3828107.2484*100)</f>
        <v>3.6754116556898082E-4</v>
      </c>
      <c r="E47" s="113">
        <f>IF(1.61275="","-",1.61275/5111753.23542*100)</f>
        <v>3.1549840646161215E-5</v>
      </c>
      <c r="F47" s="113">
        <f>IF(OR(2890255.78537="",0.18551="",14.06987=""),"-",(14.06987-0.18551)/2890255.78537*100)</f>
        <v>4.803851641879015E-4</v>
      </c>
      <c r="G47" s="113">
        <f>IF(OR(3828107.2484="",1.61275="",14.06987=""),"-",(1.61275-14.06987)/3828107.2484*100)</f>
        <v>-3.2541199061772869E-4</v>
      </c>
    </row>
    <row r="48" spans="1:7" s="29" customFormat="1" x14ac:dyDescent="0.2">
      <c r="A48" s="24" t="s">
        <v>130</v>
      </c>
      <c r="B48" s="20">
        <v>1427163.21954</v>
      </c>
      <c r="C48" s="112">
        <f>IF(1134784.91476="","-",1427163.21954/1134784.91476*100)</f>
        <v>125.76508561023971</v>
      </c>
      <c r="D48" s="112">
        <f>IF(1134784.91476="","-",1134784.91476/3828107.2484*100)</f>
        <v>29.643498500056285</v>
      </c>
      <c r="E48" s="112">
        <f>IF(1427163.21954="","-",1427163.21954/5111753.23542*100)</f>
        <v>27.919251063431648</v>
      </c>
      <c r="F48" s="112">
        <f>IF(2890255.78537="","-",(1134784.91476-829697.4444)/2890255.78537*100)</f>
        <v>10.555725617929827</v>
      </c>
      <c r="G48" s="112">
        <f>IF(3828107.2484="","-",(1427163.21954-1134784.91476)/3828107.2484*100)</f>
        <v>7.6376727664096311</v>
      </c>
    </row>
    <row r="49" spans="1:7" s="29" customFormat="1" x14ac:dyDescent="0.2">
      <c r="A49" s="25" t="s">
        <v>57</v>
      </c>
      <c r="B49" s="26">
        <v>492273.97738</v>
      </c>
      <c r="C49" s="113">
        <f>IF(OR(446139.83242="",492273.97738=""),"-",492273.97738/446139.83242*100)</f>
        <v>110.34073660487881</v>
      </c>
      <c r="D49" s="113">
        <f>IF(446139.83242="","-",446139.83242/3828107.2484*100)</f>
        <v>11.654319053011617</v>
      </c>
      <c r="E49" s="113">
        <f>IF(492273.97738="","-",492273.97738/5111753.23542*100)</f>
        <v>9.6302375077296354</v>
      </c>
      <c r="F49" s="113">
        <f>IF(OR(2890255.78537="",321136.6386="",446139.83242=""),"-",(446139.83242-321136.6386)/2890255.78537*100)</f>
        <v>4.3249872365188446</v>
      </c>
      <c r="G49" s="113">
        <f>IF(OR(3828107.2484="",492273.97738="",446139.83242=""),"-",(492273.97738-446139.83242)/3828107.2484*100)</f>
        <v>1.2051424363641401</v>
      </c>
    </row>
    <row r="50" spans="1:7" s="29" customFormat="1" x14ac:dyDescent="0.2">
      <c r="A50" s="25" t="s">
        <v>54</v>
      </c>
      <c r="B50" s="99">
        <v>355131.58649000002</v>
      </c>
      <c r="C50" s="113">
        <f>IF(OR(271082.9274="",355131.58649=""),"-",355131.58649/271082.9274*100)</f>
        <v>131.00477772470745</v>
      </c>
      <c r="D50" s="113">
        <f>IF(271082.9274="","-",271082.9274/3828107.2484*100)</f>
        <v>7.0813827776978329</v>
      </c>
      <c r="E50" s="113">
        <f>IF(355131.58649="","-",355131.58649/5111753.23542*100)</f>
        <v>6.9473538751684512</v>
      </c>
      <c r="F50" s="113">
        <f>IF(OR(2890255.78537="",195217.16083="",271082.9274=""),"-",(271082.9274-195217.16083)/2890255.78537*100)</f>
        <v>2.6248807096596787</v>
      </c>
      <c r="G50" s="113">
        <f>IF(OR(3828107.2484="",355131.58649="",271082.9274=""),"-",(355131.58649-271082.9274)/3828107.2484*100)</f>
        <v>2.1955669900609265</v>
      </c>
    </row>
    <row r="51" spans="1:7" s="29" customFormat="1" x14ac:dyDescent="0.2">
      <c r="A51" s="25" t="s">
        <v>67</v>
      </c>
      <c r="B51" s="26">
        <v>143648.96406999999</v>
      </c>
      <c r="C51" s="113" t="s">
        <v>363</v>
      </c>
      <c r="D51" s="113">
        <f>IF(26117.99526="","-",26117.99526/3828107.2484*100)</f>
        <v>0.68226916241482805</v>
      </c>
      <c r="E51" s="113">
        <f>IF(143648.96407="","-",143648.96407/5111753.23542*100)</f>
        <v>2.8101701599098665</v>
      </c>
      <c r="F51" s="113">
        <f>IF(OR(2890255.78537="",23013.0428="",26117.99526=""),"-",(26117.99526-23013.0428)/2890255.78537*100)</f>
        <v>0.10742829322293063</v>
      </c>
      <c r="G51" s="113">
        <f>IF(OR(3828107.2484="",143648.96407="",26117.99526=""),"-",(143648.96407-26117.99526)/3828107.2484*100)</f>
        <v>3.0702109732981846</v>
      </c>
    </row>
    <row r="52" spans="1:7" s="29" customFormat="1" x14ac:dyDescent="0.2">
      <c r="A52" s="25" t="s">
        <v>17</v>
      </c>
      <c r="B52" s="99">
        <v>80433.010750000001</v>
      </c>
      <c r="C52" s="113">
        <f>IF(OR(61593.8489="",80433.01075=""),"-",80433.01075/61593.8489*100)</f>
        <v>130.58610914311609</v>
      </c>
      <c r="D52" s="113">
        <f>IF(61593.8489="","-",61593.8489/3828107.2484*100)</f>
        <v>1.6089896364775</v>
      </c>
      <c r="E52" s="113">
        <f>IF(80433.01075="","-",80433.01075/5111753.23542*100)</f>
        <v>1.5734916582566867</v>
      </c>
      <c r="F52" s="113">
        <f>IF(OR(2890255.78537="",38464.53375="",61593.8489=""),"-",(61593.8489-38464.53375)/2890255.78537*100)</f>
        <v>0.8002514956315212</v>
      </c>
      <c r="G52" s="113">
        <f>IF(OR(3828107.2484="",80433.01075="",61593.8489=""),"-",(80433.01075-61593.8489)/3828107.2484*100)</f>
        <v>0.49212732631443495</v>
      </c>
    </row>
    <row r="53" spans="1:7" s="29" customFormat="1" ht="24" x14ac:dyDescent="0.2">
      <c r="A53" s="25" t="s">
        <v>296</v>
      </c>
      <c r="B53" s="99">
        <v>41973.403270000003</v>
      </c>
      <c r="C53" s="113">
        <f>IF(OR(37232.92926="",41973.40327=""),"-",41973.40327/37232.92926*100)</f>
        <v>112.73193945310337</v>
      </c>
      <c r="D53" s="113">
        <f>IF(37232.92926="","-",37232.92926/3828107.2484*100)</f>
        <v>0.97261980514161184</v>
      </c>
      <c r="E53" s="113">
        <f>IF(41973.40327="","-",41973.40327/5111753.23542*100)</f>
        <v>0.82111560040028642</v>
      </c>
      <c r="F53" s="113">
        <f>IF(OR(2890255.78537="",26422.52358="",37232.92926=""),"-",(37232.92926-26422.52358)/2890255.78537*100)</f>
        <v>0.37402937604071212</v>
      </c>
      <c r="G53" s="113">
        <f>IF(OR(3828107.2484="",41973.40327="",37232.92926=""),"-",(41973.40327-37232.92926)/3828107.2484*100)</f>
        <v>0.12383336469952193</v>
      </c>
    </row>
    <row r="54" spans="1:7" s="29" customFormat="1" x14ac:dyDescent="0.2">
      <c r="A54" s="25" t="s">
        <v>73</v>
      </c>
      <c r="B54" s="99">
        <v>38474.724139999998</v>
      </c>
      <c r="C54" s="113">
        <f>IF(OR(37469.76383="",38474.72414=""),"-",38474.72414/37469.76383*100)</f>
        <v>102.68205669659274</v>
      </c>
      <c r="D54" s="113">
        <f>IF(37469.76383="","-",37469.76383/3828107.2484*100)</f>
        <v>0.97880653280184116</v>
      </c>
      <c r="E54" s="113">
        <f>IF(38474.72414="","-",38474.72414/5111753.23542*100)</f>
        <v>0.75267178144288449</v>
      </c>
      <c r="F54" s="113">
        <f>IF(OR(2890255.78537="",29452.57521="",37469.76383=""),"-",(37469.76383-29452.57521)/2890255.78537*100)</f>
        <v>0.27738682024551931</v>
      </c>
      <c r="G54" s="113">
        <f>IF(OR(3828107.2484="",38474.72414="",37469.76383=""),"-",(38474.72414-37469.76383)/3828107.2484*100)</f>
        <v>2.6252146159698876E-2</v>
      </c>
    </row>
    <row r="55" spans="1:7" s="29" customFormat="1" x14ac:dyDescent="0.2">
      <c r="A55" s="25" t="s">
        <v>34</v>
      </c>
      <c r="B55" s="26">
        <v>35707.565450000002</v>
      </c>
      <c r="C55" s="113">
        <f>IF(OR(26615.56278="",35707.56545=""),"-",35707.56545/26615.56278*100)</f>
        <v>134.16047500161108</v>
      </c>
      <c r="D55" s="113">
        <f>IF(26615.56278="","-",26615.56278/3828107.2484*100)</f>
        <v>0.69526690484244591</v>
      </c>
      <c r="E55" s="113">
        <f>IF(35707.56545="","-",35707.56545/5111753.23542*100)</f>
        <v>0.69853852104161951</v>
      </c>
      <c r="F55" s="113">
        <f>IF(OR(2890255.78537="",21837.51157="",26615.56278=""),"-",(26615.56278-21837.51157)/2890255.78537*100)</f>
        <v>0.1653158600766656</v>
      </c>
      <c r="G55" s="113">
        <f>IF(OR(3828107.2484="",35707.56545="",26615.56278=""),"-",(35707.56545-26615.56278)/3828107.2484*100)</f>
        <v>0.23750647722317877</v>
      </c>
    </row>
    <row r="56" spans="1:7" s="29" customFormat="1" x14ac:dyDescent="0.2">
      <c r="A56" s="25" t="s">
        <v>69</v>
      </c>
      <c r="B56" s="114">
        <v>23346.246660000001</v>
      </c>
      <c r="C56" s="113">
        <f>IF(OR(27548.69351="",23346.24666=""),"-",23346.24666/27548.69351*100)</f>
        <v>84.745386025386154</v>
      </c>
      <c r="D56" s="113">
        <f>IF(27548.69351="","-",27548.69351/3828107.2484*100)</f>
        <v>0.71964267776234014</v>
      </c>
      <c r="E56" s="113">
        <f>IF(23346.24666="","-",23346.24666/5111753.23542*100)</f>
        <v>0.45671701243774515</v>
      </c>
      <c r="F56" s="113">
        <f>IF(OR(2890255.78537="",19325.11352="",27548.69351=""),"-",(27548.69351-19325.11352)/2890255.78537*100)</f>
        <v>0.28452775811837877</v>
      </c>
      <c r="G56" s="113">
        <f>IF(OR(3828107.2484="",23346.24666="",27548.69351=""),"-",(23346.24666-27548.69351)/3828107.2484*100)</f>
        <v>-0.10977871248921929</v>
      </c>
    </row>
    <row r="57" spans="1:7" s="29" customFormat="1" x14ac:dyDescent="0.2">
      <c r="A57" s="25" t="s">
        <v>64</v>
      </c>
      <c r="B57" s="99">
        <v>22654.75359</v>
      </c>
      <c r="C57" s="113">
        <f>IF(OR(16043.9599="",22654.75359=""),"-",22654.75359/16043.9599*100)</f>
        <v>141.20425213727941</v>
      </c>
      <c r="D57" s="113">
        <f>IF(16043.9599="","-",16043.9599/3828107.2484*100)</f>
        <v>0.41910946739294602</v>
      </c>
      <c r="E57" s="113">
        <f>IF(22654.75359="","-",22654.75359/5111753.23542*100)</f>
        <v>0.44318949970085181</v>
      </c>
      <c r="F57" s="113">
        <f>IF(OR(2890255.78537="",16344.48881="",16043.9599=""),"-",(16043.9599-16344.48881)/2890255.78537*100)</f>
        <v>-1.0398003924816233E-2</v>
      </c>
      <c r="G57" s="113">
        <f>IF(OR(3828107.2484="",22654.75359="",16043.9599=""),"-",(22654.75359-16043.9599)/3828107.2484*100)</f>
        <v>0.17269092167579828</v>
      </c>
    </row>
    <row r="58" spans="1:7" s="29" customFormat="1" x14ac:dyDescent="0.2">
      <c r="A58" s="25" t="s">
        <v>295</v>
      </c>
      <c r="B58" s="26">
        <v>21486.338210000002</v>
      </c>
      <c r="C58" s="113">
        <f>IF(OR(22466.67218="",21486.33821=""),"-",21486.33821/22466.67218*100)</f>
        <v>95.636496753298871</v>
      </c>
      <c r="D58" s="113">
        <f>IF(22466.67218="","-",22466.67218/3828107.2484*100)</f>
        <v>0.5868872192488912</v>
      </c>
      <c r="E58" s="113">
        <f>IF(21486.33821="","-",21486.33821/5111753.23542*100)</f>
        <v>0.42033207043560672</v>
      </c>
      <c r="F58" s="113">
        <f>IF(OR(2890255.78537="",16532.96571="",22466.67218=""),"-",(22466.67218-16532.96571)/2890255.78537*100)</f>
        <v>0.2053003924439992</v>
      </c>
      <c r="G58" s="113">
        <f>IF(OR(3828107.2484="",21486.33821="",22466.67218=""),"-",(21486.33821-22466.67218)/3828107.2484*100)</f>
        <v>-2.5608842866399348E-2</v>
      </c>
    </row>
    <row r="59" spans="1:7" s="29" customFormat="1" x14ac:dyDescent="0.2">
      <c r="A59" s="25" t="s">
        <v>60</v>
      </c>
      <c r="B59" s="99">
        <v>14896.52706</v>
      </c>
      <c r="C59" s="113" t="s">
        <v>91</v>
      </c>
      <c r="D59" s="113">
        <f>IF(7074.66142="","-",7074.66142/3828107.2484*100)</f>
        <v>0.18480833897631613</v>
      </c>
      <c r="E59" s="113">
        <f>IF(14896.52706="","-",14896.52706/5111753.23542*100)</f>
        <v>0.29141717868499667</v>
      </c>
      <c r="F59" s="113">
        <f>IF(OR(2890255.78537="",6194.91423="",7074.66142=""),"-",(7074.66142-6194.91423)/2890255.78537*100)</f>
        <v>3.0438385227118503E-2</v>
      </c>
      <c r="G59" s="113">
        <f>IF(OR(3828107.2484="",14896.52706="",7074.66142=""),"-",(14896.52706-7074.66142)/3828107.2484*100)</f>
        <v>0.20432723360269583</v>
      </c>
    </row>
    <row r="60" spans="1:7" s="29" customFormat="1" x14ac:dyDescent="0.2">
      <c r="A60" s="25" t="s">
        <v>76</v>
      </c>
      <c r="B60" s="26">
        <v>12250.27029</v>
      </c>
      <c r="C60" s="113">
        <f>IF(OR(13772.73195="",12250.27029=""),"-",12250.27029/13772.73195*100)</f>
        <v>88.945826684734115</v>
      </c>
      <c r="D60" s="113">
        <f>IF(13772.73195="","-",13772.73195/3828107.2484*100)</f>
        <v>0.35977915602433724</v>
      </c>
      <c r="E60" s="113">
        <f>IF(12250.27029="","-",12250.27029/5111753.23542*100)</f>
        <v>0.23964909348746125</v>
      </c>
      <c r="F60" s="113">
        <f>IF(OR(2890255.78537="",11535.10946="",13772.73195=""),"-",(13772.73195-11535.10946)/2890255.78537*100)</f>
        <v>7.7419531562793756E-2</v>
      </c>
      <c r="G60" s="113">
        <f>IF(OR(3828107.2484="",12250.27029="",13772.73195=""),"-",(12250.27029-13772.73195)/3828107.2484*100)</f>
        <v>-3.9770611459131112E-2</v>
      </c>
    </row>
    <row r="61" spans="1:7" s="29" customFormat="1" x14ac:dyDescent="0.2">
      <c r="A61" s="25" t="s">
        <v>305</v>
      </c>
      <c r="B61" s="99">
        <v>11488.212219999999</v>
      </c>
      <c r="C61" s="113">
        <f>IF(OR(12440.84023="",11488.21222=""),"-",11488.21222/12440.84023*100)</f>
        <v>92.342735760701913</v>
      </c>
      <c r="D61" s="113">
        <f>IF(12440.84023="","-",12440.84023/3828107.2484*100)</f>
        <v>0.32498672118446492</v>
      </c>
      <c r="E61" s="113">
        <f>IF(11488.21222="","-",11488.21222/5111753.23542*100)</f>
        <v>0.22474113461496323</v>
      </c>
      <c r="F61" s="113">
        <f>IF(OR(2890255.78537="",9466.972="",12440.84023=""),"-",(12440.84023-9466.972)/2890255.78537*100)</f>
        <v>0.10289290813128832</v>
      </c>
      <c r="G61" s="113">
        <f>IF(OR(3828107.2484="",11488.21222="",12440.84023=""),"-",(11488.21222-12440.84023)/3828107.2484*100)</f>
        <v>-2.4885091983725429E-2</v>
      </c>
    </row>
    <row r="62" spans="1:7" s="29" customFormat="1" x14ac:dyDescent="0.2">
      <c r="A62" s="25" t="s">
        <v>71</v>
      </c>
      <c r="B62" s="99">
        <v>10655.652819999999</v>
      </c>
      <c r="C62" s="113">
        <f>IF(OR(6882.26124="",10655.65282=""),"-",10655.65282/6882.26124*100)</f>
        <v>154.82778767636549</v>
      </c>
      <c r="D62" s="113">
        <f>IF(6882.26124="","-",6882.26124/3828107.2484*100)</f>
        <v>0.179782351784332</v>
      </c>
      <c r="E62" s="113">
        <f>IF(10655.65282="","-",10655.65282/5111753.23542*100)</f>
        <v>0.20845397516776831</v>
      </c>
      <c r="F62" s="113">
        <f>IF(OR(2890255.78537="",5209.94594="",6882.26124=""),"-",(6882.26124-5209.94594)/2890255.78537*100)</f>
        <v>5.7860460256320065E-2</v>
      </c>
      <c r="G62" s="113">
        <f>IF(OR(3828107.2484="",10655.65282="",6882.26124=""),"-",(10655.65282-6882.26124)/3828107.2484*100)</f>
        <v>9.8570686115890052E-2</v>
      </c>
    </row>
    <row r="63" spans="1:7" s="29" customFormat="1" x14ac:dyDescent="0.2">
      <c r="A63" s="25" t="s">
        <v>75</v>
      </c>
      <c r="B63" s="99">
        <v>8577.8243000000002</v>
      </c>
      <c r="C63" s="113">
        <f>IF(OR(7167.72366="",8577.8243=""),"-",8577.8243/7167.72366*100)</f>
        <v>119.67292137487344</v>
      </c>
      <c r="D63" s="113">
        <f>IF(7167.72366="","-",7167.72366/3828107.2484*100)</f>
        <v>0.18723936386567616</v>
      </c>
      <c r="E63" s="113">
        <f>IF(8577.8243="","-",8577.8243/5111753.23542*100)</f>
        <v>0.16780591521052202</v>
      </c>
      <c r="F63" s="113">
        <f>IF(OR(2890255.78537="",4628.78344="",7167.72366=""),"-",(7167.72366-4628.78344)/2890255.78537*100)</f>
        <v>8.7844827881729287E-2</v>
      </c>
      <c r="G63" s="113">
        <f>IF(OR(3828107.2484="",8577.8243="",7167.72366=""),"-",(8577.8243-7167.72366)/3828107.2484*100)</f>
        <v>3.6835452836107653E-2</v>
      </c>
    </row>
    <row r="64" spans="1:7" s="29" customFormat="1" x14ac:dyDescent="0.2">
      <c r="A64" s="25" t="s">
        <v>79</v>
      </c>
      <c r="B64" s="99">
        <v>8012.9628700000003</v>
      </c>
      <c r="C64" s="113">
        <f>IF(OR(7623.8361="",8012.96287=""),"-",8012.96287/7623.8361*100)</f>
        <v>105.10408100195123</v>
      </c>
      <c r="D64" s="113">
        <f>IF(7623.8361="","-",7623.8361/3828107.2484*100)</f>
        <v>0.19915419305941515</v>
      </c>
      <c r="E64" s="113">
        <f>IF(8012.96287="","-",8012.96287/5111753.23542*100)</f>
        <v>0.15675566681265332</v>
      </c>
      <c r="F64" s="113">
        <f>IF(OR(2890255.78537="",5533.61961="",7623.8361=""),"-",(7623.8361-5533.61961)/2890255.78537*100)</f>
        <v>7.2319429324571652E-2</v>
      </c>
      <c r="G64" s="113">
        <f>IF(OR(3828107.2484="",8012.96287="",7623.8361=""),"-",(8012.96287-7623.8361)/3828107.2484*100)</f>
        <v>1.0164991332534888E-2</v>
      </c>
    </row>
    <row r="65" spans="1:7" s="29" customFormat="1" x14ac:dyDescent="0.2">
      <c r="A65" s="25" t="s">
        <v>68</v>
      </c>
      <c r="B65" s="26">
        <v>7563.4212699999998</v>
      </c>
      <c r="C65" s="113">
        <f>IF(OR(6992.38956="",7563.42127=""),"-",7563.42127/6992.38956*100)</f>
        <v>108.16647449487927</v>
      </c>
      <c r="D65" s="113">
        <f>IF(6992.38956="","-",6992.38956/3828107.2484*100)</f>
        <v>0.18265918654506208</v>
      </c>
      <c r="E65" s="113">
        <f>IF(7563.42127="","-",7563.42127/5111753.23542*100)</f>
        <v>0.14796139253342816</v>
      </c>
      <c r="F65" s="113">
        <f>IF(OR(2890255.78537="",5381.70562="",6992.38956=""),"-",(6992.38956-5381.70562)/2890255.78537*100)</f>
        <v>5.5728075976978146E-2</v>
      </c>
      <c r="G65" s="113">
        <f>IF(OR(3828107.2484="",7563.42127="",6992.38956=""),"-",(7563.42127-6992.38956)/3828107.2484*100)</f>
        <v>1.4916815881756428E-2</v>
      </c>
    </row>
    <row r="66" spans="1:7" s="29" customFormat="1" x14ac:dyDescent="0.2">
      <c r="A66" s="25" t="s">
        <v>59</v>
      </c>
      <c r="B66" s="99">
        <v>7209.49622</v>
      </c>
      <c r="C66" s="113">
        <f>IF(OR(9153.2938="",7209.49622=""),"-",7209.49622/9153.2938*100)</f>
        <v>78.763955113076349</v>
      </c>
      <c r="D66" s="113">
        <f>IF(9153.2938="","-",9153.2938/3828107.2484*100)</f>
        <v>0.23910755906396616</v>
      </c>
      <c r="E66" s="113">
        <f>IF(7209.49622="","-",7209.49622/5111753.23542*100)</f>
        <v>0.14103764184163795</v>
      </c>
      <c r="F66" s="113">
        <f>IF(OR(2890255.78537="",6350.45007="",9153.2938=""),"-",(9153.2938-6350.45007)/2890255.78537*100)</f>
        <v>9.6975629084025503E-2</v>
      </c>
      <c r="G66" s="113">
        <f>IF(OR(3828107.2484="",7209.49622="",9153.2938=""),"-",(7209.49622-9153.2938)/3828107.2484*100)</f>
        <v>-5.0776988570851327E-2</v>
      </c>
    </row>
    <row r="67" spans="1:7" s="29" customFormat="1" x14ac:dyDescent="0.2">
      <c r="A67" s="25" t="s">
        <v>80</v>
      </c>
      <c r="B67" s="26">
        <v>6536.0904099999998</v>
      </c>
      <c r="C67" s="113">
        <f>IF(OR(5657.13028="",6536.09041=""),"-",6536.09041/5657.13028*100)</f>
        <v>115.53720855797577</v>
      </c>
      <c r="D67" s="113">
        <f>IF(5657.13028="","-",5657.13028/3828107.2484*100)</f>
        <v>0.1477787823829769</v>
      </c>
      <c r="E67" s="113">
        <f>IF(6536.09041="","-",6536.09041/5111753.23542*100)</f>
        <v>0.12786396582508294</v>
      </c>
      <c r="F67" s="113">
        <f>IF(OR(2890255.78537="",5373.91575="",5657.13028=""),"-",(5657.13028-5373.91575)/2890255.78537*100)</f>
        <v>9.7989434510808906E-3</v>
      </c>
      <c r="G67" s="113">
        <f>IF(OR(3828107.2484="",6536.09041="",5657.13028=""),"-",(6536.09041-5657.13028)/3828107.2484*100)</f>
        <v>2.2960697623280294E-2</v>
      </c>
    </row>
    <row r="68" spans="1:7" s="29" customFormat="1" x14ac:dyDescent="0.2">
      <c r="A68" s="25" t="s">
        <v>81</v>
      </c>
      <c r="B68" s="99">
        <v>6424.0896400000001</v>
      </c>
      <c r="C68" s="113">
        <f>IF(OR(4599.42427="",6424.08964=""),"-",6424.08964/4599.42427*100)</f>
        <v>139.67160372443743</v>
      </c>
      <c r="D68" s="113">
        <f>IF(4599.42427="","-",4599.42427/3828107.2484*100)</f>
        <v>0.12014878297681919</v>
      </c>
      <c r="E68" s="113">
        <f>IF(6424.08964="","-",6424.08964/5111753.23542*100)</f>
        <v>0.12567292167952576</v>
      </c>
      <c r="F68" s="113">
        <f>IF(OR(2890255.78537="",3731.68997="",4599.42427=""),"-",(4599.42427-3731.68997)/2890255.78537*100)</f>
        <v>3.0022751079414111E-2</v>
      </c>
      <c r="G68" s="113">
        <f>IF(OR(3828107.2484="",6424.08964="",4599.42427=""),"-",(6424.08964-4599.42427)/3828107.2484*100)</f>
        <v>4.7664949062298054E-2</v>
      </c>
    </row>
    <row r="69" spans="1:7" s="29" customFormat="1" x14ac:dyDescent="0.2">
      <c r="A69" s="25" t="s">
        <v>63</v>
      </c>
      <c r="B69" s="26">
        <v>5708.9088300000003</v>
      </c>
      <c r="C69" s="113">
        <f>IF(OR(4616.48092="",5708.90883=""),"-",5708.90883/4616.48092*100)</f>
        <v>123.66365049332859</v>
      </c>
      <c r="D69" s="113">
        <f>IF(4616.48092="","-",4616.48092/3828107.2484*100)</f>
        <v>0.12059434651235305</v>
      </c>
      <c r="E69" s="113">
        <f>IF(5708.90883="","-",5708.90883/5111753.23542*100)</f>
        <v>0.11168201137805778</v>
      </c>
      <c r="F69" s="113">
        <f>IF(OR(2890255.78537="",3460.13276="",4616.48092=""),"-",(4616.48092-3460.13276)/2890255.78537*100)</f>
        <v>4.0008506024042725E-2</v>
      </c>
      <c r="G69" s="113">
        <f>IF(OR(3828107.2484="",5708.90883="",4616.48092=""),"-",(5708.90883-4616.48092)/3828107.2484*100)</f>
        <v>2.8537024673396829E-2</v>
      </c>
    </row>
    <row r="70" spans="1:7" s="29" customFormat="1" x14ac:dyDescent="0.2">
      <c r="A70" s="25" t="s">
        <v>66</v>
      </c>
      <c r="B70" s="26">
        <v>5029.7505099999998</v>
      </c>
      <c r="C70" s="113">
        <f>IF(OR(3930.73143="",5029.75051=""),"-",5029.75051/3930.73143*100)</f>
        <v>127.95965838856611</v>
      </c>
      <c r="D70" s="113">
        <f>IF(3930.73143="","-",3930.73143/3828107.2484*100)</f>
        <v>0.10268080737923142</v>
      </c>
      <c r="E70" s="113">
        <f>IF(5029.75051="","-",5029.75051/5111753.23542*100)</f>
        <v>9.8395800390914959E-2</v>
      </c>
      <c r="F70" s="113">
        <f>IF(OR(2890255.78537="",2699.54776="",3930.73143=""),"-",(3930.73143-2699.54776)/2890255.78537*100)</f>
        <v>4.259774087234941E-2</v>
      </c>
      <c r="G70" s="113">
        <f>IF(OR(3828107.2484="",5029.75051="",3930.73143=""),"-",(5029.75051-3930.73143)/3828107.2484*100)</f>
        <v>2.8709202973854698E-2</v>
      </c>
    </row>
    <row r="71" spans="1:7" s="29" customFormat="1" x14ac:dyDescent="0.2">
      <c r="A71" s="25" t="s">
        <v>72</v>
      </c>
      <c r="B71" s="26">
        <v>4014.7309700000001</v>
      </c>
      <c r="C71" s="113">
        <f>IF(OR(2770.78839="",4014.73097=""),"-",4014.73097/2770.78839*100)</f>
        <v>144.89489650272427</v>
      </c>
      <c r="D71" s="113">
        <f>IF(2770.78839="","-",2770.78839/3828107.2484*100)</f>
        <v>7.2380113988658026E-2</v>
      </c>
      <c r="E71" s="113">
        <f>IF(4014.73097="","-",4014.73097/5111753.23542*100)</f>
        <v>7.8539217076861415E-2</v>
      </c>
      <c r="F71" s="113">
        <f>IF(OR(2890255.78537="",3098.48579="",2770.78839=""),"-",(2770.78839-3098.48579)/2890255.78537*100)</f>
        <v>-1.1338006887098035E-2</v>
      </c>
      <c r="G71" s="113">
        <f>IF(OR(3828107.2484="",4014.73097="",2770.78839=""),"-",(4014.73097-2770.78839)/3828107.2484*100)</f>
        <v>3.2494977263761868E-2</v>
      </c>
    </row>
    <row r="72" spans="1:7" s="29" customFormat="1" x14ac:dyDescent="0.2">
      <c r="A72" s="25" t="s">
        <v>61</v>
      </c>
      <c r="B72" s="26">
        <v>3781.8418099999999</v>
      </c>
      <c r="C72" s="113">
        <f>IF(OR(4587.07578="",3781.84181=""),"-",3781.84181/4587.07578*100)</f>
        <v>82.445592603660884</v>
      </c>
      <c r="D72" s="113">
        <f>IF(4587.07578="","-",4587.07578/3828107.2484*100)</f>
        <v>0.11982620868099293</v>
      </c>
      <c r="E72" s="113">
        <f>IF(3781.84181="","-",3781.84181/5111753.23542*100)</f>
        <v>7.3983262411712852E-2</v>
      </c>
      <c r="F72" s="113">
        <f>IF(OR(2890255.78537="",4965.76116="",4587.07578=""),"-",(4587.07578-4965.76116)/2890255.78537*100)</f>
        <v>-1.3102140714217858E-2</v>
      </c>
      <c r="G72" s="113">
        <f>IF(OR(3828107.2484="",3781.84181="",4587.07578=""),"-",(3781.84181-4587.07578)/3828107.2484*100)</f>
        <v>-2.1034780839448968E-2</v>
      </c>
    </row>
    <row r="73" spans="1:7" s="29" customFormat="1" x14ac:dyDescent="0.2">
      <c r="A73" s="25" t="s">
        <v>78</v>
      </c>
      <c r="B73" s="26">
        <v>3422.8163399999999</v>
      </c>
      <c r="C73" s="113">
        <f>IF(OR(13600.12991="",3422.81634=""),"-",3422.81634/13600.12991*100)</f>
        <v>25.167526800484808</v>
      </c>
      <c r="D73" s="113">
        <f>IF(13600.12991="","-",13600.12991/3828107.2484*100)</f>
        <v>0.35527034713262867</v>
      </c>
      <c r="E73" s="113">
        <f>IF(3422.81634="","-",3422.81634/5111753.23542*100)</f>
        <v>6.6959733429283366E-2</v>
      </c>
      <c r="F73" s="113">
        <f>IF(OR(2890255.78537="",2938.81672="",13600.12991=""),"-",(13600.12991-2938.81672)/2890255.78537*100)</f>
        <v>0.36887092291159201</v>
      </c>
      <c r="G73" s="113">
        <f>IF(OR(3828107.2484="",3422.81634="",13600.12991=""),"-",(3422.81634-13600.12991)/3828107.2484*100)</f>
        <v>-0.26585758730384901</v>
      </c>
    </row>
    <row r="74" spans="1:7" s="29" customFormat="1" x14ac:dyDescent="0.2">
      <c r="A74" s="25" t="s">
        <v>82</v>
      </c>
      <c r="B74" s="99">
        <v>3375.8880899999999</v>
      </c>
      <c r="C74" s="113">
        <f>IF(OR(4356.28917="",3375.88809=""),"-",3375.88809/4356.28917*100)</f>
        <v>77.494582160623651</v>
      </c>
      <c r="D74" s="113">
        <f>IF(4356.28917="","-",4356.28917/3828107.2484*100)</f>
        <v>0.11379746927991005</v>
      </c>
      <c r="E74" s="113">
        <f>IF(3375.88809="","-",3375.88809/5111753.23542*100)</f>
        <v>6.6041687353138145E-2</v>
      </c>
      <c r="F74" s="113">
        <f>IF(OR(2890255.78537="",2464.72458="",4356.28917=""),"-",(4356.28917-2464.72458)/2890255.78537*100)</f>
        <v>6.5446269481572852E-2</v>
      </c>
      <c r="G74" s="113">
        <f>IF(OR(3828107.2484="",3375.88809="",4356.28917=""),"-",(3375.88809-4356.28917)/3828107.2484*100)</f>
        <v>-2.5610595952079703E-2</v>
      </c>
    </row>
    <row r="75" spans="1:7" s="29" customFormat="1" x14ac:dyDescent="0.2">
      <c r="A75" s="25" t="s">
        <v>70</v>
      </c>
      <c r="B75" s="99">
        <v>3173.9062100000001</v>
      </c>
      <c r="C75" s="113">
        <f>IF(OR(2960.42734="",3173.90621=""),"-",3173.90621/2960.42734*100)</f>
        <v>107.21108291075301</v>
      </c>
      <c r="D75" s="113">
        <f>IF(2960.42734="","-",2960.42734/3828107.2484*100)</f>
        <v>7.7333970756366457E-2</v>
      </c>
      <c r="E75" s="113">
        <f>IF(3173.90621="","-",3173.90621/5111753.23542*100)</f>
        <v>6.2090364378460071E-2</v>
      </c>
      <c r="F75" s="113">
        <f>IF(OR(2890255.78537="",1165.99132="",2960.42734=""),"-",(2960.42734-1165.99132)/2890255.78537*100)</f>
        <v>6.2085716741166662E-2</v>
      </c>
      <c r="G75" s="113">
        <f>IF(OR(3828107.2484="",3173.90621="",2960.42734=""),"-",(3173.90621-2960.42734)/3828107.2484*100)</f>
        <v>5.5766167494190715E-3</v>
      </c>
    </row>
    <row r="76" spans="1:7" s="29" customFormat="1" x14ac:dyDescent="0.2">
      <c r="A76" s="25" t="s">
        <v>37</v>
      </c>
      <c r="B76" s="26">
        <v>3147.17164</v>
      </c>
      <c r="C76" s="113">
        <f>IF(OR(2753.07775="",3147.17164=""),"-",3147.17164/2753.07775*100)</f>
        <v>114.31466619495218</v>
      </c>
      <c r="D76" s="113">
        <f>IF(2753.07775="","-",2753.07775/3828107.2484*100)</f>
        <v>7.1917466553495318E-2</v>
      </c>
      <c r="E76" s="113">
        <f>IF(3147.17164="","-",3147.17164/5111753.23542*100)</f>
        <v>6.1567362410862095E-2</v>
      </c>
      <c r="F76" s="113">
        <f>IF(OR(2890255.78537="",2133.66966="",2753.07775=""),"-",(2753.07775-2133.66966)/2890255.78537*100)</f>
        <v>2.1430909095843415E-2</v>
      </c>
      <c r="G76" s="113">
        <f>IF(OR(3828107.2484="",3147.17164="",2753.07775=""),"-",(3147.17164-2753.07775)/3828107.2484*100)</f>
        <v>1.0294745272999235E-2</v>
      </c>
    </row>
    <row r="77" spans="1:7" s="29" customFormat="1" x14ac:dyDescent="0.2">
      <c r="A77" s="25" t="s">
        <v>122</v>
      </c>
      <c r="B77" s="99">
        <v>2951.67038</v>
      </c>
      <c r="C77" s="113">
        <f>IF(OR(3300.09347="",2951.67038=""),"-",2951.67038/3300.09347*100)</f>
        <v>89.442023592137843</v>
      </c>
      <c r="D77" s="113">
        <f>IF(3300.09347="","-",3300.09347/3828107.2484*100)</f>
        <v>8.6206923052621121E-2</v>
      </c>
      <c r="E77" s="113">
        <f>IF(2951.67038="","-",2951.67038/5111753.23542*100)</f>
        <v>5.7742818247709882E-2</v>
      </c>
      <c r="F77" s="113">
        <f>IF(OR(2890255.78537="",2832.30082="",3300.09347=""),"-",(3300.09347-2832.30082)/2890255.78537*100)</f>
        <v>1.618516438468489E-2</v>
      </c>
      <c r="G77" s="113">
        <f>IF(OR(3828107.2484="",2951.67038="",3300.09347=""),"-",(2951.67038-3300.09347)/3828107.2484*100)</f>
        <v>-9.1017065978396261E-3</v>
      </c>
    </row>
    <row r="78" spans="1:7" s="29" customFormat="1" x14ac:dyDescent="0.2">
      <c r="A78" s="25" t="s">
        <v>77</v>
      </c>
      <c r="B78" s="99">
        <v>2927.5800199999999</v>
      </c>
      <c r="C78" s="113">
        <f>IF(OR(1999.46312="",2927.58002=""),"-",2927.58002/1999.46312*100)</f>
        <v>146.41830552993648</v>
      </c>
      <c r="D78" s="113">
        <f>IF(1999.46312="","-",1999.46312/3828107.2484*100)</f>
        <v>5.2231115542431518E-2</v>
      </c>
      <c r="E78" s="113">
        <f>IF(2927.58002="","-",2927.58002/5111753.23542*100)</f>
        <v>5.7271544324839836E-2</v>
      </c>
      <c r="F78" s="113">
        <f>IF(OR(2890255.78537="",2685.80352="",1999.46312=""),"-",(1999.46312-2685.80352)/2890255.78537*100)</f>
        <v>-2.3746701017748752E-2</v>
      </c>
      <c r="G78" s="113">
        <f>IF(OR(3828107.2484="",2927.58002="",1999.46312=""),"-",(2927.58002-1999.46312)/3828107.2484*100)</f>
        <v>2.4244798794179991E-2</v>
      </c>
    </row>
    <row r="79" spans="1:7" s="29" customFormat="1" x14ac:dyDescent="0.2">
      <c r="A79" s="25" t="s">
        <v>87</v>
      </c>
      <c r="B79" s="99">
        <v>2610.50245</v>
      </c>
      <c r="C79" s="113">
        <f>IF(OR(2068.50347="",2610.50245=""),"-",2610.50245/2068.50347*100)</f>
        <v>126.20246897627877</v>
      </c>
      <c r="D79" s="113">
        <f>IF(2068.50347="","-",2068.50347/3828107.2484*100)</f>
        <v>5.4034626925997288E-2</v>
      </c>
      <c r="E79" s="113">
        <f>IF(2610.50245="","-",2610.50245/5111753.23542*100)</f>
        <v>5.1068632028469028E-2</v>
      </c>
      <c r="F79" s="113">
        <f>IF(OR(2890255.78537="",1063.4357="",2068.50347=""),"-",(2068.50347-1063.4357)/2890255.78537*100)</f>
        <v>3.4774353712480673E-2</v>
      </c>
      <c r="G79" s="113">
        <f>IF(OR(3828107.2484="",2610.50245="",2068.50347=""),"-",(2610.50245-2068.50347)/3828107.2484*100)</f>
        <v>1.4158406356732415E-2</v>
      </c>
    </row>
    <row r="80" spans="1:7" s="29" customFormat="1" x14ac:dyDescent="0.2">
      <c r="A80" s="25" t="s">
        <v>85</v>
      </c>
      <c r="B80" s="26">
        <v>2173.4974299999999</v>
      </c>
      <c r="C80" s="113">
        <f>IF(OR(3176.8163="",2173.49743=""),"-",2173.49743/3176.8163*100)</f>
        <v>68.417472864263502</v>
      </c>
      <c r="D80" s="113">
        <f>IF(3176.8163="","-",3176.8163/3828107.2484*100)</f>
        <v>8.2986606535848384E-2</v>
      </c>
      <c r="E80" s="113">
        <f>IF(2173.49743="","-",2173.49743/5111753.23542*100)</f>
        <v>4.2519607850777207E-2</v>
      </c>
      <c r="F80" s="113">
        <f>IF(OR(2890255.78537="",1245.60544="",3176.8163=""),"-",(3176.8163-1245.60544)/2890255.78537*100)</f>
        <v>6.6817991327116175E-2</v>
      </c>
      <c r="G80" s="113">
        <f>IF(OR(3828107.2484="",2173.49743="",3176.8163=""),"-",(2173.49743-3176.8163)/3828107.2484*100)</f>
        <v>-2.6209267528211191E-2</v>
      </c>
    </row>
    <row r="81" spans="1:7" s="29" customFormat="1" x14ac:dyDescent="0.2">
      <c r="A81" s="25" t="s">
        <v>84</v>
      </c>
      <c r="B81" s="26">
        <v>2097.8200299999999</v>
      </c>
      <c r="C81" s="113">
        <f>IF(OR(1997.42295="",2097.82003=""),"-",2097.82003/1997.42295*100)</f>
        <v>105.02633055257526</v>
      </c>
      <c r="D81" s="113">
        <f>IF(1997.42295="","-",1997.42295/3828107.2484*100)</f>
        <v>5.2177821058562175E-2</v>
      </c>
      <c r="E81" s="113">
        <f>IF(2097.82003="","-",2097.82003/5111753.23542*100)</f>
        <v>4.1039149062672538E-2</v>
      </c>
      <c r="F81" s="113">
        <f>IF(OR(2890255.78537="",1345.2171="",1997.42295=""),"-",(1997.42295-1345.2171)/2890255.78537*100)</f>
        <v>2.2565679248921795E-2</v>
      </c>
      <c r="G81" s="113">
        <f>IF(OR(3828107.2484="",2097.82003="",1997.42295=""),"-",(2097.82003-1997.42295)/3828107.2484*100)</f>
        <v>2.6226297615345559E-3</v>
      </c>
    </row>
    <row r="82" spans="1:7" s="29" customFormat="1" x14ac:dyDescent="0.2">
      <c r="A82" s="25" t="s">
        <v>297</v>
      </c>
      <c r="B82" s="26">
        <v>2042.7952399999999</v>
      </c>
      <c r="C82" s="113" t="s">
        <v>100</v>
      </c>
      <c r="D82" s="113">
        <f>IF(1246.01546="","-",1246.01546/3828107.2484*100)</f>
        <v>3.2549126216899649E-2</v>
      </c>
      <c r="E82" s="113">
        <f>IF(2042.79524="","-",2042.79524/5111753.23542*100)</f>
        <v>3.9962712320407164E-2</v>
      </c>
      <c r="F82" s="113">
        <f>IF(OR(2890255.78537="",1097.88616="",1246.01546=""),"-",(1246.01546-1097.88616)/2890255.78537*100)</f>
        <v>5.1251277049528358E-3</v>
      </c>
      <c r="G82" s="113">
        <f>IF(OR(3828107.2484="",2042.79524="",1246.01546=""),"-",(2042.79524-1246.01546)/3828107.2484*100)</f>
        <v>2.081393566841741E-2</v>
      </c>
    </row>
    <row r="83" spans="1:7" s="29" customFormat="1" x14ac:dyDescent="0.2">
      <c r="A83" s="25" t="s">
        <v>36</v>
      </c>
      <c r="B83" s="26">
        <v>1575.4048600000001</v>
      </c>
      <c r="C83" s="113">
        <f>IF(OR(1299.17906="",1575.40486=""),"-",1575.40486/1299.17906*100)</f>
        <v>121.26156497627049</v>
      </c>
      <c r="D83" s="113">
        <f>IF(1299.17906="","-",1299.17906/3828107.2484*100)</f>
        <v>3.3937896085408953E-2</v>
      </c>
      <c r="E83" s="113">
        <f>IF(1575.40486="","-",1575.40486/5111753.23542*100)</f>
        <v>3.0819266647768049E-2</v>
      </c>
      <c r="F83" s="113">
        <f>IF(OR(2890255.78537="",1584.05903="",1299.17906=""),"-",(1299.17906-1584.05903)/2890255.78537*100)</f>
        <v>-9.8565660327371556E-3</v>
      </c>
      <c r="G83" s="113">
        <f>IF(OR(3828107.2484="",1575.40486="",1299.17906=""),"-",(1575.40486-1299.17906)/3828107.2484*100)</f>
        <v>7.2157278277783839E-3</v>
      </c>
    </row>
    <row r="84" spans="1:7" s="29" customFormat="1" x14ac:dyDescent="0.2">
      <c r="A84" s="25" t="s">
        <v>56</v>
      </c>
      <c r="B84" s="26">
        <v>1524.5386800000001</v>
      </c>
      <c r="C84" s="113">
        <f>IF(OR(2354.57616="",1524.53868=""),"-",1524.53868/2354.57616*100)</f>
        <v>64.747902654378365</v>
      </c>
      <c r="D84" s="113">
        <f>IF(2354.57616="","-",2354.57616/3828107.2484*100)</f>
        <v>6.1507580828204893E-2</v>
      </c>
      <c r="E84" s="113">
        <f>IF(1524.53868="","-",1524.53868/5111753.23542*100)</f>
        <v>2.9824183793463941E-2</v>
      </c>
      <c r="F84" s="113">
        <f>IF(OR(2890255.78537="",3335.70785="",2354.57616=""),"-",(2354.57616-3335.70785)/2890255.78537*100)</f>
        <v>-3.3946188948615792E-2</v>
      </c>
      <c r="G84" s="113">
        <f>IF(OR(3828107.2484="",1524.53868="",2354.57616=""),"-",(1524.53868-2354.57616)/3828107.2484*100)</f>
        <v>-2.1682712268495701E-2</v>
      </c>
    </row>
    <row r="85" spans="1:7" s="29" customFormat="1" x14ac:dyDescent="0.2">
      <c r="A85" s="25" t="s">
        <v>86</v>
      </c>
      <c r="B85" s="26">
        <v>1452.1501499999999</v>
      </c>
      <c r="C85" s="113">
        <f>IF(OR(1907.63565="",1452.15015=""),"-",1452.15015/1907.63565*100)</f>
        <v>76.123034815374723</v>
      </c>
      <c r="D85" s="113">
        <f>IF(1907.63565="","-",1907.63565/3828107.2484*100)</f>
        <v>4.983234601897106E-2</v>
      </c>
      <c r="E85" s="113">
        <f>IF(1452.15015="","-",1452.15015/5111753.23542*100)</f>
        <v>2.8408064378731425E-2</v>
      </c>
      <c r="F85" s="113">
        <f>IF(OR(2890255.78537="",659.1386="",1907.63565=""),"-",(1907.63565-659.1386)/2890255.78537*100)</f>
        <v>4.3196766747070861E-2</v>
      </c>
      <c r="G85" s="113">
        <f>IF(OR(3828107.2484="",1452.15015="",1907.63565=""),"-",(1452.15015-1907.63565)/3828107.2484*100)</f>
        <v>-1.1898451909631718E-2</v>
      </c>
    </row>
    <row r="86" spans="1:7" s="29" customFormat="1" x14ac:dyDescent="0.2">
      <c r="A86" s="25" t="s">
        <v>93</v>
      </c>
      <c r="B86" s="99">
        <v>1446.7337199999999</v>
      </c>
      <c r="C86" s="113">
        <f>IF(OR(1104.22391="",1446.73372=""),"-",1446.73372/1104.22391*100)</f>
        <v>131.01814830291079</v>
      </c>
      <c r="D86" s="113">
        <f>IF(1104.22391="","-",1104.22391/3828107.2484*100)</f>
        <v>2.8845166510460818E-2</v>
      </c>
      <c r="E86" s="113">
        <f>IF(1446.73372="","-",1446.73372/5111753.23542*100)</f>
        <v>2.8302104060411105E-2</v>
      </c>
      <c r="F86" s="113">
        <f>IF(OR(2890255.78537="",869.75859="",1104.22391=""),"-",(1104.22391-869.75859)/2890255.78537*100)</f>
        <v>8.1122688582382502E-3</v>
      </c>
      <c r="G86" s="113">
        <f>IF(OR(3828107.2484="",1446.73372="",1104.22391=""),"-",(1446.73372-1104.22391)/3828107.2484*100)</f>
        <v>8.9472365264362912E-3</v>
      </c>
    </row>
    <row r="87" spans="1:7" s="29" customFormat="1" x14ac:dyDescent="0.2">
      <c r="A87" s="25" t="s">
        <v>83</v>
      </c>
      <c r="B87" s="99">
        <v>1414.48578</v>
      </c>
      <c r="C87" s="113">
        <f>IF(OR(1438.25429="",1414.48578=""),"-",1414.48578/1438.25429*100)</f>
        <v>98.347405589869638</v>
      </c>
      <c r="D87" s="113">
        <f>IF(1438.25429="","-",1438.25429/3828107.2484*100)</f>
        <v>3.757089853219589E-2</v>
      </c>
      <c r="E87" s="113">
        <f>IF(1414.48578="","-",1414.48578/5111753.23542*100)</f>
        <v>2.7671245360571101E-2</v>
      </c>
      <c r="F87" s="113">
        <f>IF(OR(2890255.78537="",2740.63807="",1438.25429=""),"-",(1438.25429-2740.63807)/2890255.78537*100)</f>
        <v>-4.5061194465640463E-2</v>
      </c>
      <c r="G87" s="113">
        <f>IF(OR(3828107.2484="",1414.48578="",1438.25429=""),"-",(1414.48578-1438.25429)/3828107.2484*100)</f>
        <v>-6.2089456897881901E-4</v>
      </c>
    </row>
    <row r="88" spans="1:7" x14ac:dyDescent="0.2">
      <c r="A88" s="25" t="s">
        <v>98</v>
      </c>
      <c r="B88" s="26">
        <v>1338.7196799999999</v>
      </c>
      <c r="C88" s="113" t="s">
        <v>347</v>
      </c>
      <c r="D88" s="113">
        <f>IF(528.41134="","-",528.41134/3828107.2484*100)</f>
        <v>1.380346227814948E-2</v>
      </c>
      <c r="E88" s="113">
        <f>IF(1338.71968="","-",1338.71968/5111753.23542*100)</f>
        <v>2.6189051355684344E-2</v>
      </c>
      <c r="F88" s="113">
        <f>IF(OR(2890255.78537="",426.05468="",528.41134=""),"-",(528.41134-426.05468)/2890255.78537*100)</f>
        <v>3.5414394988191899E-3</v>
      </c>
      <c r="G88" s="113">
        <f>IF(OR(3828107.2484="",1338.71968="",528.41134=""),"-",(1338.71968-528.41134)/3828107.2484*100)</f>
        <v>2.1167336425558018E-2</v>
      </c>
    </row>
    <row r="89" spans="1:7" x14ac:dyDescent="0.2">
      <c r="A89" s="25" t="s">
        <v>35</v>
      </c>
      <c r="B89" s="26">
        <v>1207.4854700000001</v>
      </c>
      <c r="C89" s="113">
        <f>IF(OR(1805.0646="",1207.48547=""),"-",1207.48547/1805.0646*100)</f>
        <v>66.89430782698858</v>
      </c>
      <c r="D89" s="113">
        <f>IF(1805.0646="","-",1805.0646/3828107.2484*100)</f>
        <v>4.7152926573685902E-2</v>
      </c>
      <c r="E89" s="113">
        <f>IF(1207.48547="","-",1207.48547/5111753.23542*100)</f>
        <v>2.3621748045918513E-2</v>
      </c>
      <c r="F89" s="113">
        <f>IF(OR(2890255.78537="",2147.83813="",1805.0646=""),"-",(1805.0646-2147.83813)/2890255.78537*100)</f>
        <v>-1.1859626118043374E-2</v>
      </c>
      <c r="G89" s="113">
        <f>IF(OR(3828107.2484="",1207.48547="",1805.0646=""),"-",(1207.48547-1805.0646)/3828107.2484*100)</f>
        <v>-1.5610302722050558E-2</v>
      </c>
    </row>
    <row r="90" spans="1:7" x14ac:dyDescent="0.2">
      <c r="A90" s="25" t="s">
        <v>88</v>
      </c>
      <c r="B90" s="26">
        <v>1103.17362</v>
      </c>
      <c r="C90" s="113" t="s">
        <v>326</v>
      </c>
      <c r="D90" s="113">
        <f>IF(356.13546="","-",356.13546/3828107.2484*100)</f>
        <v>9.3031735239092594E-3</v>
      </c>
      <c r="E90" s="113">
        <f>IF(1103.17362="","-",1103.17362/5111753.23542*100)</f>
        <v>2.1581120394387726E-2</v>
      </c>
      <c r="F90" s="113">
        <f>IF(OR(2890255.78537="",405.82168="",356.13546=""),"-",(356.13546-405.82168)/2890255.78537*100)</f>
        <v>-1.719094214827057E-3</v>
      </c>
      <c r="G90" s="113">
        <f>IF(OR(3828107.2484="",1103.17362="",356.13546=""),"-",(1103.17362-356.13546)/3828107.2484*100)</f>
        <v>1.9514556712386597E-2</v>
      </c>
    </row>
    <row r="91" spans="1:7" x14ac:dyDescent="0.2">
      <c r="A91" s="25" t="s">
        <v>299</v>
      </c>
      <c r="B91" s="99">
        <v>995.08166000000006</v>
      </c>
      <c r="C91" s="113">
        <f>IF(OR(799.1198="",995.08166=""),"-",995.08166/799.1198*100)</f>
        <v>124.52221306492468</v>
      </c>
      <c r="D91" s="113">
        <f>IF(799.1198="","-",799.1198/3828107.2484*100)</f>
        <v>2.087506300493543E-2</v>
      </c>
      <c r="E91" s="113">
        <f>IF(995.08166="","-",995.08166/5111753.23542*100)</f>
        <v>1.9466543359428042E-2</v>
      </c>
      <c r="F91" s="113">
        <f>IF(OR(2890255.78537="",408.58951="",799.1198=""),"-",(799.1198-408.58951)/2890255.78537*100)</f>
        <v>1.3511962919572731E-2</v>
      </c>
      <c r="G91" s="113">
        <f>IF(OR(3828107.2484="",995.08166="",799.1198=""),"-",(995.08166-799.1198)/3828107.2484*100)</f>
        <v>5.1190274275075354E-3</v>
      </c>
    </row>
    <row r="92" spans="1:7" x14ac:dyDescent="0.2">
      <c r="A92" s="25" t="s">
        <v>89</v>
      </c>
      <c r="B92" s="26">
        <v>973.67957999999999</v>
      </c>
      <c r="C92" s="113">
        <f>IF(OR(1437.98505="",973.67958=""),"-",973.67958/1437.98505*100)</f>
        <v>67.711384064806509</v>
      </c>
      <c r="D92" s="113">
        <f>IF(1437.98505="","-",1437.98505/3828107.2484*100)</f>
        <v>3.7563865291418412E-2</v>
      </c>
      <c r="E92" s="113">
        <f>IF(973.67958="","-",973.67958/5111753.23542*100)</f>
        <v>1.9047859612104281E-2</v>
      </c>
      <c r="F92" s="113">
        <f>IF(OR(2890255.78537="",583.99703="",1437.98505=""),"-",(1437.98505-583.99703)/2890255.78537*100)</f>
        <v>2.9547143347061079E-2</v>
      </c>
      <c r="G92" s="113">
        <f>IF(OR(3828107.2484="",973.67958="",1437.98505=""),"-",(973.67958-1437.98505)/3828107.2484*100)</f>
        <v>-1.2128852194359541E-2</v>
      </c>
    </row>
    <row r="93" spans="1:7" x14ac:dyDescent="0.2">
      <c r="A93" s="25" t="s">
        <v>65</v>
      </c>
      <c r="B93" s="99">
        <v>955.90617999999995</v>
      </c>
      <c r="C93" s="113">
        <f>IF(OR(798.91225="",955.90618=""),"-",955.90618/798.91225*100)</f>
        <v>119.6509604152396</v>
      </c>
      <c r="D93" s="113">
        <f>IF(798.91225="","-",798.91225/3828107.2484*100)</f>
        <v>2.0869641265508283E-2</v>
      </c>
      <c r="E93" s="113">
        <f>IF(955.90618="","-",955.90618/5111753.23542*100)</f>
        <v>1.8700162859513685E-2</v>
      </c>
      <c r="F93" s="113">
        <f>IF(OR(2890255.78537="",586.17266="",798.91225=""),"-",(798.91225-586.17266)/2890255.78537*100)</f>
        <v>7.3605800246764616E-3</v>
      </c>
      <c r="G93" s="113">
        <f>IF(OR(3828107.2484="",955.90618="",798.91225=""),"-",(955.90618-798.91225)/3828107.2484*100)</f>
        <v>4.1010849438875398E-3</v>
      </c>
    </row>
    <row r="94" spans="1:7" x14ac:dyDescent="0.2">
      <c r="A94" s="25" t="s">
        <v>134</v>
      </c>
      <c r="B94" s="26">
        <v>881.85036000000002</v>
      </c>
      <c r="C94" s="113">
        <f>IF(OR(757.14243="",881.85036=""),"-",881.85036/757.14243*100)</f>
        <v>116.47086797130099</v>
      </c>
      <c r="D94" s="113">
        <f>IF(757.14243="","-",757.14243/3828107.2484*100)</f>
        <v>1.9778506213911747E-2</v>
      </c>
      <c r="E94" s="113">
        <f>IF(881.85036="","-",881.85036/5111753.23542*100)</f>
        <v>1.7251426651223003E-2</v>
      </c>
      <c r="F94" s="113">
        <f>IF(OR(2890255.78537="",584.07003="",757.14243=""),"-",(757.14243-584.07003)/2890255.78537*100)</f>
        <v>5.9881343677630214E-3</v>
      </c>
      <c r="G94" s="113">
        <f>IF(OR(3828107.2484="",881.85036="",757.14243=""),"-",(881.85036-757.14243)/3828107.2484*100)</f>
        <v>3.2576916451889665E-3</v>
      </c>
    </row>
    <row r="95" spans="1:7" x14ac:dyDescent="0.2">
      <c r="A95" s="25" t="s">
        <v>62</v>
      </c>
      <c r="B95" s="99">
        <v>830.87530000000004</v>
      </c>
      <c r="C95" s="113">
        <f>IF(OR(591.70457="",830.8753=""),"-",830.8753/591.70457*100)</f>
        <v>140.42063254640743</v>
      </c>
      <c r="D95" s="113">
        <f>IF(591.70457="","-",591.70457/3828107.2484*100)</f>
        <v>1.5456844116562028E-2</v>
      </c>
      <c r="E95" s="113">
        <f>IF(830.8753="","-",830.8753/5111753.23542*100)</f>
        <v>1.6254213803646812E-2</v>
      </c>
      <c r="F95" s="113">
        <f>IF(OR(2890255.78537="",426.14642="",591.70457=""),"-",(591.70457-426.14642)/2890255.78537*100)</f>
        <v>5.7281487278056202E-3</v>
      </c>
      <c r="G95" s="113">
        <f>IF(OR(3828107.2484="",830.8753="",591.70457=""),"-",(830.8753-591.70457)/3828107.2484*100)</f>
        <v>6.2477541636265319E-3</v>
      </c>
    </row>
    <row r="96" spans="1:7" x14ac:dyDescent="0.2">
      <c r="A96" s="25" t="s">
        <v>337</v>
      </c>
      <c r="B96" s="26">
        <v>817.72644000000003</v>
      </c>
      <c r="C96" s="113" t="s">
        <v>381</v>
      </c>
      <c r="D96" s="113">
        <f>IF(1.40179="","-",1.40179/3828107.2484*100)</f>
        <v>3.6618357560015952E-5</v>
      </c>
      <c r="E96" s="113">
        <f>IF(817.72644="","-",817.72644/5111753.23542*100)</f>
        <v>1.5996985815627165E-2</v>
      </c>
      <c r="F96" s="113" t="str">
        <f>IF(OR(2890255.78537="",""="",1.40179=""),"-",(1.40179-"")/2890255.78537*100)</f>
        <v>-</v>
      </c>
      <c r="G96" s="113">
        <f>IF(OR(3828107.2484="",817.72644="",1.40179=""),"-",(817.72644-1.40179)/3828107.2484*100)</f>
        <v>2.1324497905360201E-2</v>
      </c>
    </row>
    <row r="97" spans="1:7" x14ac:dyDescent="0.2">
      <c r="A97" s="25" t="s">
        <v>306</v>
      </c>
      <c r="B97" s="99">
        <v>788.55565999999999</v>
      </c>
      <c r="C97" s="113">
        <f>IF(OR(1636.63168="",788.55566=""),"-",788.55566/1636.63168*100)</f>
        <v>48.181620192027566</v>
      </c>
      <c r="D97" s="113">
        <f>IF(1636.63168="","-",1636.63168/3828107.2484*100)</f>
        <v>4.2753025811490743E-2</v>
      </c>
      <c r="E97" s="113">
        <f>IF(788.55566="","-",788.55566/5111753.23542*100)</f>
        <v>1.5426324857311104E-2</v>
      </c>
      <c r="F97" s="113">
        <f>IF(OR(2890255.78537="",874.77124="",1636.63168=""),"-",(1636.63168-874.77124)/2890255.78537*100)</f>
        <v>2.6359619929018474E-2</v>
      </c>
      <c r="G97" s="113">
        <f>IF(OR(3828107.2484="",788.55566="",1636.63168=""),"-",(788.55566-1636.63168)/3828107.2484*100)</f>
        <v>-2.215392529439876E-2</v>
      </c>
    </row>
    <row r="98" spans="1:7" x14ac:dyDescent="0.2">
      <c r="A98" s="25" t="s">
        <v>97</v>
      </c>
      <c r="B98" s="99">
        <v>706.43138999999996</v>
      </c>
      <c r="C98" s="113">
        <f>IF(OR(500.54858="",706.43139=""),"-",706.43139/500.54858*100)</f>
        <v>141.13143423561405</v>
      </c>
      <c r="D98" s="113">
        <f>IF(500.54858="","-",500.54858/3828107.2484*100)</f>
        <v>1.3075615376481676E-2</v>
      </c>
      <c r="E98" s="113">
        <f>IF(706.43139="","-",706.43139/5111753.23542*100)</f>
        <v>1.3819747500819199E-2</v>
      </c>
      <c r="F98" s="113">
        <f>IF(OR(2890255.78537="",220.1529="",500.54858=""),"-",(500.54858-220.1529)/2890255.78537*100)</f>
        <v>9.7014140208391553E-3</v>
      </c>
      <c r="G98" s="113">
        <f>IF(OR(3828107.2484="",706.43139="",500.54858=""),"-",(706.43139-500.54858)/3828107.2484*100)</f>
        <v>5.3781881394793984E-3</v>
      </c>
    </row>
    <row r="99" spans="1:7" x14ac:dyDescent="0.2">
      <c r="A99" s="25" t="s">
        <v>289</v>
      </c>
      <c r="B99" s="26">
        <v>572.88413000000003</v>
      </c>
      <c r="C99" s="113" t="s">
        <v>382</v>
      </c>
      <c r="D99" s="113">
        <f>IF(27.73445="","-",27.73445/3828107.2484*100)</f>
        <v>7.244951146964841E-4</v>
      </c>
      <c r="E99" s="113">
        <f>IF(572.88413="","-",572.88413/5111753.23542*100)</f>
        <v>1.120719454981535E-2</v>
      </c>
      <c r="F99" s="113">
        <f>IF(OR(2890255.78537="",19.10489="",27.73445=""),"-",(27.73445-19.10489)/2890255.78537*100)</f>
        <v>2.9857426611448761E-4</v>
      </c>
      <c r="G99" s="113">
        <f>IF(OR(3828107.2484="",572.88413="",27.73445=""),"-",(572.88413-27.73445)/3828107.2484*100)</f>
        <v>1.4240710738390398E-2</v>
      </c>
    </row>
    <row r="100" spans="1:7" x14ac:dyDescent="0.2">
      <c r="A100" s="25" t="s">
        <v>90</v>
      </c>
      <c r="B100" s="99">
        <v>520.47987000000001</v>
      </c>
      <c r="C100" s="113">
        <f>IF(OR(329.65266="",520.47987=""),"-",520.47987/329.65266*100)</f>
        <v>157.88735634652545</v>
      </c>
      <c r="D100" s="113">
        <f>IF(329.65266="","-",329.65266/3828107.2484*100)</f>
        <v>8.6113747240958837E-3</v>
      </c>
      <c r="E100" s="113">
        <f>IF(520.47987="","-",520.47987/5111753.23542*100)</f>
        <v>1.0182022606129099E-2</v>
      </c>
      <c r="F100" s="113">
        <f>IF(OR(2890255.78537="",483.20144="",329.65266=""),"-",(329.65266-483.20144)/2890255.78537*100)</f>
        <v>-5.3126363686300249E-3</v>
      </c>
      <c r="G100" s="113">
        <f>IF(OR(3828107.2484="",520.47987="",329.65266=""),"-",(520.47987-329.65266)/3828107.2484*100)</f>
        <v>4.9848971728720069E-3</v>
      </c>
    </row>
    <row r="101" spans="1:7" x14ac:dyDescent="0.2">
      <c r="A101" s="25" t="s">
        <v>103</v>
      </c>
      <c r="B101" s="99">
        <v>394.57920000000001</v>
      </c>
      <c r="C101" s="113" t="s">
        <v>195</v>
      </c>
      <c r="D101" s="113">
        <f>IF(216.4014="","-",216.4014/3828107.2484*100)</f>
        <v>5.6529607442541577E-3</v>
      </c>
      <c r="E101" s="113">
        <f>IF(394.5792="","-",394.5792/5111753.23542*100)</f>
        <v>7.719058057535126E-3</v>
      </c>
      <c r="F101" s="113">
        <f>IF(OR(2890255.78537="",154.25169="",216.4014=""),"-",(216.4014-154.25169)/2890255.78537*100)</f>
        <v>2.1503186781803747E-3</v>
      </c>
      <c r="G101" s="113">
        <f>IF(OR(3828107.2484="",394.5792="",216.4014=""),"-",(394.5792-216.4014)/3828107.2484*100)</f>
        <v>4.6544620732470706E-3</v>
      </c>
    </row>
    <row r="102" spans="1:7" x14ac:dyDescent="0.2">
      <c r="A102" s="25" t="s">
        <v>58</v>
      </c>
      <c r="B102" s="99">
        <v>340.60876000000002</v>
      </c>
      <c r="C102" s="113" t="s">
        <v>99</v>
      </c>
      <c r="D102" s="113">
        <f>IF(206.32074="","-",206.32074/3828107.2484*100)</f>
        <v>5.3896279966093958E-3</v>
      </c>
      <c r="E102" s="113">
        <f>IF(340.60876="","-",340.60876/5111753.23542*100)</f>
        <v>6.6632473109202103E-3</v>
      </c>
      <c r="F102" s="113">
        <f>IF(OR(2890255.78537="",108.38257="",206.32074=""),"-",(206.32074-108.38257)/2890255.78537*100)</f>
        <v>3.3885641020336994E-3</v>
      </c>
      <c r="G102" s="113">
        <f>IF(OR(3828107.2484="",340.60876="",206.32074=""),"-",(340.60876-206.32074)/3828107.2484*100)</f>
        <v>3.5079482179117944E-3</v>
      </c>
    </row>
    <row r="103" spans="1:7" x14ac:dyDescent="0.2">
      <c r="A103" s="25" t="s">
        <v>94</v>
      </c>
      <c r="B103" s="99">
        <v>316.92365999999998</v>
      </c>
      <c r="C103" s="113">
        <f>IF(OR(527.88214="",316.92366=""),"-",316.92366/527.88214*100)</f>
        <v>60.036821855727105</v>
      </c>
      <c r="D103" s="113">
        <f>IF(527.88214="","-",527.88214/3828107.2484*100)</f>
        <v>1.3789638214045186E-2</v>
      </c>
      <c r="E103" s="113">
        <f>IF(316.92366="","-",316.92366/5111753.23542*100)</f>
        <v>6.1999013920311123E-3</v>
      </c>
      <c r="F103" s="113">
        <f>IF(OR(2890255.78537="",234.09636="",527.88214=""),"-",(527.88214-234.09636)/2890255.78537*100)</f>
        <v>1.0164698276432673E-2</v>
      </c>
      <c r="G103" s="113">
        <f>IF(OR(3828107.2484="",316.92366="",527.88214=""),"-",(316.92366-527.88214)/3828107.2484*100)</f>
        <v>-5.5107776849296084E-3</v>
      </c>
    </row>
    <row r="104" spans="1:7" x14ac:dyDescent="0.2">
      <c r="A104" s="25" t="s">
        <v>203</v>
      </c>
      <c r="B104" s="99">
        <v>239.66524999999999</v>
      </c>
      <c r="C104" s="113">
        <f>IF(OR(425.66896="",239.66525=""),"-",239.66525/425.66896*100)</f>
        <v>56.303200966309589</v>
      </c>
      <c r="D104" s="113">
        <f>IF(425.66896="","-",425.66896/3828107.2484*100)</f>
        <v>1.1119567252926706E-2</v>
      </c>
      <c r="E104" s="113">
        <f>IF(239.66525="","-",239.66525/5111753.23542*100)</f>
        <v>4.6885136852719816E-3</v>
      </c>
      <c r="F104" s="113">
        <f>IF(OR(2890255.78537="",118.50729="",425.66896=""),"-",(425.66896-118.50729)/2890255.78537*100)</f>
        <v>1.0627490880039126E-2</v>
      </c>
      <c r="G104" s="113">
        <f>IF(OR(3828107.2484="",239.66525="",425.66896=""),"-",(239.66525-425.66896)/3828107.2484*100)</f>
        <v>-4.8588949559274326E-3</v>
      </c>
    </row>
    <row r="105" spans="1:7" x14ac:dyDescent="0.2">
      <c r="A105" s="25" t="s">
        <v>118</v>
      </c>
      <c r="B105" s="26">
        <v>216.15440000000001</v>
      </c>
      <c r="C105" s="113">
        <f>IF(OR(402.74685="",216.1544=""),"-",216.1544/402.74685*100)</f>
        <v>53.670041118881507</v>
      </c>
      <c r="D105" s="113">
        <f>IF(402.74685="","-",402.74685/3828107.2484*100)</f>
        <v>1.0520782827292326E-2</v>
      </c>
      <c r="E105" s="113">
        <f>IF(216.1544="","-",216.1544/5111753.23542*100)</f>
        <v>4.2285765772541251E-3</v>
      </c>
      <c r="F105" s="113">
        <f>IF(OR(2890255.78537="",155.66758="",402.74685=""),"-",(402.74685-155.66758)/2890255.78537*100)</f>
        <v>8.5486990892181466E-3</v>
      </c>
      <c r="G105" s="113">
        <f>IF(OR(3828107.2484="",216.1544="",402.74685=""),"-",(216.1544-402.74685)/3828107.2484*100)</f>
        <v>-4.874274357856311E-3</v>
      </c>
    </row>
    <row r="106" spans="1:7" x14ac:dyDescent="0.2">
      <c r="A106" s="25" t="s">
        <v>339</v>
      </c>
      <c r="B106" s="26">
        <v>190.88651999999999</v>
      </c>
      <c r="C106" s="113" t="s">
        <v>194</v>
      </c>
      <c r="D106" s="113">
        <f>IF(88.31031="","-",88.31031/3828107.2484*100)</f>
        <v>2.3068922647585246E-3</v>
      </c>
      <c r="E106" s="113">
        <f>IF(190.88652="","-",190.88652/5111753.23542*100)</f>
        <v>3.7342671136259588E-3</v>
      </c>
      <c r="F106" s="113">
        <f>IF(OR(2890255.78537="",15.18222="",88.31031=""),"-",(88.31031-15.18222)/2890255.78537*100)</f>
        <v>2.5301598000482301E-3</v>
      </c>
      <c r="G106" s="113">
        <f>IF(OR(3828107.2484="",190.88652="",88.31031=""),"-",(190.88652-88.31031)/3828107.2484*100)</f>
        <v>2.6795542377469404E-3</v>
      </c>
    </row>
    <row r="107" spans="1:7" x14ac:dyDescent="0.2">
      <c r="A107" s="25" t="s">
        <v>202</v>
      </c>
      <c r="B107" s="26">
        <v>185.34322</v>
      </c>
      <c r="C107" s="113" t="s">
        <v>345</v>
      </c>
      <c r="D107" s="113">
        <f>IF(42.34941="","-",42.34941/3828107.2484*100)</f>
        <v>1.1062754320088708E-3</v>
      </c>
      <c r="E107" s="113">
        <f>IF(185.34322="","-",185.34322/5111753.23542*100)</f>
        <v>3.6258248679872265E-3</v>
      </c>
      <c r="F107" s="113">
        <f>IF(OR(2890255.78537="",1.12235="",42.34941=""),"-",(42.34941-1.12235)/2890255.78537*100)</f>
        <v>1.4264156206756718E-3</v>
      </c>
      <c r="G107" s="113">
        <f>IF(OR(3828107.2484="",185.34322="",42.34941=""),"-",(185.34322-42.34941)/3828107.2484*100)</f>
        <v>3.7353658275840066E-3</v>
      </c>
    </row>
    <row r="108" spans="1:7" x14ac:dyDescent="0.2">
      <c r="A108" s="25" t="s">
        <v>125</v>
      </c>
      <c r="B108" s="114">
        <v>184.45770999999999</v>
      </c>
      <c r="C108" s="113" t="s">
        <v>101</v>
      </c>
      <c r="D108" s="113">
        <f>IF(94.62797="","-",94.62797/3828107.2484*100)</f>
        <v>2.471925781064541E-3</v>
      </c>
      <c r="E108" s="113">
        <f>IF(184.45771="","-",184.45771/5111753.23542*100)</f>
        <v>3.6085018486782315E-3</v>
      </c>
      <c r="F108" s="113">
        <f>IF(OR(2890255.78537="",114.65281="",94.62797=""),"-",(94.62797-114.65281)/2890255.78537*100)</f>
        <v>-6.9283971686389995E-4</v>
      </c>
      <c r="G108" s="113">
        <f>IF(OR(3828107.2484="",184.45771="",94.62797=""),"-",(184.45771-94.62797)/3828107.2484*100)</f>
        <v>2.3465836814667439E-3</v>
      </c>
    </row>
    <row r="109" spans="1:7" x14ac:dyDescent="0.2">
      <c r="A109" s="25" t="s">
        <v>338</v>
      </c>
      <c r="B109" s="99">
        <v>175.30394999999999</v>
      </c>
      <c r="C109" s="113" t="s">
        <v>348</v>
      </c>
      <c r="D109" s="113">
        <f>IF(4.89148="","-",4.89148/3828107.2484*100)</f>
        <v>1.2777802926092126E-4</v>
      </c>
      <c r="E109" s="113">
        <f>IF(175.30395="","-",175.30395/5111753.23542*100)</f>
        <v>3.4294290417873894E-3</v>
      </c>
      <c r="F109" s="113">
        <f>IF(OR(2890255.78537="",3.71706="",4.89148=""),"-",(4.89148-3.71706)/2890255.78537*100)</f>
        <v>4.0633773866822466E-5</v>
      </c>
      <c r="G109" s="113">
        <f>IF(OR(3828107.2484="",175.30395="",4.89148=""),"-",(175.30395-4.89148)/3828107.2484*100)</f>
        <v>4.4516116958642094E-3</v>
      </c>
    </row>
    <row r="110" spans="1:7" x14ac:dyDescent="0.2">
      <c r="A110" s="25" t="s">
        <v>314</v>
      </c>
      <c r="B110" s="99">
        <v>115.62730000000001</v>
      </c>
      <c r="C110" s="113">
        <f>IF(OR(106.41492="",115.6273=""),"-",115.6273/106.41492*100)</f>
        <v>108.6570379416721</v>
      </c>
      <c r="D110" s="113">
        <f>IF(106.41492="","-",106.41492/3828107.2484*100)</f>
        <v>2.7798312088690119E-3</v>
      </c>
      <c r="E110" s="113">
        <f>IF(115.6273="","-",115.6273/5111753.23542*100)</f>
        <v>2.2619890803570776E-3</v>
      </c>
      <c r="F110" s="113">
        <f>IF(OR(2890255.78537="",69.24245="",106.41492=""),"-",(106.41492-69.24245)/2890255.78537*100)</f>
        <v>1.2861308050367349E-3</v>
      </c>
      <c r="G110" s="113">
        <f>IF(OR(3828107.2484="",115.6273="",106.41492=""),"-",(115.6273-106.41492)/3828107.2484*100)</f>
        <v>2.4065104246623255E-4</v>
      </c>
    </row>
    <row r="111" spans="1:7" x14ac:dyDescent="0.2">
      <c r="A111" s="25" t="s">
        <v>322</v>
      </c>
      <c r="B111" s="99">
        <v>112.98083</v>
      </c>
      <c r="C111" s="113">
        <f>IF(OR(78.09451="",112.98083=""),"-",112.98083/78.09451*100)</f>
        <v>144.67192380104566</v>
      </c>
      <c r="D111" s="113">
        <f>IF(78.09451="","-",78.09451/3828107.2484*100)</f>
        <v>2.0400293129885652E-3</v>
      </c>
      <c r="E111" s="113">
        <f>IF(112.98083="","-",112.98083/5111753.23542*100)</f>
        <v>2.2102168237922988E-3</v>
      </c>
      <c r="F111" s="113">
        <f>IF(OR(2890255.78537="",338.03759="",78.09451=""),"-",(78.09451-338.03759)/2890255.78537*100)</f>
        <v>-8.993774229803091E-3</v>
      </c>
      <c r="G111" s="113">
        <f>IF(OR(3828107.2484="",112.98083="",78.09451=""),"-",(112.98083-78.09451)/3828107.2484*100)</f>
        <v>9.1132034021724757E-4</v>
      </c>
    </row>
    <row r="112" spans="1:7" x14ac:dyDescent="0.2">
      <c r="A112" s="25" t="s">
        <v>123</v>
      </c>
      <c r="B112" s="26">
        <v>109.19108</v>
      </c>
      <c r="C112" s="113">
        <f>IF(OR(115.61651="",109.19108=""),"-",109.19108/115.61651*100)</f>
        <v>94.442463277952243</v>
      </c>
      <c r="D112" s="113">
        <f>IF(115.61651="","-",115.61651/3828107.2484*100)</f>
        <v>3.0202003888037151E-3</v>
      </c>
      <c r="E112" s="113">
        <f>IF(109.19108="","-",109.19108/5111753.23542*100)</f>
        <v>2.1360788553602484E-3</v>
      </c>
      <c r="F112" s="113">
        <f>IF(OR(2890255.78537="",1019.13798="",115.61651=""),"-",(115.61651-1019.13798)/2890255.78537*100)</f>
        <v>-3.1260951870539525E-2</v>
      </c>
      <c r="G112" s="113">
        <f>IF(OR(3828107.2484="",109.19108="",115.61651=""),"-",(109.19108-115.61651)/3828107.2484*100)</f>
        <v>-1.678487456871953E-4</v>
      </c>
    </row>
    <row r="113" spans="1:7" x14ac:dyDescent="0.2">
      <c r="A113" s="25" t="s">
        <v>323</v>
      </c>
      <c r="B113" s="99">
        <v>105.48677000000001</v>
      </c>
      <c r="C113" s="113" t="s">
        <v>195</v>
      </c>
      <c r="D113" s="113">
        <f>IF(59.60788="","-",59.60788/3828107.2484*100)</f>
        <v>1.5571110246431518E-3</v>
      </c>
      <c r="E113" s="113">
        <f>IF(105.48677="","-",105.48677/5111753.23542*100)</f>
        <v>2.0636123291137868E-3</v>
      </c>
      <c r="F113" s="113">
        <f>IF(OR(2890255.78537="",62.4447="",59.60788=""),"-",(59.60788-62.4447)/2890255.78537*100)</f>
        <v>-9.8151174520937296E-5</v>
      </c>
      <c r="G113" s="113">
        <f>IF(OR(3828107.2484="",105.48677="",59.60788=""),"-",(105.48677-59.60788)/3828107.2484*100)</f>
        <v>1.19847452077461E-3</v>
      </c>
    </row>
    <row r="114" spans="1:7" x14ac:dyDescent="0.2">
      <c r="A114" s="25" t="s">
        <v>324</v>
      </c>
      <c r="B114" s="114">
        <v>100.91819</v>
      </c>
      <c r="C114" s="113" t="s">
        <v>383</v>
      </c>
      <c r="D114" s="113">
        <f>IF(2.93852="","-",2.93852/3828107.2484*100)</f>
        <v>7.6761694731206583E-5</v>
      </c>
      <c r="E114" s="113">
        <f>IF(100.91819="","-",100.91819/5111753.23542*100)</f>
        <v>1.974238296573567E-3</v>
      </c>
      <c r="F114" s="113">
        <f>IF(OR(2890255.78537="",0.37497="",2.93852=""),"-",(2.93852-0.37497)/2890255.78537*100)</f>
        <v>8.8696302001237026E-5</v>
      </c>
      <c r="G114" s="113">
        <f>IF(OR(3828107.2484="",100.91819="",2.93852=""),"-",(100.91819-2.93852)/3828107.2484*100)</f>
        <v>2.559480799315424E-3</v>
      </c>
    </row>
    <row r="115" spans="1:7" x14ac:dyDescent="0.2">
      <c r="A115" s="25" t="s">
        <v>287</v>
      </c>
      <c r="B115" s="99">
        <v>95.437610000000006</v>
      </c>
      <c r="C115" s="113" t="s">
        <v>379</v>
      </c>
      <c r="D115" s="113">
        <f>IF(10.63438="","-",10.63438/3828107.2484*100)</f>
        <v>2.7779733716825093E-4</v>
      </c>
      <c r="E115" s="113">
        <f>IF(95.43761="","-",95.43761/5111753.23542*100)</f>
        <v>1.8670230272208848E-3</v>
      </c>
      <c r="F115" s="113">
        <f>IF(OR(2890255.78537="",80.51796="",10.63438=""),"-",(10.63438-80.51796)/2890255.78537*100)</f>
        <v>-2.4179029535634595E-3</v>
      </c>
      <c r="G115" s="113">
        <f>IF(OR(3828107.2484="",95.43761="",10.63438=""),"-",(95.43761-10.63438)/3828107.2484*100)</f>
        <v>2.2152783215633387E-3</v>
      </c>
    </row>
    <row r="116" spans="1:7" x14ac:dyDescent="0.2">
      <c r="A116" s="25" t="s">
        <v>126</v>
      </c>
      <c r="B116" s="26">
        <v>85.403049999999993</v>
      </c>
      <c r="C116" s="113">
        <f>IF(OR(207.3139="",85.40305=""),"-",85.40305/207.3139*100)</f>
        <v>41.19504287942101</v>
      </c>
      <c r="D116" s="113">
        <f>IF(207.3139="","-",207.3139/3828107.2484*100)</f>
        <v>5.4155718883437537E-3</v>
      </c>
      <c r="E116" s="113">
        <f>IF(85.40305="","-",85.40305/5111753.23542*100)</f>
        <v>1.6707193416190596E-3</v>
      </c>
      <c r="F116" s="113">
        <f>IF(OR(2890255.78537="",68.68197="",207.3139=""),"-",(207.3139-68.68197)/2890255.78537*100)</f>
        <v>4.7965280686135823E-3</v>
      </c>
      <c r="G116" s="113">
        <f>IF(OR(3828107.2484="",85.40305="",207.3139=""),"-",(85.40305-207.3139)/3828107.2484*100)</f>
        <v>-3.1846247267746743E-3</v>
      </c>
    </row>
    <row r="117" spans="1:7" x14ac:dyDescent="0.2">
      <c r="A117" s="25" t="s">
        <v>311</v>
      </c>
      <c r="B117" s="99">
        <v>80.316130000000001</v>
      </c>
      <c r="C117" s="113" t="s">
        <v>342</v>
      </c>
      <c r="D117" s="113">
        <f>IF(30.41065="","-",30.41065/3828107.2484*100)</f>
        <v>7.9440433683540274E-4</v>
      </c>
      <c r="E117" s="113">
        <f>IF(80.31613="","-",80.31613/5111753.23542*100)</f>
        <v>1.5712051482352305E-3</v>
      </c>
      <c r="F117" s="113">
        <f>IF(OR(2890255.78537="",83.10008="",30.41065=""),"-",(30.41065-83.10008)/2890255.78537*100)</f>
        <v>-1.8230023192654864E-3</v>
      </c>
      <c r="G117" s="113">
        <f>IF(OR(3828107.2484="",80.31613="",30.41065=""),"-",(80.31613-30.41065)/3828107.2484*100)</f>
        <v>1.3036594003696879E-3</v>
      </c>
    </row>
    <row r="118" spans="1:7" x14ac:dyDescent="0.2">
      <c r="A118" s="25" t="s">
        <v>325</v>
      </c>
      <c r="B118" s="26">
        <v>80.195539999999994</v>
      </c>
      <c r="C118" s="113" t="s">
        <v>194</v>
      </c>
      <c r="D118" s="113">
        <f>IF(35.99658="","-",35.99658/3828107.2484*100)</f>
        <v>9.4032318491194759E-4</v>
      </c>
      <c r="E118" s="113">
        <f>IF(80.19554="","-",80.19554/5111753.23542*100)</f>
        <v>1.5688460750474947E-3</v>
      </c>
      <c r="F118" s="113">
        <f>IF(OR(2890255.78537="",45.34095="",35.99658=""),"-",(35.99658-45.34095)/2890255.78537*100)</f>
        <v>-3.2330598721745196E-4</v>
      </c>
      <c r="G118" s="113">
        <f>IF(OR(3828107.2484="",80.19554="",35.99658=""),"-",(80.19554-35.99658)/3828107.2484*100)</f>
        <v>1.1545904315631032E-3</v>
      </c>
    </row>
    <row r="119" spans="1:7" x14ac:dyDescent="0.2">
      <c r="A119" s="115" t="s">
        <v>288</v>
      </c>
      <c r="B119" s="116">
        <v>76.833190000000002</v>
      </c>
      <c r="C119" s="117">
        <f>IF(OR(77.90929="",76.83319=""),"-",76.83319/77.90929*100)</f>
        <v>98.618778325408954</v>
      </c>
      <c r="D119" s="117">
        <f>IF(77.90929="","-",77.90929/3828107.2484*100)</f>
        <v>2.0351908905520623E-3</v>
      </c>
      <c r="E119" s="117">
        <f>IF(76.83319="","-",76.83319/5111753.23542*100)</f>
        <v>1.5030692300953199E-3</v>
      </c>
      <c r="F119" s="117">
        <f>IF(OR(2890255.78537="",0.19287="",77.90929=""),"-",(77.90929-0.19287)/2890255.78537*100)</f>
        <v>2.6889114933490573E-3</v>
      </c>
      <c r="G119" s="117">
        <f>IF(OR(3828107.2484="",76.83319="",77.90929=""),"-",(76.83319-77.90929)/3828107.2484*100)</f>
        <v>-2.8110497699607676E-5</v>
      </c>
    </row>
    <row r="120" spans="1:7" x14ac:dyDescent="0.2">
      <c r="A120" s="32" t="s">
        <v>378</v>
      </c>
      <c r="B120" s="108">
        <v>73.568790000000007</v>
      </c>
      <c r="C120" s="118">
        <f>IF(OR(69.72914="",73.56879=""),"-",73.56879/69.72914*100)</f>
        <v>105.5065213768591</v>
      </c>
      <c r="D120" s="118">
        <f>IF(69.72914="","-",69.72914/3828107.2484*100)</f>
        <v>1.8215043486345393E-3</v>
      </c>
      <c r="E120" s="118">
        <f>IF(73.56879="","-",73.56879/5111753.23542*100)</f>
        <v>1.4392085574521153E-3</v>
      </c>
      <c r="F120" s="118">
        <f>IF(OR(2890255.78537="",35.96393="",69.72914=""),"-",(69.72914-35.96393)/2890255.78537*100)</f>
        <v>1.1682429690449527E-3</v>
      </c>
      <c r="G120" s="118">
        <f>IF(OR(3828107.2484="",73.56879="",69.72914=""),"-",(73.56879-69.72914)/3828107.2484*100)</f>
        <v>1.0030152633797893E-4</v>
      </c>
    </row>
    <row r="121" spans="1:7" x14ac:dyDescent="0.2">
      <c r="A121" s="34" t="s">
        <v>279</v>
      </c>
      <c r="B121" s="35"/>
      <c r="C121" s="35"/>
      <c r="D121" s="35"/>
      <c r="E121" s="35"/>
      <c r="F121" s="29"/>
      <c r="G121" s="29"/>
    </row>
    <row r="122" spans="1:7" ht="13.5" x14ac:dyDescent="0.2">
      <c r="A122" s="36" t="s">
        <v>405</v>
      </c>
      <c r="B122" s="36"/>
      <c r="C122" s="36"/>
      <c r="D122" s="36"/>
      <c r="E122" s="36"/>
      <c r="F122" s="29"/>
      <c r="G122" s="29"/>
    </row>
  </sheetData>
  <mergeCells count="10">
    <mergeCell ref="A122:E122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37"/>
  <sheetViews>
    <sheetView workbookViewId="0">
      <selection sqref="A1:G1"/>
    </sheetView>
  </sheetViews>
  <sheetFormatPr defaultRowHeight="12" x14ac:dyDescent="0.2"/>
  <cols>
    <col min="1" max="1" width="44.125" style="3" customWidth="1"/>
    <col min="2" max="2" width="14.625" style="3" customWidth="1"/>
    <col min="3" max="3" width="14.875" style="3" customWidth="1"/>
    <col min="4" max="4" width="16" style="3" customWidth="1"/>
    <col min="5" max="16384" width="9" style="3"/>
  </cols>
  <sheetData>
    <row r="1" spans="1:4" x14ac:dyDescent="0.2">
      <c r="A1" s="37" t="s">
        <v>413</v>
      </c>
      <c r="B1" s="37"/>
      <c r="C1" s="37"/>
      <c r="D1" s="37"/>
    </row>
    <row r="2" spans="1:4" x14ac:dyDescent="0.2">
      <c r="A2" s="38"/>
    </row>
    <row r="3" spans="1:4" ht="23.25" customHeight="1" x14ac:dyDescent="0.2">
      <c r="A3" s="39"/>
      <c r="B3" s="40" t="s">
        <v>369</v>
      </c>
      <c r="C3" s="41"/>
      <c r="D3" s="42" t="s">
        <v>370</v>
      </c>
    </row>
    <row r="4" spans="1:4" ht="24" customHeight="1" x14ac:dyDescent="0.2">
      <c r="A4" s="43"/>
      <c r="B4" s="44" t="s">
        <v>300</v>
      </c>
      <c r="C4" s="45" t="s">
        <v>301</v>
      </c>
      <c r="D4" s="46"/>
    </row>
    <row r="5" spans="1:4" ht="16.5" customHeight="1" x14ac:dyDescent="0.2">
      <c r="A5" s="24" t="s">
        <v>200</v>
      </c>
      <c r="B5" s="21">
        <f>IF(-2255884.01294="","-",-2255884.01294)</f>
        <v>-2255884.0129399998</v>
      </c>
      <c r="C5" s="21">
        <f>IF(-2482038.82519="","-",-2482038.82519)</f>
        <v>-2482038.8251899998</v>
      </c>
      <c r="D5" s="21">
        <f>IF(-2255884.01294="","-",-2482038.82519/-2255884.01294*100)</f>
        <v>110.0251081594954</v>
      </c>
    </row>
    <row r="6" spans="1:4" x14ac:dyDescent="0.2">
      <c r="A6" s="94" t="s">
        <v>124</v>
      </c>
      <c r="B6" s="109"/>
      <c r="C6" s="109"/>
      <c r="D6" s="109"/>
    </row>
    <row r="7" spans="1:4" x14ac:dyDescent="0.2">
      <c r="A7" s="24" t="s">
        <v>333</v>
      </c>
      <c r="B7" s="20">
        <f>IF(-797887.14732="","-",-797887.14732)</f>
        <v>-797887.14731999999</v>
      </c>
      <c r="C7" s="20">
        <f>IF(-775838.47213="","-",-775838.47213)</f>
        <v>-775838.47213000001</v>
      </c>
      <c r="D7" s="20">
        <f>IF(-797887.14732="","-",-775838.47213/-797887.14732*100)</f>
        <v>97.236617325638264</v>
      </c>
    </row>
    <row r="8" spans="1:4" x14ac:dyDescent="0.2">
      <c r="A8" s="25" t="s">
        <v>4</v>
      </c>
      <c r="B8" s="26">
        <f>IF(-162499.15131="","-",-162499.15131)</f>
        <v>-162499.15130999999</v>
      </c>
      <c r="C8" s="26">
        <f>IF(-190661.54662="","-",-190661.54662)</f>
        <v>-190661.54662000001</v>
      </c>
      <c r="D8" s="26">
        <f>IF(OR(-162499.15131="",-190661.54662="",-162499.15131=0),"-",-190661.54662/-162499.15131*100)</f>
        <v>117.33079531983188</v>
      </c>
    </row>
    <row r="9" spans="1:4" x14ac:dyDescent="0.2">
      <c r="A9" s="25" t="s">
        <v>2</v>
      </c>
      <c r="B9" s="26">
        <f>IF(-43441.78562="","-",-43441.78562)</f>
        <v>-43441.785620000002</v>
      </c>
      <c r="C9" s="26">
        <f>IF(-100619.45168="","-",-100619.45168)</f>
        <v>-100619.45168</v>
      </c>
      <c r="D9" s="26" t="s">
        <v>355</v>
      </c>
    </row>
    <row r="10" spans="1:4" x14ac:dyDescent="0.2">
      <c r="A10" s="25" t="s">
        <v>5</v>
      </c>
      <c r="B10" s="26">
        <f>IF(-86314.00496="","-",-86314.00496)</f>
        <v>-86314.004960000006</v>
      </c>
      <c r="C10" s="26">
        <f>IF(-98835.52802="","-",-98835.52802)</f>
        <v>-98835.528019999998</v>
      </c>
      <c r="D10" s="26">
        <f>IF(OR(-86314.00496="",-98835.52802="",-86314.00496=0),"-",-98835.52802/-86314.00496*100)</f>
        <v>114.50694248957949</v>
      </c>
    </row>
    <row r="11" spans="1:4" x14ac:dyDescent="0.2">
      <c r="A11" s="25" t="s">
        <v>292</v>
      </c>
      <c r="B11" s="26">
        <f>IF(-78300.07912="","-",-78300.07912)</f>
        <v>-78300.079119999995</v>
      </c>
      <c r="C11" s="26">
        <f>IF(-87472.68483="","-",-87472.68483)</f>
        <v>-87472.684829999998</v>
      </c>
      <c r="D11" s="26">
        <f>IF(OR(-78300.07912="",-87472.68483="",-78300.07912=0),"-",-87472.68483/-78300.07912*100)</f>
        <v>111.71468255599382</v>
      </c>
    </row>
    <row r="12" spans="1:4" x14ac:dyDescent="0.2">
      <c r="A12" s="25" t="s">
        <v>40</v>
      </c>
      <c r="B12" s="26">
        <f>IF(-49991.77488="","-",-49991.77488)</f>
        <v>-49991.774879999997</v>
      </c>
      <c r="C12" s="26">
        <f>IF(-74346.1946="","-",-74346.1946)</f>
        <v>-74346.194600000003</v>
      </c>
      <c r="D12" s="26">
        <f>IF(OR(-49991.77488="",-74346.1946="",-49991.77488=0),"-",-74346.1946/-49991.77488*100)</f>
        <v>148.71685347931779</v>
      </c>
    </row>
    <row r="13" spans="1:4" x14ac:dyDescent="0.2">
      <c r="A13" s="25" t="s">
        <v>3</v>
      </c>
      <c r="B13" s="26">
        <f>IF(-140987.86528="","-",-140987.86528)</f>
        <v>-140987.86528</v>
      </c>
      <c r="C13" s="26">
        <f>IF(-47007.60207="","-",-47007.60207)</f>
        <v>-47007.602070000001</v>
      </c>
      <c r="D13" s="26">
        <f>IF(OR(-140987.86528="",-47007.60207="",-140987.86528=0),"-",-47007.60207/-140987.86528*100)</f>
        <v>33.341594311427826</v>
      </c>
    </row>
    <row r="14" spans="1:4" x14ac:dyDescent="0.2">
      <c r="A14" s="25" t="s">
        <v>38</v>
      </c>
      <c r="B14" s="26">
        <f>IF(-33948.90563="","-",-33948.90563)</f>
        <v>-33948.905630000001</v>
      </c>
      <c r="C14" s="26">
        <f>IF(-38006.13016="","-",-38006.13016)</f>
        <v>-38006.130160000001</v>
      </c>
      <c r="D14" s="26">
        <f>IF(OR(-33948.90563="",-38006.13016="",-33948.90563=0),"-",-38006.13016/-33948.90563*100)</f>
        <v>111.95097295394025</v>
      </c>
    </row>
    <row r="15" spans="1:4" x14ac:dyDescent="0.2">
      <c r="A15" s="25" t="s">
        <v>7</v>
      </c>
      <c r="B15" s="26">
        <f>IF(-47390.07775="","-",-47390.07775)</f>
        <v>-47390.077749999997</v>
      </c>
      <c r="C15" s="26">
        <f>IF(-35523.70957="","-",-35523.70957)</f>
        <v>-35523.709569999999</v>
      </c>
      <c r="D15" s="26">
        <f>IF(OR(-47390.07775="",-35523.70957="",-47390.07775=0),"-",-35523.70957/-47390.07775*100)</f>
        <v>74.960226394648615</v>
      </c>
    </row>
    <row r="16" spans="1:4" x14ac:dyDescent="0.2">
      <c r="A16" s="25" t="s">
        <v>42</v>
      </c>
      <c r="B16" s="26">
        <f>IF(-14687.51844="","-",-14687.51844)</f>
        <v>-14687.51844</v>
      </c>
      <c r="C16" s="26">
        <f>IF(-22237.32643="","-",-22237.32643)</f>
        <v>-22237.326430000001</v>
      </c>
      <c r="D16" s="26">
        <f>IF(OR(-14687.51844="",-22237.32643="",-14687.51844=0),"-",-22237.32643/-14687.51844*100)</f>
        <v>151.4028834812479</v>
      </c>
    </row>
    <row r="17" spans="1:4" x14ac:dyDescent="0.2">
      <c r="A17" s="25" t="s">
        <v>302</v>
      </c>
      <c r="B17" s="26">
        <f>IF(-17437.07547="","-",-17437.07547)</f>
        <v>-17437.07547</v>
      </c>
      <c r="C17" s="26">
        <f>IF(-19060.20947="","-",-19060.20947)</f>
        <v>-19060.209470000002</v>
      </c>
      <c r="D17" s="26">
        <f>IF(OR(-17437.07547="",-19060.20947="",-17437.07547=0),"-",-19060.20947/-17437.07547*100)</f>
        <v>109.30852196397589</v>
      </c>
    </row>
    <row r="18" spans="1:4" x14ac:dyDescent="0.2">
      <c r="A18" s="25" t="s">
        <v>39</v>
      </c>
      <c r="B18" s="26">
        <f>IF(-12998.68174="","-",-12998.68174)</f>
        <v>-12998.68174</v>
      </c>
      <c r="C18" s="26">
        <f>IF(-18789.90867="","-",-18789.90867)</f>
        <v>-18789.908670000001</v>
      </c>
      <c r="D18" s="26">
        <f>IF(OR(-12998.68174="",-18789.90867="",-12998.68174=0),"-",-18789.90867/-12998.68174*100)</f>
        <v>144.55241728227745</v>
      </c>
    </row>
    <row r="19" spans="1:4" x14ac:dyDescent="0.2">
      <c r="A19" s="25" t="s">
        <v>48</v>
      </c>
      <c r="B19" s="26">
        <f>IF(-15046.71579="","-",-15046.71579)</f>
        <v>-15046.71579</v>
      </c>
      <c r="C19" s="26">
        <f>IF(-18486.52439="","-",-18486.52439)</f>
        <v>-18486.524389999999</v>
      </c>
      <c r="D19" s="26">
        <f>IF(OR(-15046.71579="",-18486.52439="",-15046.71579=0),"-",-18486.52439/-15046.71579*100)</f>
        <v>122.86085979165024</v>
      </c>
    </row>
    <row r="20" spans="1:4" x14ac:dyDescent="0.2">
      <c r="A20" s="25" t="s">
        <v>50</v>
      </c>
      <c r="B20" s="26">
        <f>IF(-17358.67154="","-",-17358.67154)</f>
        <v>-17358.671539999999</v>
      </c>
      <c r="C20" s="26">
        <f>IF(-17250.2095="","-",-17250.2095)</f>
        <v>-17250.209500000001</v>
      </c>
      <c r="D20" s="26">
        <f>IF(OR(-17358.67154="",-17250.2095="",-17358.67154=0),"-",-17250.2095/-17358.67154*100)</f>
        <v>99.375170849047606</v>
      </c>
    </row>
    <row r="21" spans="1:4" x14ac:dyDescent="0.2">
      <c r="A21" s="25" t="s">
        <v>8</v>
      </c>
      <c r="B21" s="26">
        <f>IF(-1952.7729="","-",-1952.7729)</f>
        <v>-1952.7728999999999</v>
      </c>
      <c r="C21" s="26">
        <f>IF(-14631.93488="","-",-14631.93488)</f>
        <v>-14631.934880000001</v>
      </c>
      <c r="D21" s="26" t="s">
        <v>385</v>
      </c>
    </row>
    <row r="22" spans="1:4" x14ac:dyDescent="0.2">
      <c r="A22" s="25" t="s">
        <v>47</v>
      </c>
      <c r="B22" s="26">
        <f>IF(-6838.86973="","-",-6838.86973)</f>
        <v>-6838.8697300000003</v>
      </c>
      <c r="C22" s="26">
        <f>IF(-12026.31297="","-",-12026.31297)</f>
        <v>-12026.312970000001</v>
      </c>
      <c r="D22" s="26" t="s">
        <v>195</v>
      </c>
    </row>
    <row r="23" spans="1:4" x14ac:dyDescent="0.2">
      <c r="A23" s="25" t="s">
        <v>46</v>
      </c>
      <c r="B23" s="26">
        <f>IF(-8733.32213="","-",-8733.32213)</f>
        <v>-8733.3221300000005</v>
      </c>
      <c r="C23" s="26">
        <f>IF(-10786.71016="","-",-10786.71016)</f>
        <v>-10786.710160000001</v>
      </c>
      <c r="D23" s="26">
        <f>IF(OR(-8733.32213="",-10786.71016="",-8733.32213=0),"-",-10786.71016/-8733.32213*100)</f>
        <v>123.5121068412943</v>
      </c>
    </row>
    <row r="24" spans="1:4" x14ac:dyDescent="0.2">
      <c r="A24" s="25" t="s">
        <v>43</v>
      </c>
      <c r="B24" s="26">
        <f>IF(-5697.85389="","-",-5697.85389)</f>
        <v>-5697.8538900000003</v>
      </c>
      <c r="C24" s="26">
        <f>IF(-7110.37526="","-",-7110.37526)</f>
        <v>-7110.3752599999998</v>
      </c>
      <c r="D24" s="26">
        <f>IF(OR(-5697.85389="",-7110.37526="",-5697.85389=0),"-",-7110.37526/-5697.85389*100)</f>
        <v>124.79041051717807</v>
      </c>
    </row>
    <row r="25" spans="1:4" x14ac:dyDescent="0.2">
      <c r="A25" s="25" t="s">
        <v>51</v>
      </c>
      <c r="B25" s="26">
        <f>IF(-3563.93179="","-",-3563.93179)</f>
        <v>-3563.9317900000001</v>
      </c>
      <c r="C25" s="26">
        <f>IF(-4611.5025="","-",-4611.5025)</f>
        <v>-4611.5024999999996</v>
      </c>
      <c r="D25" s="26">
        <f>IF(OR(-3563.93179="",-4611.5025="",-3563.93179=0),"-",-4611.5025/-3563.93179*100)</f>
        <v>129.39368011866466</v>
      </c>
    </row>
    <row r="26" spans="1:4" x14ac:dyDescent="0.2">
      <c r="A26" s="25" t="s">
        <v>293</v>
      </c>
      <c r="B26" s="26">
        <f>IF(-4383.51353="","-",-4383.51353)</f>
        <v>-4383.5135300000002</v>
      </c>
      <c r="C26" s="26">
        <f>IF(-3861.99614="","-",-3861.99614)</f>
        <v>-3861.9961400000002</v>
      </c>
      <c r="D26" s="26">
        <f>IF(OR(-4383.51353="",-3861.99614="",-4383.51353=0),"-",-3861.99614/-4383.51353*100)</f>
        <v>88.102753956824216</v>
      </c>
    </row>
    <row r="27" spans="1:4" x14ac:dyDescent="0.2">
      <c r="A27" s="25" t="s">
        <v>327</v>
      </c>
      <c r="B27" s="26">
        <f>IF(-18862.09144="","-",-18862.09144)</f>
        <v>-18862.09144</v>
      </c>
      <c r="C27" s="26">
        <f>IF(-2932.81273="","-",-2932.81273)</f>
        <v>-2932.8127300000001</v>
      </c>
      <c r="D27" s="26">
        <f>IF(OR(-18862.09144="",-2932.81273="",-18862.09144=0),"-",-2932.81273/-18862.09144*100)</f>
        <v>15.548714411279516</v>
      </c>
    </row>
    <row r="28" spans="1:4" x14ac:dyDescent="0.2">
      <c r="A28" s="25" t="s">
        <v>41</v>
      </c>
      <c r="B28" s="26">
        <f>IF(-3489.79579="","-",-3489.79579)</f>
        <v>-3489.7957900000001</v>
      </c>
      <c r="C28" s="26">
        <f>IF(-2638.98184="","-",-2638.98184)</f>
        <v>-2638.9818399999999</v>
      </c>
      <c r="D28" s="26">
        <f>IF(OR(-3489.79579="",-2638.98184="",-3489.79579=0),"-",-2638.98184/-3489.79579*100)</f>
        <v>75.619950243564247</v>
      </c>
    </row>
    <row r="29" spans="1:4" x14ac:dyDescent="0.2">
      <c r="A29" s="25" t="s">
        <v>52</v>
      </c>
      <c r="B29" s="26">
        <f>IF(-1433.53289="","-",-1433.53289)</f>
        <v>-1433.53289</v>
      </c>
      <c r="C29" s="26">
        <f>IF(-1666.01849="","-",-1666.01849)</f>
        <v>-1666.0184899999999</v>
      </c>
      <c r="D29" s="26">
        <f>IF(OR(-1433.53289="",-1666.01849="",-1433.53289=0),"-",-1666.01849/-1433.53289*100)</f>
        <v>116.21766766718551</v>
      </c>
    </row>
    <row r="30" spans="1:4" x14ac:dyDescent="0.2">
      <c r="A30" s="25" t="s">
        <v>49</v>
      </c>
      <c r="B30" s="26">
        <f>IF(203.72599="","-",203.72599)</f>
        <v>203.72599</v>
      </c>
      <c r="C30" s="26">
        <f>IF(-1469.13401="","-",-1469.13401)</f>
        <v>-1469.13401</v>
      </c>
      <c r="D30" s="26" t="s">
        <v>20</v>
      </c>
    </row>
    <row r="31" spans="1:4" x14ac:dyDescent="0.2">
      <c r="A31" s="25" t="s">
        <v>44</v>
      </c>
      <c r="B31" s="26">
        <f>IF(-2140.18262="","-",-2140.18262)</f>
        <v>-2140.18262</v>
      </c>
      <c r="C31" s="26">
        <f>IF(-1278.773="","-",-1278.773)</f>
        <v>-1278.7729999999999</v>
      </c>
      <c r="D31" s="26">
        <f>IF(OR(-2140.18262="",-1278.773="",-2140.18262=0),"-",-1278.773/-2140.18262*100)</f>
        <v>59.750648755385185</v>
      </c>
    </row>
    <row r="32" spans="1:4" x14ac:dyDescent="0.2">
      <c r="A32" s="25" t="s">
        <v>321</v>
      </c>
      <c r="B32" s="26">
        <f>IF(-31.03371="","-",-31.03371)</f>
        <v>-31.033709999999999</v>
      </c>
      <c r="C32" s="26">
        <f>IF(-75.58454="","-",-75.58454)</f>
        <v>-75.584540000000004</v>
      </c>
      <c r="D32" s="26" t="s">
        <v>281</v>
      </c>
    </row>
    <row r="33" spans="1:4" x14ac:dyDescent="0.2">
      <c r="A33" s="25" t="s">
        <v>53</v>
      </c>
      <c r="B33" s="26">
        <f>IF(-68.14103="","-",-68.14103)</f>
        <v>-68.141030000000001</v>
      </c>
      <c r="C33" s="26">
        <f>IF(-31.2922="","-",-31.2922)</f>
        <v>-31.292200000000001</v>
      </c>
      <c r="D33" s="26">
        <f>IF(OR(-68.14103="",-31.2922="",-68.14103=0),"-",-31.2922/-68.14103*100)</f>
        <v>45.922698849723872</v>
      </c>
    </row>
    <row r="34" spans="1:4" x14ac:dyDescent="0.2">
      <c r="A34" s="25" t="s">
        <v>45</v>
      </c>
      <c r="B34" s="26">
        <f>IF(3724.71781="","-",3724.71781)</f>
        <v>3724.7178100000001</v>
      </c>
      <c r="C34" s="26">
        <f>IF(11474.55131="","-",11474.55131)</f>
        <v>11474.551310000001</v>
      </c>
      <c r="D34" s="26" t="s">
        <v>326</v>
      </c>
    </row>
    <row r="35" spans="1:4" x14ac:dyDescent="0.2">
      <c r="A35" s="25" t="s">
        <v>6</v>
      </c>
      <c r="B35" s="26">
        <f>IF(-24218.24214="","-",-24218.24214)</f>
        <v>-24218.242139999998</v>
      </c>
      <c r="C35" s="26">
        <f>IF(44105.43129="","-",44105.43129)</f>
        <v>44105.43129</v>
      </c>
      <c r="D35" s="26" t="s">
        <v>20</v>
      </c>
    </row>
    <row r="36" spans="1:4" x14ac:dyDescent="0.2">
      <c r="A36" s="24" t="s">
        <v>196</v>
      </c>
      <c r="B36" s="20">
        <f>IF(-642261.77678="","-",-642261.77678)</f>
        <v>-642261.77677999996</v>
      </c>
      <c r="C36" s="20">
        <f>IF(-804436.70229="","-",-804436.70229)</f>
        <v>-804436.70229000004</v>
      </c>
      <c r="D36" s="20">
        <f>IF(-642261.77678="","-",-804436.70229/-642261.77678*100)</f>
        <v>125.25059584318863</v>
      </c>
    </row>
    <row r="37" spans="1:4" x14ac:dyDescent="0.2">
      <c r="A37" s="25" t="s">
        <v>294</v>
      </c>
      <c r="B37" s="26">
        <f>IF(-295323.66123="","-",-295323.66123)</f>
        <v>-295323.66123000003</v>
      </c>
      <c r="C37" s="26">
        <f>IF(-595104.14591="","-",-595104.14591)</f>
        <v>-595104.14590999996</v>
      </c>
      <c r="D37" s="26" t="s">
        <v>18</v>
      </c>
    </row>
    <row r="38" spans="1:4" x14ac:dyDescent="0.2">
      <c r="A38" s="25" t="s">
        <v>10</v>
      </c>
      <c r="B38" s="26">
        <f>IF(-307983.04919="","-",-307983.04919)</f>
        <v>-307983.04918999999</v>
      </c>
      <c r="C38" s="26">
        <f>IF(-152201.85467="","-",-152201.85467)</f>
        <v>-152201.85467</v>
      </c>
      <c r="D38" s="26">
        <f>IF(OR(-307983.04919="",-152201.85467="",-307983.04919=0),"-",-152201.85467/-307983.04919*100)</f>
        <v>49.418906355493633</v>
      </c>
    </row>
    <row r="39" spans="1:4" x14ac:dyDescent="0.2">
      <c r="A39" s="25" t="s">
        <v>9</v>
      </c>
      <c r="B39" s="26">
        <f>IF(-34807.38908="","-",-34807.38908)</f>
        <v>-34807.389080000001</v>
      </c>
      <c r="C39" s="26">
        <f>IF(-24957.23892="","-",-24957.23892)</f>
        <v>-24957.23892</v>
      </c>
      <c r="D39" s="26">
        <f>IF(OR(-34807.38908="",-24957.23892="",-34807.38908=0),"-",-24957.23892/-34807.38908*100)</f>
        <v>71.700979532360833</v>
      </c>
    </row>
    <row r="40" spans="1:4" x14ac:dyDescent="0.2">
      <c r="A40" s="25" t="s">
        <v>14</v>
      </c>
      <c r="B40" s="26">
        <f>IF(-2988.03639="","-",-2988.03639)</f>
        <v>-2988.0363900000002</v>
      </c>
      <c r="C40" s="26">
        <f>IF(-11922.07807="","-",-11922.07807)</f>
        <v>-11922.07807</v>
      </c>
      <c r="D40" s="26" t="s">
        <v>353</v>
      </c>
    </row>
    <row r="41" spans="1:4" x14ac:dyDescent="0.2">
      <c r="A41" s="25" t="s">
        <v>12</v>
      </c>
      <c r="B41" s="26">
        <f>IF(974.30847="","-",974.30847)</f>
        <v>974.30847000000006</v>
      </c>
      <c r="C41" s="26">
        <f>IF(-7245.71634="","-",-7245.71634)</f>
        <v>-7245.7163399999999</v>
      </c>
      <c r="D41" s="26" t="s">
        <v>20</v>
      </c>
    </row>
    <row r="42" spans="1:4" x14ac:dyDescent="0.2">
      <c r="A42" s="25" t="s">
        <v>13</v>
      </c>
      <c r="B42" s="26">
        <f>IF(-2344.45412="","-",-2344.45412)</f>
        <v>-2344.4541199999999</v>
      </c>
      <c r="C42" s="26">
        <f>IF(-5600.89475="","-",-5600.89475)</f>
        <v>-5600.8947500000004</v>
      </c>
      <c r="D42" s="26" t="s">
        <v>281</v>
      </c>
    </row>
    <row r="43" spans="1:4" x14ac:dyDescent="0.2">
      <c r="A43" s="25" t="s">
        <v>11</v>
      </c>
      <c r="B43" s="26">
        <f>IF(-598.6121="","-",-598.6121)</f>
        <v>-598.61210000000005</v>
      </c>
      <c r="C43" s="26">
        <f>IF(-5112.41179="","-",-5112.41179)</f>
        <v>-5112.4117900000001</v>
      </c>
      <c r="D43" s="26" t="s">
        <v>357</v>
      </c>
    </row>
    <row r="44" spans="1:4" x14ac:dyDescent="0.2">
      <c r="A44" s="25" t="s">
        <v>303</v>
      </c>
      <c r="B44" s="26">
        <f>IF(542.74975="","-",542.74975)</f>
        <v>542.74974999999995</v>
      </c>
      <c r="C44" s="26">
        <f>IF(-2237.85727="","-",-2237.85727)</f>
        <v>-2237.85727</v>
      </c>
      <c r="D44" s="26" t="s">
        <v>20</v>
      </c>
    </row>
    <row r="45" spans="1:4" x14ac:dyDescent="0.2">
      <c r="A45" s="25" t="s">
        <v>15</v>
      </c>
      <c r="B45" s="26">
        <f>IF(72.15859="","-",72.15859)</f>
        <v>72.158590000000004</v>
      </c>
      <c r="C45" s="26">
        <f>IF(-113.05814="","-",-113.05814)</f>
        <v>-113.05813999999999</v>
      </c>
      <c r="D45" s="26" t="s">
        <v>20</v>
      </c>
    </row>
    <row r="46" spans="1:4" x14ac:dyDescent="0.2">
      <c r="A46" s="25" t="s">
        <v>16</v>
      </c>
      <c r="B46" s="26">
        <f>IF(194.20852="","-",194.20852)</f>
        <v>194.20851999999999</v>
      </c>
      <c r="C46" s="26">
        <f>IF(58.55357="","-",58.55357)</f>
        <v>58.553570000000001</v>
      </c>
      <c r="D46" s="26">
        <f>IF(OR(194.20852="",58.55357="",194.20852=0),"-",58.55357/194.20852*100)</f>
        <v>30.149846155050252</v>
      </c>
    </row>
    <row r="47" spans="1:4" x14ac:dyDescent="0.2">
      <c r="A47" s="24" t="s">
        <v>130</v>
      </c>
      <c r="B47" s="20">
        <f>IF(-815735.08884="","-",-815735.08884)</f>
        <v>-815735.08883999998</v>
      </c>
      <c r="C47" s="20">
        <f>IF(-901763.65077="","-",-901763.65077)</f>
        <v>-901763.65076999995</v>
      </c>
      <c r="D47" s="20">
        <f>IF(-815735.08884="","-",-901763.65077/-815735.08884*100)</f>
        <v>110.54613968516853</v>
      </c>
    </row>
    <row r="48" spans="1:4" x14ac:dyDescent="0.2">
      <c r="A48" s="25" t="s">
        <v>57</v>
      </c>
      <c r="B48" s="26">
        <f>IF(-438738.19988="","-",-438738.19988)</f>
        <v>-438738.19987999997</v>
      </c>
      <c r="C48" s="26">
        <f>IF(-487627.23325="","-",-487627.23325)</f>
        <v>-487627.23324999999</v>
      </c>
      <c r="D48" s="26">
        <f>IF(OR(-438738.19988="",-487627.23325="",-438738.19988=0),"-",-487627.23325/-438738.19988*100)</f>
        <v>111.14309932059068</v>
      </c>
    </row>
    <row r="49" spans="1:4" x14ac:dyDescent="0.2">
      <c r="A49" s="25" t="s">
        <v>67</v>
      </c>
      <c r="B49" s="26">
        <f>IF(-25927.8005="","-",-25927.8005)</f>
        <v>-25927.800500000001</v>
      </c>
      <c r="C49" s="26">
        <f>IF(-143633.58106="","-",-143633.58106)</f>
        <v>-143633.58106</v>
      </c>
      <c r="D49" s="26" t="s">
        <v>363</v>
      </c>
    </row>
    <row r="50" spans="1:4" x14ac:dyDescent="0.2">
      <c r="A50" s="25" t="s">
        <v>54</v>
      </c>
      <c r="B50" s="26">
        <f>IF(-135810.61775="","-",-135810.61775)</f>
        <v>-135810.61775</v>
      </c>
      <c r="C50" s="26">
        <f>IF(-126952.6812="","-",-126952.6812)</f>
        <v>-126952.68120000001</v>
      </c>
      <c r="D50" s="26">
        <f>IF(OR(-135810.61775="",-126952.6812="",-135810.61775=0),"-",-126952.6812/-135810.61775*100)</f>
        <v>93.477728990007478</v>
      </c>
    </row>
    <row r="51" spans="1:4" x14ac:dyDescent="0.2">
      <c r="A51" s="25" t="s">
        <v>17</v>
      </c>
      <c r="B51" s="26">
        <f>IF(-48509.58996="","-",-48509.58996)</f>
        <v>-48509.589959999998</v>
      </c>
      <c r="C51" s="26">
        <f>IF(-56650.09051="","-",-56650.09051)</f>
        <v>-56650.090510000002</v>
      </c>
      <c r="D51" s="26">
        <f>IF(OR(-48509.58996="",-56650.09051="",-48509.58996=0),"-",-56650.09051/-48509.58996*100)</f>
        <v>116.78121904702243</v>
      </c>
    </row>
    <row r="52" spans="1:4" x14ac:dyDescent="0.2">
      <c r="A52" s="25" t="s">
        <v>73</v>
      </c>
      <c r="B52" s="26">
        <f>IF(-35594.49984="","-",-35594.49984)</f>
        <v>-35594.499839999997</v>
      </c>
      <c r="C52" s="26">
        <f>IF(-36117.23039="","-",-36117.23039)</f>
        <v>-36117.230389999997</v>
      </c>
      <c r="D52" s="26">
        <f>IF(OR(-35594.49984="",-36117.23039="",-35594.49984=0),"-",-36117.23039/-35594.49984*100)</f>
        <v>101.46857113416318</v>
      </c>
    </row>
    <row r="53" spans="1:4" x14ac:dyDescent="0.2">
      <c r="A53" s="25" t="s">
        <v>34</v>
      </c>
      <c r="B53" s="26">
        <f>IF(-25991.064="","-",-25991.064)</f>
        <v>-25991.063999999998</v>
      </c>
      <c r="C53" s="26">
        <f>IF(-33787.38406="","-",-33787.38406)</f>
        <v>-33787.384059999997</v>
      </c>
      <c r="D53" s="26">
        <f>IF(OR(-25991.064="",-33787.38406="",-25991.064=0),"-",-33787.38406/-25991.064*100)</f>
        <v>129.9961558326354</v>
      </c>
    </row>
    <row r="54" spans="1:4" x14ac:dyDescent="0.2">
      <c r="A54" s="25" t="s">
        <v>69</v>
      </c>
      <c r="B54" s="26">
        <f>IF(-27088.51773="","-",-27088.51773)</f>
        <v>-27088.51773</v>
      </c>
      <c r="C54" s="26">
        <f>IF(-22301.48367="","-",-22301.48367)</f>
        <v>-22301.483670000001</v>
      </c>
      <c r="D54" s="26">
        <f>IF(OR(-27088.51773="",-22301.48367="",-27088.51773=0),"-",-22301.48367/-27088.51773*100)</f>
        <v>82.3281801251958</v>
      </c>
    </row>
    <row r="55" spans="1:4" x14ac:dyDescent="0.2">
      <c r="A55" s="25" t="s">
        <v>64</v>
      </c>
      <c r="B55" s="26">
        <f>IF(-10397.19417="","-",-10397.19417)</f>
        <v>-10397.194170000001</v>
      </c>
      <c r="C55" s="26">
        <f>IF(-12750.91612="","-",-12750.91612)</f>
        <v>-12750.91612</v>
      </c>
      <c r="D55" s="26">
        <f>IF(OR(-10397.19417="",-12750.91612="",-10397.19417=0),"-",-12750.91612/-10397.19417*100)</f>
        <v>122.63804937673872</v>
      </c>
    </row>
    <row r="56" spans="1:4" x14ac:dyDescent="0.2">
      <c r="A56" s="25" t="s">
        <v>76</v>
      </c>
      <c r="B56" s="26">
        <f>IF(-13727.61272="","-",-13727.61272)</f>
        <v>-13727.612719999999</v>
      </c>
      <c r="C56" s="26">
        <f>IF(-12250.27029="","-",-12250.27029)</f>
        <v>-12250.27029</v>
      </c>
      <c r="D56" s="26">
        <f>IF(OR(-13727.61272="",-12250.27029="",-13727.61272=0),"-",-12250.27029/-13727.61272*100)</f>
        <v>89.23816937341455</v>
      </c>
    </row>
    <row r="57" spans="1:4" x14ac:dyDescent="0.2">
      <c r="A57" s="25" t="s">
        <v>305</v>
      </c>
      <c r="B57" s="26">
        <f>IF(-12099.07885="","-",-12099.07885)</f>
        <v>-12099.07885</v>
      </c>
      <c r="C57" s="26">
        <f>IF(-11264.09904="","-",-11264.09904)</f>
        <v>-11264.099039999999</v>
      </c>
      <c r="D57" s="26">
        <f>IF(OR(-12099.07885="",-11264.09904="",-12099.07885=0),"-",-11264.09904/-12099.07885*100)</f>
        <v>93.098815039130017</v>
      </c>
    </row>
    <row r="58" spans="1:4" x14ac:dyDescent="0.2">
      <c r="A58" s="25" t="s">
        <v>71</v>
      </c>
      <c r="B58" s="26">
        <f>IF(-6831.70205="","-",-6831.70205)</f>
        <v>-6831.7020499999999</v>
      </c>
      <c r="C58" s="26">
        <f>IF(-10599.72309="","-",-10599.72309)</f>
        <v>-10599.72309</v>
      </c>
      <c r="D58" s="26">
        <f>IF(OR(-6831.70205="",-10599.72309="",-6831.70205=0),"-",-10599.72309/-6831.70205*100)</f>
        <v>155.15493814605102</v>
      </c>
    </row>
    <row r="59" spans="1:4" x14ac:dyDescent="0.2">
      <c r="A59" s="25" t="s">
        <v>60</v>
      </c>
      <c r="B59" s="26">
        <f>IF(416.99152="","-",416.99152)</f>
        <v>416.99151999999998</v>
      </c>
      <c r="C59" s="26">
        <f>IF(-10133.998="","-",-10133.998)</f>
        <v>-10133.998</v>
      </c>
      <c r="D59" s="26" t="s">
        <v>20</v>
      </c>
    </row>
    <row r="60" spans="1:4" x14ac:dyDescent="0.2">
      <c r="A60" s="25" t="s">
        <v>79</v>
      </c>
      <c r="B60" s="26">
        <f>IF(-7622.98295="","-",-7622.98295)</f>
        <v>-7622.9829499999996</v>
      </c>
      <c r="C60" s="26">
        <f>IF(-7796.2541="","-",-7796.2541)</f>
        <v>-7796.2541000000001</v>
      </c>
      <c r="D60" s="26">
        <f>IF(OR(-7622.98295="",-7796.2541="",-7622.98295=0),"-",-7796.2541/-7622.98295*100)</f>
        <v>102.27300980648266</v>
      </c>
    </row>
    <row r="61" spans="1:4" x14ac:dyDescent="0.2">
      <c r="A61" s="25" t="s">
        <v>68</v>
      </c>
      <c r="B61" s="26">
        <f>IF(-6992.38956="","-",-6992.38956)</f>
        <v>-6992.3895599999996</v>
      </c>
      <c r="C61" s="26">
        <f>IF(-7523.75011="","-",-7523.75011)</f>
        <v>-7523.7501099999999</v>
      </c>
      <c r="D61" s="26">
        <f>IF(OR(-6992.38956="",-7523.75011="",-6992.38956=0),"-",-7523.75011/-6992.38956*100)</f>
        <v>107.59912681409587</v>
      </c>
    </row>
    <row r="62" spans="1:4" x14ac:dyDescent="0.2">
      <c r="A62" s="25" t="s">
        <v>75</v>
      </c>
      <c r="B62" s="26">
        <f>IF(-6975.90249="","-",-6975.90249)</f>
        <v>-6975.9024900000004</v>
      </c>
      <c r="C62" s="26">
        <f>IF(-7487.74779="","-",-7487.74779)</f>
        <v>-7487.7477900000004</v>
      </c>
      <c r="D62" s="26">
        <f>IF(OR(-6975.90249="",-7487.74779="",-6975.90249=0),"-",-7487.74779/-6975.90249*100)</f>
        <v>107.33733449877967</v>
      </c>
    </row>
    <row r="63" spans="1:4" x14ac:dyDescent="0.2">
      <c r="A63" s="25" t="s">
        <v>59</v>
      </c>
      <c r="B63" s="26">
        <f>IF(-8329.09795="","-",-8329.09795)</f>
        <v>-8329.0979499999994</v>
      </c>
      <c r="C63" s="26">
        <f>IF(-7064.50039="","-",-7064.50039)</f>
        <v>-7064.5003900000002</v>
      </c>
      <c r="D63" s="26">
        <f>IF(OR(-8329.09795="",-7064.50039="",-8329.09795=0),"-",-7064.50039/-8329.09795*100)</f>
        <v>84.817112638229943</v>
      </c>
    </row>
    <row r="64" spans="1:4" x14ac:dyDescent="0.2">
      <c r="A64" s="25" t="s">
        <v>80</v>
      </c>
      <c r="B64" s="26">
        <f>IF(-5278.37653="","-",-5278.37653)</f>
        <v>-5278.3765299999995</v>
      </c>
      <c r="C64" s="26">
        <f>IF(-6308.21839="","-",-6308.21839)</f>
        <v>-6308.21839</v>
      </c>
      <c r="D64" s="26">
        <f>IF(OR(-5278.37653="",-6308.21839="",-5278.37653=0),"-",-6308.21839/-5278.37653*100)</f>
        <v>119.51057970470328</v>
      </c>
    </row>
    <row r="65" spans="1:4" x14ac:dyDescent="0.2">
      <c r="A65" s="25" t="s">
        <v>63</v>
      </c>
      <c r="B65" s="26">
        <f>IF(-3065.70474="","-",-3065.70474)</f>
        <v>-3065.7047400000001</v>
      </c>
      <c r="C65" s="26">
        <f>IF(-5444.85046="","-",-5444.85046)</f>
        <v>-5444.8504599999997</v>
      </c>
      <c r="D65" s="26" t="s">
        <v>195</v>
      </c>
    </row>
    <row r="66" spans="1:4" x14ac:dyDescent="0.2">
      <c r="A66" s="25" t="s">
        <v>81</v>
      </c>
      <c r="B66" s="26">
        <f>IF(-4465.49959="","-",-4465.49959)</f>
        <v>-4465.4995900000004</v>
      </c>
      <c r="C66" s="26">
        <f>IF(-4659.42825="","-",-4659.42825)</f>
        <v>-4659.4282499999999</v>
      </c>
      <c r="D66" s="26">
        <f>IF(OR(-4465.49959="",-4659.42825="",-4465.49959=0),"-",-4659.42825/-4465.49959*100)</f>
        <v>104.34282113549583</v>
      </c>
    </row>
    <row r="67" spans="1:4" x14ac:dyDescent="0.2">
      <c r="A67" s="25" t="s">
        <v>82</v>
      </c>
      <c r="B67" s="26">
        <f>IF(-4254.10092="","-",-4254.10092)</f>
        <v>-4254.1009199999999</v>
      </c>
      <c r="C67" s="26">
        <f>IF(-3075.62561="","-",-3075.62561)</f>
        <v>-3075.6256100000001</v>
      </c>
      <c r="D67" s="26">
        <f>IF(OR(-4254.10092="",-3075.62561="",-4254.10092=0),"-",-3075.62561/-4254.10092*100)</f>
        <v>72.297899552415885</v>
      </c>
    </row>
    <row r="68" spans="1:4" x14ac:dyDescent="0.2">
      <c r="A68" s="25" t="s">
        <v>77</v>
      </c>
      <c r="B68" s="26">
        <f>IF(-1929.07284="","-",-1929.07284)</f>
        <v>-1929.07284</v>
      </c>
      <c r="C68" s="26">
        <f>IF(-2922.03667="","-",-2922.03667)</f>
        <v>-2922.03667</v>
      </c>
      <c r="D68" s="26">
        <f>IF(OR(-1929.07284="",-2922.03667="",-1929.07284=0),"-",-2922.03667/-1929.07284*100)</f>
        <v>151.47363072096334</v>
      </c>
    </row>
    <row r="69" spans="1:4" x14ac:dyDescent="0.2">
      <c r="A69" s="25" t="s">
        <v>78</v>
      </c>
      <c r="B69" s="26">
        <f>IF(-13590.37247="","-",-13590.37247)</f>
        <v>-13590.37247</v>
      </c>
      <c r="C69" s="26">
        <f>IF(-2346.61832="","-",-2346.61832)</f>
        <v>-2346.61832</v>
      </c>
      <c r="D69" s="26">
        <f>IF(OR(-13590.37247="",-2346.61832="",-13590.37247=0),"-",-2346.61832/-13590.37247*100)</f>
        <v>17.266769731146301</v>
      </c>
    </row>
    <row r="70" spans="1:4" x14ac:dyDescent="0.2">
      <c r="A70" s="25" t="s">
        <v>37</v>
      </c>
      <c r="B70" s="26">
        <f>IF(-2232.5269="","-",-2232.5269)</f>
        <v>-2232.5268999999998</v>
      </c>
      <c r="C70" s="26">
        <f>IF(-2139.96275="","-",-2139.96275)</f>
        <v>-2139.9627500000001</v>
      </c>
      <c r="D70" s="26">
        <f>IF(OR(-2232.5269="",-2139.96275="",-2232.5269=0),"-",-2139.96275/-2232.5269*100)</f>
        <v>95.85383943190115</v>
      </c>
    </row>
    <row r="71" spans="1:4" x14ac:dyDescent="0.2">
      <c r="A71" s="25" t="s">
        <v>72</v>
      </c>
      <c r="B71" s="26">
        <f>IF(9474.7995="","-",9474.7995)</f>
        <v>9474.7994999999992</v>
      </c>
      <c r="C71" s="26">
        <f>IF(-1987.77877="","-",-1987.77877)</f>
        <v>-1987.7787699999999</v>
      </c>
      <c r="D71" s="26" t="s">
        <v>20</v>
      </c>
    </row>
    <row r="72" spans="1:4" x14ac:dyDescent="0.2">
      <c r="A72" s="25" t="s">
        <v>85</v>
      </c>
      <c r="B72" s="26">
        <f>IF(-2265.93643="","-",-2265.93643)</f>
        <v>-2265.9364300000002</v>
      </c>
      <c r="C72" s="26">
        <f>IF(-1925.10313="","-",-1925.10313)</f>
        <v>-1925.10313</v>
      </c>
      <c r="D72" s="26">
        <f>IF(OR(-2265.93643="",-1925.10313="",-2265.93643=0),"-",-1925.10313/-2265.93643*100)</f>
        <v>84.958390911257823</v>
      </c>
    </row>
    <row r="73" spans="1:4" x14ac:dyDescent="0.2">
      <c r="A73" s="25" t="s">
        <v>84</v>
      </c>
      <c r="B73" s="26">
        <f>IF(-1969.82705="","-",-1969.82705)</f>
        <v>-1969.8270500000001</v>
      </c>
      <c r="C73" s="26">
        <f>IF(-1648.40077="","-",-1648.40077)</f>
        <v>-1648.40077</v>
      </c>
      <c r="D73" s="26">
        <f>IF(OR(-1969.82705="",-1648.40077="",-1969.82705=0),"-",-1648.40077/-1969.82705*100)</f>
        <v>83.682512634802123</v>
      </c>
    </row>
    <row r="74" spans="1:4" x14ac:dyDescent="0.2">
      <c r="A74" s="25" t="s">
        <v>86</v>
      </c>
      <c r="B74" s="26">
        <f>IF(-1907.63565="","-",-1907.63565)</f>
        <v>-1907.6356499999999</v>
      </c>
      <c r="C74" s="26">
        <f>IF(-1452.15015="","-",-1452.15015)</f>
        <v>-1452.1501499999999</v>
      </c>
      <c r="D74" s="26">
        <f>IF(OR(-1907.63565="",-1452.15015="",-1907.63565=0),"-",-1452.15015/-1907.63565*100)</f>
        <v>76.123034815374723</v>
      </c>
    </row>
    <row r="75" spans="1:4" x14ac:dyDescent="0.2">
      <c r="A75" s="25" t="s">
        <v>93</v>
      </c>
      <c r="B75" s="26">
        <f>IF(-1075.61418="","-",-1075.61418)</f>
        <v>-1075.61418</v>
      </c>
      <c r="C75" s="26">
        <f>IF(-1372.02393="","-",-1372.02393)</f>
        <v>-1372.0239300000001</v>
      </c>
      <c r="D75" s="26">
        <f>IF(OR(-1075.61418="",-1372.02393="",-1075.61418=0),"-",-1372.02393/-1075.61418*100)</f>
        <v>127.55725570668844</v>
      </c>
    </row>
    <row r="76" spans="1:4" x14ac:dyDescent="0.2">
      <c r="A76" s="25" t="s">
        <v>83</v>
      </c>
      <c r="B76" s="26">
        <f>IF(-1274.1298="","-",-1274.1298)</f>
        <v>-1274.1297999999999</v>
      </c>
      <c r="C76" s="26">
        <f>IF(-1219.38899="","-",-1219.38899)</f>
        <v>-1219.3889899999999</v>
      </c>
      <c r="D76" s="26">
        <f>IF(OR(-1274.1298="",-1219.38899="",-1274.1298=0),"-",-1219.38899/-1274.1298*100)</f>
        <v>95.703670850489488</v>
      </c>
    </row>
    <row r="77" spans="1:4" x14ac:dyDescent="0.2">
      <c r="A77" s="25" t="s">
        <v>36</v>
      </c>
      <c r="B77" s="26">
        <f>IF(-736.22819="","-",-736.22819)</f>
        <v>-736.22819000000004</v>
      </c>
      <c r="C77" s="26">
        <f>IF(-1187.23119="","-",-1187.23119)</f>
        <v>-1187.23119</v>
      </c>
      <c r="D77" s="26" t="s">
        <v>100</v>
      </c>
    </row>
    <row r="78" spans="1:4" x14ac:dyDescent="0.2">
      <c r="A78" s="25" t="s">
        <v>297</v>
      </c>
      <c r="B78" s="26">
        <f>IF(-414.80355="","-",-414.80355)</f>
        <v>-414.80354999999997</v>
      </c>
      <c r="C78" s="26">
        <f>IF(-1151.92321="","-",-1151.92321)</f>
        <v>-1151.9232099999999</v>
      </c>
      <c r="D78" s="26" t="s">
        <v>298</v>
      </c>
    </row>
    <row r="79" spans="1:4" x14ac:dyDescent="0.2">
      <c r="A79" s="25" t="s">
        <v>122</v>
      </c>
      <c r="B79" s="26">
        <f>IF(-1812.42899="","-",-1812.42899)</f>
        <v>-1812.4289900000001</v>
      </c>
      <c r="C79" s="26">
        <f>IF(-1107.92756="","-",-1107.92756)</f>
        <v>-1107.9275600000001</v>
      </c>
      <c r="D79" s="26">
        <f>IF(OR(-1812.42899="",-1107.92756="",-1812.42899=0),"-",-1107.92756/-1812.42899*100)</f>
        <v>61.129432717802644</v>
      </c>
    </row>
    <row r="80" spans="1:4" x14ac:dyDescent="0.2">
      <c r="A80" s="25" t="s">
        <v>88</v>
      </c>
      <c r="B80" s="26">
        <f>IF(-355.40292="","-",-355.40292)</f>
        <v>-355.40291999999999</v>
      </c>
      <c r="C80" s="26">
        <f>IF(-1098.556="","-",-1098.556)</f>
        <v>-1098.556</v>
      </c>
      <c r="D80" s="26" t="s">
        <v>326</v>
      </c>
    </row>
    <row r="81" spans="1:4" x14ac:dyDescent="0.2">
      <c r="A81" s="25" t="s">
        <v>87</v>
      </c>
      <c r="B81" s="26">
        <f>IF(-1834.93717="","-",-1834.93717)</f>
        <v>-1834.9371699999999</v>
      </c>
      <c r="C81" s="26">
        <f>IF(-1018.74143="","-",-1018.74143)</f>
        <v>-1018.74143</v>
      </c>
      <c r="D81" s="26">
        <f>IF(OR(-1834.93717="",-1018.74143="",-1834.93717=0),"-",-1018.74143/-1834.93717*100)</f>
        <v>55.519145105115506</v>
      </c>
    </row>
    <row r="82" spans="1:4" x14ac:dyDescent="0.2">
      <c r="A82" s="25" t="s">
        <v>299</v>
      </c>
      <c r="B82" s="26">
        <f>IF(-799.1198="","-",-799.1198)</f>
        <v>-799.11980000000005</v>
      </c>
      <c r="C82" s="26">
        <f>IF(-959.73166="","-",-959.73166)</f>
        <v>-959.73166000000003</v>
      </c>
      <c r="D82" s="26">
        <f>IF(OR(-799.1198="",-959.73166="",-799.1198=0),"-",-959.73166/-799.1198*100)</f>
        <v>120.09859598022726</v>
      </c>
    </row>
    <row r="83" spans="1:4" x14ac:dyDescent="0.2">
      <c r="A83" s="25" t="s">
        <v>134</v>
      </c>
      <c r="B83" s="26">
        <f>IF(-757.14243="","-",-757.14243)</f>
        <v>-757.14242999999999</v>
      </c>
      <c r="C83" s="26">
        <f>IF(-881.85036="","-",-881.85036)</f>
        <v>-881.85036000000002</v>
      </c>
      <c r="D83" s="26">
        <f>IF(OR(-757.14243="",-881.85036="",-757.14243=0),"-",-881.85036/-757.14243*100)</f>
        <v>116.47086797130099</v>
      </c>
    </row>
    <row r="84" spans="1:4" x14ac:dyDescent="0.2">
      <c r="A84" s="25" t="s">
        <v>62</v>
      </c>
      <c r="B84" s="26">
        <f>IF(-591.70457="","-",-591.70457)</f>
        <v>-591.70456999999999</v>
      </c>
      <c r="C84" s="26">
        <f>IF(-830.8753="","-",-830.8753)</f>
        <v>-830.87530000000004</v>
      </c>
      <c r="D84" s="26">
        <f>IF(OR(-591.70457="",-830.8753="",-591.70457=0),"-",-830.8753/-591.70457*100)</f>
        <v>140.42063254640743</v>
      </c>
    </row>
    <row r="85" spans="1:4" x14ac:dyDescent="0.2">
      <c r="A85" s="25" t="s">
        <v>337</v>
      </c>
      <c r="B85" s="26">
        <f>IF(-1.40179="","-",-1.40179)</f>
        <v>-1.4017900000000001</v>
      </c>
      <c r="C85" s="26">
        <f>IF(-817.12644="","-",-817.12644)</f>
        <v>-817.12644</v>
      </c>
      <c r="D85" s="26" t="s">
        <v>386</v>
      </c>
    </row>
    <row r="86" spans="1:4" x14ac:dyDescent="0.2">
      <c r="A86" s="25" t="s">
        <v>306</v>
      </c>
      <c r="B86" s="26">
        <f>IF(-1636.63168="","-",-1636.63168)</f>
        <v>-1636.63168</v>
      </c>
      <c r="C86" s="26">
        <f>IF(-788.55566="","-",-788.55566)</f>
        <v>-788.55565999999999</v>
      </c>
      <c r="D86" s="26">
        <f>IF(OR(-1636.63168="",-788.55566="",-1636.63168=0),"-",-788.55566/-1636.63168*100)</f>
        <v>48.181620192027566</v>
      </c>
    </row>
    <row r="87" spans="1:4" x14ac:dyDescent="0.2">
      <c r="A87" s="25" t="s">
        <v>97</v>
      </c>
      <c r="B87" s="26">
        <f>IF(-225.16289="","-",-225.16289)</f>
        <v>-225.16289</v>
      </c>
      <c r="C87" s="26">
        <f>IF(-608.48819="","-",-608.48819)</f>
        <v>-608.48819000000003</v>
      </c>
      <c r="D87" s="26" t="s">
        <v>346</v>
      </c>
    </row>
    <row r="88" spans="1:4" x14ac:dyDescent="0.2">
      <c r="A88" s="25" t="s">
        <v>89</v>
      </c>
      <c r="B88" s="26">
        <f>IF(-1106.13036="","-",-1106.13036)</f>
        <v>-1106.1303600000001</v>
      </c>
      <c r="C88" s="26">
        <f>IF(-589.93049="","-",-589.93049)</f>
        <v>-589.93048999999996</v>
      </c>
      <c r="D88" s="26">
        <f>IF(OR(-1106.13036="",-589.93049="",-1106.13036=0),"-",-589.93049/-1106.13036*100)</f>
        <v>53.33281784255518</v>
      </c>
    </row>
    <row r="89" spans="1:4" x14ac:dyDescent="0.2">
      <c r="A89" s="25" t="s">
        <v>289</v>
      </c>
      <c r="B89" s="26">
        <f>IF(-27.73445="","-",-27.73445)</f>
        <v>-27.734449999999999</v>
      </c>
      <c r="C89" s="26">
        <f>IF(-572.88413="","-",-572.88413)</f>
        <v>-572.88413000000003</v>
      </c>
      <c r="D89" s="26" t="s">
        <v>382</v>
      </c>
    </row>
    <row r="90" spans="1:4" x14ac:dyDescent="0.2">
      <c r="A90" s="25" t="s">
        <v>90</v>
      </c>
      <c r="B90" s="26">
        <f>IF(-279.85891="","-",-279.85891)</f>
        <v>-279.85890999999998</v>
      </c>
      <c r="C90" s="26">
        <f>IF(-486.96517="","-",-486.96517)</f>
        <v>-486.96517</v>
      </c>
      <c r="D90" s="26" t="s">
        <v>99</v>
      </c>
    </row>
    <row r="91" spans="1:4" x14ac:dyDescent="0.2">
      <c r="A91" s="25" t="s">
        <v>203</v>
      </c>
      <c r="B91" s="26">
        <f>IF(-417.65896="","-",-417.65896)</f>
        <v>-417.65895999999998</v>
      </c>
      <c r="C91" s="26">
        <f>IF(-239.66525="","-",-239.66525)</f>
        <v>-239.66524999999999</v>
      </c>
      <c r="D91" s="26">
        <f>IF(OR(-417.65896="",-239.66525="",-417.65896=0),"-",-239.66525/-417.65896*100)</f>
        <v>57.383002150845755</v>
      </c>
    </row>
    <row r="92" spans="1:4" x14ac:dyDescent="0.2">
      <c r="A92" s="25" t="s">
        <v>118</v>
      </c>
      <c r="B92" s="26">
        <f>IF(-402.74685="","-",-402.74685)</f>
        <v>-402.74684999999999</v>
      </c>
      <c r="C92" s="26">
        <f>IF(-216.1544="","-",-216.1544)</f>
        <v>-216.15440000000001</v>
      </c>
      <c r="D92" s="26">
        <f>IF(OR(-402.74685="",-216.1544="",-402.74685=0),"-",-216.1544/-402.74685*100)</f>
        <v>53.670041118881507</v>
      </c>
    </row>
    <row r="93" spans="1:4" x14ac:dyDescent="0.2">
      <c r="A93" s="25" t="s">
        <v>94</v>
      </c>
      <c r="B93" s="26">
        <f>IF(-425.35974="","-",-425.35974)</f>
        <v>-425.35973999999999</v>
      </c>
      <c r="C93" s="26">
        <f>IF(-199.69957="","-",-199.69957)</f>
        <v>-199.69956999999999</v>
      </c>
      <c r="D93" s="26">
        <f>IF(OR(-425.35974="",-199.69957="",-425.35974=0),"-",-199.69957/-425.35974*100)</f>
        <v>46.948394786963149</v>
      </c>
    </row>
    <row r="94" spans="1:4" x14ac:dyDescent="0.2">
      <c r="A94" s="25" t="s">
        <v>339</v>
      </c>
      <c r="B94" s="26">
        <f>IF(-88.31031="","-",-88.31031)</f>
        <v>-88.310310000000001</v>
      </c>
      <c r="C94" s="26">
        <f>IF(-190.88652="","-",-190.88652)</f>
        <v>-190.88651999999999</v>
      </c>
      <c r="D94" s="26" t="s">
        <v>194</v>
      </c>
    </row>
    <row r="95" spans="1:4" x14ac:dyDescent="0.2">
      <c r="A95" s="25" t="s">
        <v>125</v>
      </c>
      <c r="B95" s="26">
        <f>IF(-93.35384="","-",-93.35384)</f>
        <v>-93.353840000000005</v>
      </c>
      <c r="C95" s="26">
        <f>IF(-184.45771="","-",-184.45771)</f>
        <v>-184.45770999999999</v>
      </c>
      <c r="D95" s="26" t="s">
        <v>18</v>
      </c>
    </row>
    <row r="96" spans="1:4" x14ac:dyDescent="0.2">
      <c r="A96" s="25" t="s">
        <v>338</v>
      </c>
      <c r="B96" s="26">
        <f>IF(-4.89148="","-",-4.89148)</f>
        <v>-4.8914799999999996</v>
      </c>
      <c r="C96" s="26">
        <f>IF(-175.30395="","-",-175.30395)</f>
        <v>-175.30394999999999</v>
      </c>
      <c r="D96" s="26" t="s">
        <v>348</v>
      </c>
    </row>
    <row r="97" spans="1:4" x14ac:dyDescent="0.2">
      <c r="A97" s="25" t="s">
        <v>314</v>
      </c>
      <c r="B97" s="26">
        <f>IF(-106.41492="","-",-106.41492)</f>
        <v>-106.41492</v>
      </c>
      <c r="C97" s="26">
        <f>IF(-115.6273="","-",-115.6273)</f>
        <v>-115.62730000000001</v>
      </c>
      <c r="D97" s="26">
        <f>IF(OR(-106.41492="",-115.6273="",-106.41492=0),"-",-115.6273/-106.41492*100)</f>
        <v>108.6570379416721</v>
      </c>
    </row>
    <row r="98" spans="1:4" x14ac:dyDescent="0.2">
      <c r="A98" s="25" t="s">
        <v>322</v>
      </c>
      <c r="B98" s="26">
        <f>IF(-78.09451="","-",-78.09451)</f>
        <v>-78.09451</v>
      </c>
      <c r="C98" s="26">
        <f>IF(-112.98083="","-",-112.98083)</f>
        <v>-112.98083</v>
      </c>
      <c r="D98" s="26">
        <f>IF(OR(-78.09451="",-112.98083="",-78.09451=0),"-",-112.98083/-78.09451*100)</f>
        <v>144.67192380104566</v>
      </c>
    </row>
    <row r="99" spans="1:4" x14ac:dyDescent="0.2">
      <c r="A99" s="25" t="s">
        <v>323</v>
      </c>
      <c r="B99" s="26">
        <f>IF(-59.60788="","-",-59.60788)</f>
        <v>-59.607880000000002</v>
      </c>
      <c r="C99" s="26">
        <f>IF(-105.17379="","-",-105.17379)</f>
        <v>-105.17379</v>
      </c>
      <c r="D99" s="26" t="s">
        <v>195</v>
      </c>
    </row>
    <row r="100" spans="1:4" x14ac:dyDescent="0.2">
      <c r="A100" s="25" t="s">
        <v>324</v>
      </c>
      <c r="B100" s="26">
        <f>IF(-2.93852="","-",-2.93852)</f>
        <v>-2.93852</v>
      </c>
      <c r="C100" s="26">
        <f>IF(-100.91819="","-",-100.91819)</f>
        <v>-100.91819</v>
      </c>
      <c r="D100" s="26" t="s">
        <v>383</v>
      </c>
    </row>
    <row r="101" spans="1:4" x14ac:dyDescent="0.2">
      <c r="A101" s="25" t="s">
        <v>287</v>
      </c>
      <c r="B101" s="26">
        <f>IF(161.22661="","-",161.22661)</f>
        <v>161.22660999999999</v>
      </c>
      <c r="C101" s="26">
        <f>IF(-95.43761="","-",-95.43761)</f>
        <v>-95.437610000000006</v>
      </c>
      <c r="D101" s="26" t="s">
        <v>20</v>
      </c>
    </row>
    <row r="102" spans="1:4" x14ac:dyDescent="0.2">
      <c r="A102" s="25" t="s">
        <v>325</v>
      </c>
      <c r="B102" s="26">
        <f>IF(-35.99658="","-",-35.99658)</f>
        <v>-35.996580000000002</v>
      </c>
      <c r="C102" s="26">
        <f>IF(-80.19554="","-",-80.19554)</f>
        <v>-80.195539999999994</v>
      </c>
      <c r="D102" s="26" t="s">
        <v>194</v>
      </c>
    </row>
    <row r="103" spans="1:4" x14ac:dyDescent="0.2">
      <c r="A103" s="25" t="s">
        <v>288</v>
      </c>
      <c r="B103" s="26">
        <f>IF(-77.90929="","-",-77.90929)</f>
        <v>-77.909289999999999</v>
      </c>
      <c r="C103" s="26">
        <f>IF(-76.83319="","-",-76.83319)</f>
        <v>-76.833190000000002</v>
      </c>
      <c r="D103" s="26">
        <f>IF(OR(-77.90929="",-76.83319="",-77.90929=0),"-",-76.83319/-77.90929*100)</f>
        <v>98.618778325408954</v>
      </c>
    </row>
    <row r="104" spans="1:4" x14ac:dyDescent="0.2">
      <c r="A104" s="25" t="s">
        <v>340</v>
      </c>
      <c r="B104" s="26">
        <f>IF(-25.71003="","-",-25.71003)</f>
        <v>-25.71003</v>
      </c>
      <c r="C104" s="26">
        <f>IF(-69.52781="","-",-69.52781)</f>
        <v>-69.527810000000002</v>
      </c>
      <c r="D104" s="26" t="s">
        <v>346</v>
      </c>
    </row>
    <row r="105" spans="1:4" x14ac:dyDescent="0.2">
      <c r="A105" s="25" t="s">
        <v>332</v>
      </c>
      <c r="B105" s="26">
        <f>IF(-50.3379="","-",-50.3379)</f>
        <v>-50.337899999999998</v>
      </c>
      <c r="C105" s="26">
        <f>IF(-66.5168="","-",-66.5168)</f>
        <v>-66.516800000000003</v>
      </c>
      <c r="D105" s="26">
        <f>IF(OR(-50.3379="",-66.5168="",-50.3379=0),"-",-66.5168/-50.3379*100)</f>
        <v>132.1405938666492</v>
      </c>
    </row>
    <row r="106" spans="1:4" x14ac:dyDescent="0.2">
      <c r="A106" s="25" t="s">
        <v>384</v>
      </c>
      <c r="B106" s="26">
        <f>IF(-4.36562="","-",-4.36562)</f>
        <v>-4.3656199999999998</v>
      </c>
      <c r="C106" s="26">
        <f>IF(-66.06045="","-",-66.06045)</f>
        <v>-66.060450000000003</v>
      </c>
      <c r="D106" s="26" t="s">
        <v>354</v>
      </c>
    </row>
    <row r="107" spans="1:4" x14ac:dyDescent="0.2">
      <c r="A107" s="25" t="s">
        <v>331</v>
      </c>
      <c r="B107" s="26">
        <f>IF(0="","-",0)</f>
        <v>0</v>
      </c>
      <c r="C107" s="26">
        <f>IF(-52.076="","-",-52.076)</f>
        <v>-52.076000000000001</v>
      </c>
      <c r="D107" s="26" t="str">
        <f>IF(OR(0="",-52.076="",0=0),"-",-52.076/0*100)</f>
        <v>-</v>
      </c>
    </row>
    <row r="108" spans="1:4" x14ac:dyDescent="0.2">
      <c r="A108" s="25" t="s">
        <v>328</v>
      </c>
      <c r="B108" s="26">
        <f>IF(129.22504="","-",129.22504)</f>
        <v>129.22504000000001</v>
      </c>
      <c r="C108" s="26">
        <f>IF(50.63863="","-",50.63863)</f>
        <v>50.638629999999999</v>
      </c>
      <c r="D108" s="26">
        <f>IF(OR(129.22504="",50.63863="",129.22504=0),"-",50.63863/129.22504*100)</f>
        <v>39.186391430020059</v>
      </c>
    </row>
    <row r="109" spans="1:4" x14ac:dyDescent="0.2">
      <c r="A109" s="25" t="s">
        <v>126</v>
      </c>
      <c r="B109" s="26">
        <f>IF(-92.845="","-",-92.845)</f>
        <v>-92.844999999999999</v>
      </c>
      <c r="C109" s="26">
        <f>IF(53.25141="","-",53.25141)</f>
        <v>53.25141</v>
      </c>
      <c r="D109" s="26" t="s">
        <v>20</v>
      </c>
    </row>
    <row r="110" spans="1:4" x14ac:dyDescent="0.2">
      <c r="A110" s="25" t="s">
        <v>319</v>
      </c>
      <c r="B110" s="26">
        <f>IF(39.34469="","-",39.34469)</f>
        <v>39.34469</v>
      </c>
      <c r="C110" s="26">
        <f>IF(72.69="","-",72.69)</f>
        <v>72.69</v>
      </c>
      <c r="D110" s="26" t="s">
        <v>195</v>
      </c>
    </row>
    <row r="111" spans="1:4" x14ac:dyDescent="0.2">
      <c r="A111" s="25" t="s">
        <v>304</v>
      </c>
      <c r="B111" s="26">
        <f>IF(23.86373="","-",23.86373)</f>
        <v>23.86373</v>
      </c>
      <c r="C111" s="26">
        <f>IF(77.4713="","-",77.4713)</f>
        <v>77.471299999999999</v>
      </c>
      <c r="D111" s="26" t="s">
        <v>364</v>
      </c>
    </row>
    <row r="112" spans="1:4" x14ac:dyDescent="0.2">
      <c r="A112" s="25" t="s">
        <v>336</v>
      </c>
      <c r="B112" s="26">
        <f>IF(-0.10744="","-",-0.10744)</f>
        <v>-0.10743999999999999</v>
      </c>
      <c r="C112" s="26">
        <f>IF(84.91065="","-",84.91065)</f>
        <v>84.910650000000004</v>
      </c>
      <c r="D112" s="26" t="s">
        <v>20</v>
      </c>
    </row>
    <row r="113" spans="1:4" x14ac:dyDescent="0.2">
      <c r="A113" s="25" t="s">
        <v>311</v>
      </c>
      <c r="B113" s="26">
        <f>IF(-20.43001="","-",-20.43001)</f>
        <v>-20.430009999999999</v>
      </c>
      <c r="C113" s="26">
        <f>IF(98.38296="","-",98.38296)</f>
        <v>98.382959999999997</v>
      </c>
      <c r="D113" s="26" t="s">
        <v>20</v>
      </c>
    </row>
    <row r="114" spans="1:4" x14ac:dyDescent="0.2">
      <c r="A114" s="25" t="s">
        <v>310</v>
      </c>
      <c r="B114" s="26">
        <f>IF(-1.93759="","-",-1.93759)</f>
        <v>-1.9375899999999999</v>
      </c>
      <c r="C114" s="26">
        <f>IF(107.54342="","-",107.54342)</f>
        <v>107.54342</v>
      </c>
      <c r="D114" s="26" t="s">
        <v>20</v>
      </c>
    </row>
    <row r="115" spans="1:4" x14ac:dyDescent="0.2">
      <c r="A115" s="25" t="s">
        <v>98</v>
      </c>
      <c r="B115" s="26">
        <f>IF(-186.6484="","-",-186.6484)</f>
        <v>-186.64840000000001</v>
      </c>
      <c r="C115" s="26">
        <f>IF(126.60807="","-",126.60807)</f>
        <v>126.60807</v>
      </c>
      <c r="D115" s="26" t="s">
        <v>20</v>
      </c>
    </row>
    <row r="116" spans="1:4" x14ac:dyDescent="0.2">
      <c r="A116" s="25" t="s">
        <v>291</v>
      </c>
      <c r="B116" s="26">
        <f>IF(211.45377="","-",211.45377)</f>
        <v>211.45376999999999</v>
      </c>
      <c r="C116" s="26">
        <f>IF(176.90536="","-",176.90536)</f>
        <v>176.90536</v>
      </c>
      <c r="D116" s="26">
        <f>IF(OR(211.45377="",176.90536="",211.45377=0),"-",176.90536/211.45377*100)</f>
        <v>83.661483075000277</v>
      </c>
    </row>
    <row r="117" spans="1:4" x14ac:dyDescent="0.2">
      <c r="A117" s="25" t="s">
        <v>123</v>
      </c>
      <c r="B117" s="26">
        <f>IF(221.32143="","-",221.32143)</f>
        <v>221.32142999999999</v>
      </c>
      <c r="C117" s="26">
        <f>IF(186.11323="","-",186.11323)</f>
        <v>186.11322999999999</v>
      </c>
      <c r="D117" s="26">
        <f>IF(OR(221.32143="",186.11323="",221.32143=0),"-",186.11323/221.32143*100)</f>
        <v>84.091825179333057</v>
      </c>
    </row>
    <row r="118" spans="1:4" x14ac:dyDescent="0.2">
      <c r="A118" s="25" t="s">
        <v>119</v>
      </c>
      <c r="B118" s="26">
        <f>IF(310.89701="","-",310.89701)</f>
        <v>310.89701000000002</v>
      </c>
      <c r="C118" s="26">
        <f>IF(219.78759="","-",219.78759)</f>
        <v>219.78758999999999</v>
      </c>
      <c r="D118" s="26">
        <f>IF(OR(310.89701="",219.78759="",310.89701=0),"-",219.78759/310.89701*100)</f>
        <v>70.694661875326489</v>
      </c>
    </row>
    <row r="119" spans="1:4" x14ac:dyDescent="0.2">
      <c r="A119" s="25" t="s">
        <v>128</v>
      </c>
      <c r="B119" s="26">
        <f>IF(323.42825="","-",323.42825)</f>
        <v>323.42824999999999</v>
      </c>
      <c r="C119" s="26">
        <f>IF(235.66643="","-",235.66643)</f>
        <v>235.66642999999999</v>
      </c>
      <c r="D119" s="26">
        <f>IF(OR(323.42825="",235.66643="",323.42825=0),"-",235.66643/323.42825*100)</f>
        <v>72.865134693707176</v>
      </c>
    </row>
    <row r="120" spans="1:4" x14ac:dyDescent="0.2">
      <c r="A120" s="25" t="s">
        <v>202</v>
      </c>
      <c r="B120" s="26">
        <f>IF(339.04278="","-",339.04278)</f>
        <v>339.04277999999999</v>
      </c>
      <c r="C120" s="26">
        <f>IF(236.57534="","-",236.57534)</f>
        <v>236.57534000000001</v>
      </c>
      <c r="D120" s="26">
        <f>IF(OR(339.04278="",236.57534="",339.04278=0),"-",236.57534/339.04278*100)</f>
        <v>69.777430446977817</v>
      </c>
    </row>
    <row r="121" spans="1:4" x14ac:dyDescent="0.2">
      <c r="A121" s="25" t="s">
        <v>312</v>
      </c>
      <c r="B121" s="26">
        <f>IF(438.79533="","-",438.79533)</f>
        <v>438.79532999999998</v>
      </c>
      <c r="C121" s="26">
        <f>IF(317.8152="","-",317.8152)</f>
        <v>317.8152</v>
      </c>
      <c r="D121" s="26">
        <f>IF(OR(438.79533="",317.8152="",438.79533=0),"-",317.8152/438.79533*100)</f>
        <v>72.429029725544254</v>
      </c>
    </row>
    <row r="122" spans="1:4" x14ac:dyDescent="0.2">
      <c r="A122" s="25" t="s">
        <v>133</v>
      </c>
      <c r="B122" s="26">
        <f>IF(299.4="","-",299.4)</f>
        <v>299.39999999999998</v>
      </c>
      <c r="C122" s="26">
        <f>IF(405.6008="","-",405.6008)</f>
        <v>405.60079999999999</v>
      </c>
      <c r="D122" s="26">
        <f>IF(OR(299.4="",405.6008="",299.4=0),"-",405.6008/299.4*100)</f>
        <v>135.47120908483635</v>
      </c>
    </row>
    <row r="123" spans="1:4" x14ac:dyDescent="0.2">
      <c r="A123" s="25" t="s">
        <v>135</v>
      </c>
      <c r="B123" s="26">
        <f>IF(530.50984="","-",530.50984)</f>
        <v>530.50984000000005</v>
      </c>
      <c r="C123" s="26">
        <f>IF(554.03565="","-",554.03565)</f>
        <v>554.03565000000003</v>
      </c>
      <c r="D123" s="26">
        <f>IF(OR(530.50984="",554.03565="",530.50984=0),"-",554.03565/530.50984*100)</f>
        <v>104.43456619013891</v>
      </c>
    </row>
    <row r="124" spans="1:4" x14ac:dyDescent="0.2">
      <c r="A124" s="25" t="s">
        <v>92</v>
      </c>
      <c r="B124" s="26">
        <f>IF(231.46488="","-",231.46488)</f>
        <v>231.46487999999999</v>
      </c>
      <c r="C124" s="26">
        <f>IF(757.70305="","-",757.70305)</f>
        <v>757.70304999999996</v>
      </c>
      <c r="D124" s="26" t="s">
        <v>361</v>
      </c>
    </row>
    <row r="125" spans="1:4" x14ac:dyDescent="0.2">
      <c r="A125" s="25" t="s">
        <v>296</v>
      </c>
      <c r="B125" s="26">
        <f>IF(-4037.45087="","-",-4037.45087)</f>
        <v>-4037.4508700000001</v>
      </c>
      <c r="C125" s="26">
        <f>IF(852.02135="","-",852.02135)</f>
        <v>852.02134999999998</v>
      </c>
      <c r="D125" s="26" t="s">
        <v>20</v>
      </c>
    </row>
    <row r="126" spans="1:4" x14ac:dyDescent="0.2">
      <c r="A126" s="25" t="s">
        <v>74</v>
      </c>
      <c r="B126" s="26">
        <f>IF(1621.88236="","-",1621.88236)</f>
        <v>1621.8823600000001</v>
      </c>
      <c r="C126" s="26">
        <f>IF(1127.29735="","-",1127.29735)</f>
        <v>1127.2973500000001</v>
      </c>
      <c r="D126" s="26">
        <f>IF(OR(1621.88236="",1127.29735="",1621.88236=0),"-",1127.29735/1621.88236*100)</f>
        <v>69.505494220924874</v>
      </c>
    </row>
    <row r="127" spans="1:4" x14ac:dyDescent="0.2">
      <c r="A127" s="25" t="s">
        <v>61</v>
      </c>
      <c r="B127" s="26">
        <f>IF(-2360.06054="","-",-2360.06054)</f>
        <v>-2360.0605399999999</v>
      </c>
      <c r="C127" s="26">
        <f>IF(1468.97968="","-",1468.97968)</f>
        <v>1468.9796799999999</v>
      </c>
      <c r="D127" s="26" t="s">
        <v>20</v>
      </c>
    </row>
    <row r="128" spans="1:4" x14ac:dyDescent="0.2">
      <c r="A128" s="25" t="s">
        <v>65</v>
      </c>
      <c r="B128" s="26">
        <f>IF(-34.02656="","-",-34.02656)</f>
        <v>-34.026560000000003</v>
      </c>
      <c r="C128" s="26">
        <f>IF(2673.05481="","-",2673.05481)</f>
        <v>2673.0548100000001</v>
      </c>
      <c r="D128" s="26" t="s">
        <v>20</v>
      </c>
    </row>
    <row r="129" spans="1:7" x14ac:dyDescent="0.2">
      <c r="A129" s="25" t="s">
        <v>66</v>
      </c>
      <c r="B129" s="26">
        <f>IF(715.86036="","-",715.86036)</f>
        <v>715.86036000000001</v>
      </c>
      <c r="C129" s="26">
        <f>IF(3571.06507="","-",3571.06507)</f>
        <v>3571.0650700000001</v>
      </c>
      <c r="D129" s="26" t="s">
        <v>365</v>
      </c>
    </row>
    <row r="130" spans="1:7" x14ac:dyDescent="0.2">
      <c r="A130" s="25" t="s">
        <v>116</v>
      </c>
      <c r="B130" s="26">
        <f>IF(-980.87133="","-",-980.87133)</f>
        <v>-980.87132999999994</v>
      </c>
      <c r="C130" s="26">
        <f>IF(3696.71667="","-",3696.71667)</f>
        <v>3696.7166699999998</v>
      </c>
      <c r="D130" s="26" t="s">
        <v>20</v>
      </c>
    </row>
    <row r="131" spans="1:7" x14ac:dyDescent="0.2">
      <c r="A131" s="25" t="s">
        <v>35</v>
      </c>
      <c r="B131" s="26">
        <f>IF(463.3035="","-",463.3035)</f>
        <v>463.30349999999999</v>
      </c>
      <c r="C131" s="26">
        <f>IF(3823.51856="","-",3823.51856)</f>
        <v>3823.51856</v>
      </c>
      <c r="D131" s="26" t="s">
        <v>387</v>
      </c>
    </row>
    <row r="132" spans="1:7" x14ac:dyDescent="0.2">
      <c r="A132" s="25" t="s">
        <v>55</v>
      </c>
      <c r="B132" s="26">
        <f>IF(3607.04392="","-",3607.04392)</f>
        <v>3607.0439200000001</v>
      </c>
      <c r="C132" s="26">
        <f>IF(5585.68824="","-",5585.68824)</f>
        <v>5585.6882400000004</v>
      </c>
      <c r="D132" s="26">
        <f>IF(OR(3607.04392="",5585.68824="",3607.04392=0),"-",5585.68824/3607.04392*100)</f>
        <v>154.85501047073473</v>
      </c>
    </row>
    <row r="133" spans="1:7" x14ac:dyDescent="0.2">
      <c r="A133" s="25" t="s">
        <v>56</v>
      </c>
      <c r="B133" s="26">
        <f>IF(9603.7022="","-",9603.7022)</f>
        <v>9603.7021999999997</v>
      </c>
      <c r="C133" s="26">
        <f>IF(7227.15431="","-",7227.15431)</f>
        <v>7227.1543099999999</v>
      </c>
      <c r="D133" s="26">
        <f>IF(OR(9603.7022="",7227.15431="",9603.7022=0),"-",7227.15431/9603.7022*100)</f>
        <v>75.253836067511543</v>
      </c>
    </row>
    <row r="134" spans="1:7" x14ac:dyDescent="0.2">
      <c r="A134" s="25" t="s">
        <v>58</v>
      </c>
      <c r="B134" s="26">
        <f>IF(14302.53884="","-",14302.53884)</f>
        <v>14302.538839999999</v>
      </c>
      <c r="C134" s="26">
        <f>IF(15293.10428="","-",15293.10428)</f>
        <v>15293.10428</v>
      </c>
      <c r="D134" s="26">
        <f>IF(OR(14302.53884="",15293.10428="",14302.53884=0),"-",15293.10428/14302.53884*100)</f>
        <v>106.92580143344676</v>
      </c>
    </row>
    <row r="135" spans="1:7" x14ac:dyDescent="0.2">
      <c r="A135" s="25" t="s">
        <v>295</v>
      </c>
      <c r="B135" s="26">
        <f>IF(4696.8002="","-",4696.8002)</f>
        <v>4696.8001999999997</v>
      </c>
      <c r="C135" s="26">
        <f>IF(34817.74663="","-",34817.74663)</f>
        <v>34817.746630000001</v>
      </c>
      <c r="D135" s="26" t="s">
        <v>385</v>
      </c>
    </row>
    <row r="136" spans="1:7" x14ac:dyDescent="0.2">
      <c r="A136" s="32" t="s">
        <v>70</v>
      </c>
      <c r="B136" s="33">
        <f>IF(-2942.61083="","-",-2942.61083)</f>
        <v>-2942.6108300000001</v>
      </c>
      <c r="C136" s="33">
        <f>IF(48674.60268="","-",48674.60268)</f>
        <v>48674.602680000004</v>
      </c>
      <c r="D136" s="33" t="s">
        <v>20</v>
      </c>
    </row>
    <row r="137" spans="1:7" x14ac:dyDescent="0.2">
      <c r="A137" s="34" t="s">
        <v>279</v>
      </c>
      <c r="B137" s="35"/>
      <c r="C137" s="35"/>
      <c r="D137" s="35"/>
      <c r="E137" s="35"/>
      <c r="F137" s="29"/>
      <c r="G137" s="29"/>
    </row>
  </sheetData>
  <sortState xmlns:xlrd2="http://schemas.microsoft.com/office/spreadsheetml/2017/richdata2" ref="A48:G113">
    <sortCondition ref="C48:C113"/>
  </sortState>
  <mergeCells count="4">
    <mergeCell ref="A1:D1"/>
    <mergeCell ref="A3:A4"/>
    <mergeCell ref="D3:D4"/>
    <mergeCell ref="B3:C3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40"/>
  <sheetViews>
    <sheetView workbookViewId="0">
      <selection sqref="A1:G1"/>
    </sheetView>
  </sheetViews>
  <sheetFormatPr defaultRowHeight="12" x14ac:dyDescent="0.2"/>
  <cols>
    <col min="1" max="1" width="30.375" style="3" customWidth="1"/>
    <col min="2" max="2" width="14.75" style="3" customWidth="1"/>
    <col min="3" max="3" width="13.875" style="3" customWidth="1"/>
    <col min="4" max="5" width="11.625" style="3" customWidth="1"/>
    <col min="6" max="16384" width="9" style="3"/>
  </cols>
  <sheetData>
    <row r="1" spans="1:6" x14ac:dyDescent="0.2">
      <c r="A1" s="2" t="s">
        <v>412</v>
      </c>
      <c r="B1" s="2"/>
      <c r="C1" s="2"/>
      <c r="D1" s="2"/>
      <c r="E1" s="2"/>
    </row>
    <row r="2" spans="1:6" x14ac:dyDescent="0.2">
      <c r="A2" s="29"/>
      <c r="B2" s="29"/>
      <c r="C2" s="29"/>
      <c r="D2" s="29"/>
      <c r="E2" s="29"/>
    </row>
    <row r="3" spans="1:6" ht="18.75" customHeight="1" x14ac:dyDescent="0.2">
      <c r="A3" s="4"/>
      <c r="B3" s="5" t="s">
        <v>366</v>
      </c>
      <c r="C3" s="6"/>
      <c r="D3" s="5" t="s">
        <v>104</v>
      </c>
      <c r="E3" s="92"/>
      <c r="F3" s="18"/>
    </row>
    <row r="4" spans="1:6" ht="18.75" customHeight="1" x14ac:dyDescent="0.2">
      <c r="A4" s="9"/>
      <c r="B4" s="10" t="s">
        <v>115</v>
      </c>
      <c r="C4" s="11" t="s">
        <v>367</v>
      </c>
      <c r="D4" s="12" t="s">
        <v>368</v>
      </c>
      <c r="E4" s="5"/>
      <c r="F4" s="18"/>
    </row>
    <row r="5" spans="1:6" ht="23.25" customHeight="1" x14ac:dyDescent="0.2">
      <c r="A5" s="13"/>
      <c r="B5" s="14"/>
      <c r="C5" s="15"/>
      <c r="D5" s="16" t="s">
        <v>300</v>
      </c>
      <c r="E5" s="17" t="s">
        <v>301</v>
      </c>
      <c r="F5" s="18"/>
    </row>
    <row r="6" spans="1:6" ht="15.75" customHeight="1" x14ac:dyDescent="0.2">
      <c r="A6" s="24" t="s">
        <v>127</v>
      </c>
      <c r="B6" s="20">
        <v>2629714.41023</v>
      </c>
      <c r="C6" s="21">
        <f>IF(1572223.23546="","-",2629714.41023/1572223.23546*100)</f>
        <v>167.26087942979672</v>
      </c>
      <c r="D6" s="98">
        <v>100</v>
      </c>
      <c r="E6" s="98">
        <v>100</v>
      </c>
    </row>
    <row r="7" spans="1:6" ht="15.75" customHeight="1" x14ac:dyDescent="0.2">
      <c r="A7" s="94" t="s">
        <v>120</v>
      </c>
      <c r="B7" s="99"/>
      <c r="C7" s="103"/>
      <c r="D7" s="98"/>
      <c r="E7" s="98"/>
    </row>
    <row r="8" spans="1:6" x14ac:dyDescent="0.2">
      <c r="A8" s="96" t="s">
        <v>106</v>
      </c>
      <c r="B8" s="26">
        <v>419023.38699999999</v>
      </c>
      <c r="C8" s="26" t="s">
        <v>345</v>
      </c>
      <c r="D8" s="26">
        <f>IF(95508.28677="","-",95508.28677/1572223.23546*100)</f>
        <v>6.0747281057741294</v>
      </c>
      <c r="E8" s="26">
        <f>IF(419023.387="","-",419023.387/2629714.41023*100)</f>
        <v>15.934178455650299</v>
      </c>
    </row>
    <row r="9" spans="1:6" x14ac:dyDescent="0.2">
      <c r="A9" s="96" t="s">
        <v>107</v>
      </c>
      <c r="B9" s="26">
        <v>239900.72422999999</v>
      </c>
      <c r="C9" s="26" t="s">
        <v>330</v>
      </c>
      <c r="D9" s="26">
        <f>IF(20169.45423="","-",20169.45423/1572223.23546*100)</f>
        <v>1.2828619864595012</v>
      </c>
      <c r="E9" s="26">
        <f>IF(239900.72423="","-",239900.72423/2629714.41023*100)</f>
        <v>9.1226911674039091</v>
      </c>
    </row>
    <row r="10" spans="1:6" x14ac:dyDescent="0.2">
      <c r="A10" s="96" t="s">
        <v>108</v>
      </c>
      <c r="B10" s="26">
        <v>1944780.6900599999</v>
      </c>
      <c r="C10" s="26">
        <v>135.27907614520336</v>
      </c>
      <c r="D10" s="26">
        <f>IF(1437606.42479="","-",1437606.42479/1572223.23546*100)</f>
        <v>91.437805546067125</v>
      </c>
      <c r="E10" s="26">
        <f>IF(1944780.69006="","-",1944780.69006/2629714.41023*100)</f>
        <v>73.954064460174806</v>
      </c>
    </row>
    <row r="11" spans="1:6" x14ac:dyDescent="0.2">
      <c r="A11" s="96" t="s">
        <v>109</v>
      </c>
      <c r="B11" s="26">
        <v>20106.016240000001</v>
      </c>
      <c r="C11" s="26">
        <v>111.77401892446576</v>
      </c>
      <c r="D11" s="26">
        <f>IF(17988.09458="","-",17988.09458/1572223.23546*100)</f>
        <v>1.1441183525529728</v>
      </c>
      <c r="E11" s="26">
        <f>IF(20106.01624="","-",20106.01624/2629714.41023*100)</f>
        <v>0.76457033363716065</v>
      </c>
    </row>
    <row r="12" spans="1:6" x14ac:dyDescent="0.2">
      <c r="A12" s="96" t="s">
        <v>110</v>
      </c>
      <c r="B12" s="26">
        <v>912.55864999999994</v>
      </c>
      <c r="C12" s="26">
        <v>104.79771218731577</v>
      </c>
      <c r="D12" s="26">
        <f>IF(870.78108="","-",870.78108/1572223.23546*100)</f>
        <v>5.5385333352183125E-2</v>
      </c>
      <c r="E12" s="26">
        <f>IF(912.55865="","-",912.55865/2629714.41023*100)</f>
        <v>3.4701815773226334E-2</v>
      </c>
    </row>
    <row r="13" spans="1:6" x14ac:dyDescent="0.2">
      <c r="A13" s="96" t="s">
        <v>111</v>
      </c>
      <c r="B13" s="26">
        <v>4777.1006699999998</v>
      </c>
      <c r="C13" s="26" t="s">
        <v>388</v>
      </c>
      <c r="D13" s="26">
        <f>IF(3.33337="","-",3.33337/1572223.23546*100)</f>
        <v>2.12016329794587E-4</v>
      </c>
      <c r="E13" s="26">
        <f>IF(4777.10067="","-",4777.10067/2629714.41023*100)</f>
        <v>0.1816585349122449</v>
      </c>
    </row>
    <row r="14" spans="1:6" x14ac:dyDescent="0.2">
      <c r="A14" s="96" t="s">
        <v>112</v>
      </c>
      <c r="B14" s="26">
        <v>213.93338</v>
      </c>
      <c r="C14" s="26" t="s">
        <v>298</v>
      </c>
      <c r="D14" s="26">
        <f>IF(76.86064="","-",76.86064/1572223.23546*100)</f>
        <v>4.8886594642848008E-3</v>
      </c>
      <c r="E14" s="26">
        <f>IF(213.93338="","-",213.93338/2629714.41023*100)</f>
        <v>8.1352324483512633E-3</v>
      </c>
    </row>
    <row r="15" spans="1:6" x14ac:dyDescent="0.2">
      <c r="A15" s="97" t="s">
        <v>197</v>
      </c>
      <c r="B15" s="20">
        <v>1587075.12366</v>
      </c>
      <c r="C15" s="20">
        <v>157.1731461480725</v>
      </c>
      <c r="D15" s="20">
        <f>IF(1009762.267="","-",1009762.267/1572223.23546*100)</f>
        <v>64.225120467995396</v>
      </c>
      <c r="E15" s="20">
        <f>IF(1587075.12366="","-",1587075.12366/2629714.41023*100)</f>
        <v>60.351615273735803</v>
      </c>
    </row>
    <row r="16" spans="1:6" x14ac:dyDescent="0.2">
      <c r="A16" s="94" t="s">
        <v>120</v>
      </c>
      <c r="B16" s="20"/>
      <c r="C16" s="20"/>
      <c r="D16" s="20"/>
      <c r="E16" s="20"/>
    </row>
    <row r="17" spans="1:10" x14ac:dyDescent="0.2">
      <c r="A17" s="96" t="s">
        <v>106</v>
      </c>
      <c r="B17" s="26">
        <v>290108.15402000002</v>
      </c>
      <c r="C17" s="26" t="s">
        <v>389</v>
      </c>
      <c r="D17" s="26">
        <f>IF(37682.77341="","-",37682.77341/1572223.23546*100)</f>
        <v>2.396782629851848</v>
      </c>
      <c r="E17" s="26">
        <f>IF(290108.15402="","-",290108.15402/2629714.41023*100)</f>
        <v>11.031926238508408</v>
      </c>
      <c r="J17" s="106"/>
    </row>
    <row r="18" spans="1:10" x14ac:dyDescent="0.2">
      <c r="A18" s="96" t="s">
        <v>107</v>
      </c>
      <c r="B18" s="26">
        <v>41584.717089999998</v>
      </c>
      <c r="C18" s="26" t="s">
        <v>373</v>
      </c>
      <c r="D18" s="26">
        <f>IF(5543.43553="","-",5543.43553/1572223.23546*100)</f>
        <v>0.35258577821349302</v>
      </c>
      <c r="E18" s="26">
        <f>IF(41584.71709="","-",41584.71709/2629714.41023*100)</f>
        <v>1.5813396667040704</v>
      </c>
    </row>
    <row r="19" spans="1:10" x14ac:dyDescent="0.2">
      <c r="A19" s="96" t="s">
        <v>108</v>
      </c>
      <c r="B19" s="26">
        <v>1251055.5768899999</v>
      </c>
      <c r="C19" s="26">
        <v>129.91573017470139</v>
      </c>
      <c r="D19" s="26">
        <f>IF(962974.67228="","-",962974.67228/1572223.23546*100)</f>
        <v>61.249232969022593</v>
      </c>
      <c r="E19" s="26">
        <f>IF(1251055.57689="","-",1251055.57689/2629714.41023*100)</f>
        <v>47.573819119794841</v>
      </c>
    </row>
    <row r="20" spans="1:10" x14ac:dyDescent="0.2">
      <c r="A20" s="96" t="s">
        <v>109</v>
      </c>
      <c r="B20" s="26">
        <v>3859.17308</v>
      </c>
      <c r="C20" s="26">
        <v>140.93152877247041</v>
      </c>
      <c r="D20" s="26">
        <f>IF(2738.33195="","-",2738.33195/1572223.23546*100)</f>
        <v>0.17416941107595449</v>
      </c>
      <c r="E20" s="26">
        <f>IF(3859.17308="","-",3859.17308/2629714.41023*100)</f>
        <v>0.14675255476363569</v>
      </c>
    </row>
    <row r="21" spans="1:10" x14ac:dyDescent="0.2">
      <c r="A21" s="96" t="s">
        <v>110</v>
      </c>
      <c r="B21" s="26">
        <v>402.48815000000002</v>
      </c>
      <c r="C21" s="26">
        <v>51.142748798723112</v>
      </c>
      <c r="D21" s="26">
        <f>IF(786.98967="","-",786.98967/1572223.23546*100)</f>
        <v>5.0055847811570034E-2</v>
      </c>
      <c r="E21" s="26">
        <f>IF(402.48815="","-",402.48815/2629714.41023*100)</f>
        <v>1.5305393940659801E-2</v>
      </c>
    </row>
    <row r="22" spans="1:10" x14ac:dyDescent="0.2">
      <c r="A22" s="107" t="s">
        <v>112</v>
      </c>
      <c r="B22" s="26">
        <v>65.014430000000004</v>
      </c>
      <c r="C22" s="26" t="s">
        <v>195</v>
      </c>
      <c r="D22" s="26">
        <f>IF(36.06416="","-",36.06416/1572223.23546*100)</f>
        <v>2.2938320199452065E-3</v>
      </c>
      <c r="E22" s="26">
        <f>IF(65.01443="","-",65.01443/2629714.41023*100)</f>
        <v>2.4723000241807136E-3</v>
      </c>
    </row>
    <row r="23" spans="1:10" x14ac:dyDescent="0.2">
      <c r="A23" s="97" t="s">
        <v>198</v>
      </c>
      <c r="B23" s="20">
        <v>517239.71779999998</v>
      </c>
      <c r="C23" s="20" t="s">
        <v>91</v>
      </c>
      <c r="D23" s="20">
        <f>IF(243411.14254="","-",243411.14254/1572223.23546*100)</f>
        <v>15.481970820052341</v>
      </c>
      <c r="E23" s="20">
        <f>IF(517239.7178="","-",517239.7178/2629714.41023*100)</f>
        <v>19.669045269245082</v>
      </c>
    </row>
    <row r="24" spans="1:10" x14ac:dyDescent="0.2">
      <c r="A24" s="94" t="s">
        <v>120</v>
      </c>
      <c r="B24" s="20"/>
      <c r="C24" s="20"/>
      <c r="D24" s="20"/>
      <c r="E24" s="20"/>
    </row>
    <row r="25" spans="1:10" x14ac:dyDescent="0.2">
      <c r="A25" s="96" t="s">
        <v>106</v>
      </c>
      <c r="B25" s="26">
        <v>82.096980000000002</v>
      </c>
      <c r="C25" s="26">
        <v>0.79935114835495324</v>
      </c>
      <c r="D25" s="26">
        <f>IF(10270.4525="","-",10270.4525/1572223.23546*100)</f>
        <v>0.65324390763090812</v>
      </c>
      <c r="E25" s="26">
        <f>IF(82.09698="","-",82.09698/2629714.41023*100)</f>
        <v>3.1218971794286831E-3</v>
      </c>
    </row>
    <row r="26" spans="1:10" x14ac:dyDescent="0.2">
      <c r="A26" s="96" t="s">
        <v>107</v>
      </c>
      <c r="B26" s="26">
        <v>98825.599459999998</v>
      </c>
      <c r="C26" s="26" t="s">
        <v>390</v>
      </c>
      <c r="D26" s="26">
        <f>IF(3213.2971="","-",3213.2971/1572223.23546*100)</f>
        <v>0.2043791891333965</v>
      </c>
      <c r="E26" s="26">
        <f>IF(98825.59946="","-",98825.59946/2629714.41023*100)</f>
        <v>3.7580354382039731</v>
      </c>
      <c r="F26" s="18"/>
    </row>
    <row r="27" spans="1:10" x14ac:dyDescent="0.2">
      <c r="A27" s="96" t="s">
        <v>108</v>
      </c>
      <c r="B27" s="26">
        <v>409502.70818000002</v>
      </c>
      <c r="C27" s="26" t="s">
        <v>195</v>
      </c>
      <c r="D27" s="26">
        <f>IF(224516.67968="","-",224516.67968/1572223.23546*100)</f>
        <v>14.280203638786132</v>
      </c>
      <c r="E27" s="26">
        <f>IF(409502.70818="","-",409502.70818/2629714.41023*100)</f>
        <v>15.572136144783268</v>
      </c>
      <c r="F27" s="1"/>
    </row>
    <row r="28" spans="1:10" x14ac:dyDescent="0.2">
      <c r="A28" s="96" t="s">
        <v>109</v>
      </c>
      <c r="B28" s="26">
        <v>3852.3023600000001</v>
      </c>
      <c r="C28" s="26">
        <v>71.919463438229585</v>
      </c>
      <c r="D28" s="26">
        <f>IF(5356.41143="","-",5356.41143/1572223.23546*100)</f>
        <v>0.3406902600846517</v>
      </c>
      <c r="E28" s="26">
        <f>IF(3852.30236="","-",3852.30236/2629714.41023*100)</f>
        <v>0.14649128228578517</v>
      </c>
    </row>
    <row r="29" spans="1:10" x14ac:dyDescent="0.2">
      <c r="A29" s="96" t="s">
        <v>110</v>
      </c>
      <c r="B29" s="26">
        <v>59.791200000000003</v>
      </c>
      <c r="C29" s="26" t="s">
        <v>350</v>
      </c>
      <c r="D29" s="26">
        <f>IF(15.78936="","-",15.78936/1572223.23546*100)</f>
        <v>1.0042696001360365E-3</v>
      </c>
      <c r="E29" s="26">
        <f>IF(59.7912="","-",59.7912/2629714.41023*100)</f>
        <v>2.2736765546632321E-3</v>
      </c>
    </row>
    <row r="30" spans="1:10" x14ac:dyDescent="0.2">
      <c r="A30" s="96" t="s">
        <v>111</v>
      </c>
      <c r="B30" s="26">
        <v>4777.1006699999998</v>
      </c>
      <c r="C30" s="26" t="s">
        <v>388</v>
      </c>
      <c r="D30" s="26">
        <f>IF(3.33337="","-",3.33337/1572223.23546*100)</f>
        <v>2.12016329794587E-4</v>
      </c>
      <c r="E30" s="26">
        <f>IF(4777.10067="","-",4777.10067/2629714.41023*100)</f>
        <v>0.1816585349122449</v>
      </c>
    </row>
    <row r="31" spans="1:10" x14ac:dyDescent="0.2">
      <c r="A31" s="96" t="s">
        <v>112</v>
      </c>
      <c r="B31" s="26">
        <v>140.11895000000001</v>
      </c>
      <c r="C31" s="26" t="s">
        <v>353</v>
      </c>
      <c r="D31" s="26">
        <f>IF(35.1791="","-",35.1791/1572223.23546*100)</f>
        <v>2.2375384873196662E-3</v>
      </c>
      <c r="E31" s="26">
        <f>IF(140.11895="","-",140.11895/2629714.41023*100)</f>
        <v>5.3282953257173249E-3</v>
      </c>
    </row>
    <row r="32" spans="1:10" x14ac:dyDescent="0.2">
      <c r="A32" s="97" t="s">
        <v>286</v>
      </c>
      <c r="B32" s="20">
        <v>525399.56877000001</v>
      </c>
      <c r="C32" s="20">
        <f>IF(319049.82592="","-",525399.56877/319049.82592*100)</f>
        <v>164.67633770210585</v>
      </c>
      <c r="D32" s="20">
        <f>IF(319049.82592="","-",319049.82592/1572223.23546*100)</f>
        <v>20.292908711952254</v>
      </c>
      <c r="E32" s="20">
        <f>IF(525399.56877="","-",525399.56877/2629714.41023*100)</f>
        <v>19.979339457019119</v>
      </c>
    </row>
    <row r="33" spans="1:5" x14ac:dyDescent="0.2">
      <c r="A33" s="94" t="s">
        <v>120</v>
      </c>
      <c r="B33" s="20"/>
      <c r="C33" s="20"/>
      <c r="D33" s="20"/>
      <c r="E33" s="20"/>
    </row>
    <row r="34" spans="1:5" x14ac:dyDescent="0.2">
      <c r="A34" s="96" t="s">
        <v>106</v>
      </c>
      <c r="B34" s="26">
        <v>128833.136</v>
      </c>
      <c r="C34" s="26" t="s">
        <v>346</v>
      </c>
      <c r="D34" s="26">
        <f>IF(47555.06086="","-",47555.06086/1572223.23546*100)</f>
        <v>3.0247015682913734</v>
      </c>
      <c r="E34" s="26">
        <f>IF(128833.136="","-",128833.136/2629714.41023*100)</f>
        <v>4.8991303199624632</v>
      </c>
    </row>
    <row r="35" spans="1:5" x14ac:dyDescent="0.2">
      <c r="A35" s="96" t="s">
        <v>107</v>
      </c>
      <c r="B35" s="26">
        <v>99490.407680000004</v>
      </c>
      <c r="C35" s="26" t="s">
        <v>362</v>
      </c>
      <c r="D35" s="26">
        <f>IF(11412.7216="","-",11412.7216/1572223.23546*100)</f>
        <v>0.72589701911261184</v>
      </c>
      <c r="E35" s="26">
        <f>IF(99490.40768="","-",99490.40768/2629714.41023*100)</f>
        <v>3.7833160624958651</v>
      </c>
    </row>
    <row r="36" spans="1:5" x14ac:dyDescent="0.2">
      <c r="A36" s="96" t="s">
        <v>108</v>
      </c>
      <c r="B36" s="26">
        <v>284222.40499000001</v>
      </c>
      <c r="C36" s="26">
        <v>113.63665602959576</v>
      </c>
      <c r="D36" s="26">
        <f>IF(250115.07283="","-",250115.07283/1572223.23546*100)</f>
        <v>15.908368938258407</v>
      </c>
      <c r="E36" s="26">
        <f>IF(284222.40499="","-",284222.40499/2629714.41023*100)</f>
        <v>10.808109195596694</v>
      </c>
    </row>
    <row r="37" spans="1:5" x14ac:dyDescent="0.2">
      <c r="A37" s="96" t="s">
        <v>109</v>
      </c>
      <c r="B37" s="26">
        <v>12394.540800000001</v>
      </c>
      <c r="C37" s="26">
        <v>125.2815203810818</v>
      </c>
      <c r="D37" s="26">
        <f>IF(9893.3512="","-",9893.3512/1572223.23546*100)</f>
        <v>0.62925868139236651</v>
      </c>
      <c r="E37" s="26">
        <f>IF(12394.5408="","-",12394.5408/2629714.41023*100)</f>
        <v>0.47132649658773973</v>
      </c>
    </row>
    <row r="38" spans="1:5" x14ac:dyDescent="0.2">
      <c r="A38" s="107" t="s">
        <v>110</v>
      </c>
      <c r="B38" s="26">
        <v>450.27929999999998</v>
      </c>
      <c r="C38" s="26" t="s">
        <v>391</v>
      </c>
      <c r="D38" s="26">
        <f>IF(68.00205="","-",68.00205/1572223.23546*100)</f>
        <v>4.3252159404770533E-3</v>
      </c>
      <c r="E38" s="26">
        <f>IF(450.2793="","-",450.2793/2629714.41023*100)</f>
        <v>1.7122745277903303E-2</v>
      </c>
    </row>
    <row r="39" spans="1:5" x14ac:dyDescent="0.2">
      <c r="A39" s="104" t="s">
        <v>112</v>
      </c>
      <c r="B39" s="108">
        <v>8.8000000000000007</v>
      </c>
      <c r="C39" s="33">
        <v>156.65666200257061</v>
      </c>
      <c r="D39" s="33">
        <f>IF(5.61738="","-",5.61738/1572223.23546*100)</f>
        <v>3.5728895701992792E-4</v>
      </c>
      <c r="E39" s="33">
        <f>IF(8.8="","-",8.8/2629714.41023*100)</f>
        <v>3.3463709845322462E-4</v>
      </c>
    </row>
    <row r="40" spans="1:5" x14ac:dyDescent="0.2">
      <c r="A40" s="105" t="s">
        <v>19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41"/>
  <sheetViews>
    <sheetView workbookViewId="0">
      <selection sqref="A1:G1"/>
    </sheetView>
  </sheetViews>
  <sheetFormatPr defaultRowHeight="12" x14ac:dyDescent="0.2"/>
  <cols>
    <col min="1" max="1" width="31.625" style="3" customWidth="1"/>
    <col min="2" max="2" width="14.75" style="3" customWidth="1"/>
    <col min="3" max="3" width="13.375" style="3" customWidth="1"/>
    <col min="4" max="4" width="11.375" style="3" customWidth="1"/>
    <col min="5" max="5" width="11.125" style="3" customWidth="1"/>
    <col min="6" max="16384" width="9" style="3"/>
  </cols>
  <sheetData>
    <row r="1" spans="1:5" x14ac:dyDescent="0.2">
      <c r="A1" s="2" t="s">
        <v>411</v>
      </c>
      <c r="B1" s="2"/>
      <c r="C1" s="2"/>
      <c r="D1" s="2"/>
      <c r="E1" s="2"/>
    </row>
    <row r="2" spans="1:5" x14ac:dyDescent="0.2">
      <c r="A2" s="29"/>
      <c r="B2" s="29"/>
      <c r="C2" s="29"/>
      <c r="D2" s="29"/>
      <c r="E2" s="29"/>
    </row>
    <row r="3" spans="1:5" ht="18.75" customHeight="1" x14ac:dyDescent="0.2">
      <c r="A3" s="4"/>
      <c r="B3" s="5" t="s">
        <v>366</v>
      </c>
      <c r="C3" s="6"/>
      <c r="D3" s="5" t="s">
        <v>104</v>
      </c>
      <c r="E3" s="92"/>
    </row>
    <row r="4" spans="1:5" ht="18.75" customHeight="1" x14ac:dyDescent="0.2">
      <c r="A4" s="9"/>
      <c r="B4" s="10" t="s">
        <v>115</v>
      </c>
      <c r="C4" s="11" t="s">
        <v>367</v>
      </c>
      <c r="D4" s="12" t="s">
        <v>368</v>
      </c>
      <c r="E4" s="5"/>
    </row>
    <row r="5" spans="1:5" ht="23.25" customHeight="1" x14ac:dyDescent="0.2">
      <c r="A5" s="13"/>
      <c r="B5" s="14"/>
      <c r="C5" s="15"/>
      <c r="D5" s="16" t="s">
        <v>300</v>
      </c>
      <c r="E5" s="17" t="s">
        <v>301</v>
      </c>
    </row>
    <row r="6" spans="1:5" ht="15.75" customHeight="1" x14ac:dyDescent="0.2">
      <c r="A6" s="24" t="s">
        <v>121</v>
      </c>
      <c r="B6" s="20">
        <v>5111753.2354199998</v>
      </c>
      <c r="C6" s="20">
        <v>133.53213229740399</v>
      </c>
      <c r="D6" s="93">
        <v>100</v>
      </c>
      <c r="E6" s="93">
        <v>100</v>
      </c>
    </row>
    <row r="7" spans="1:5" ht="15.75" customHeight="1" x14ac:dyDescent="0.2">
      <c r="A7" s="94" t="s">
        <v>120</v>
      </c>
      <c r="B7" s="95"/>
      <c r="C7" s="20"/>
      <c r="D7" s="95"/>
      <c r="E7" s="95"/>
    </row>
    <row r="8" spans="1:5" x14ac:dyDescent="0.2">
      <c r="A8" s="96" t="s">
        <v>106</v>
      </c>
      <c r="B8" s="26">
        <v>383473.86403</v>
      </c>
      <c r="C8" s="26" t="s">
        <v>345</v>
      </c>
      <c r="D8" s="26">
        <f>IF(86788.55423="","-",86788.55423/3828107.2484*100)</f>
        <v>2.2671400929604109</v>
      </c>
      <c r="E8" s="26">
        <f>IF(383473.86403="","-",383473.86403/5111753.23542*100)</f>
        <v>7.5018070389795017</v>
      </c>
    </row>
    <row r="9" spans="1:5" x14ac:dyDescent="0.2">
      <c r="A9" s="96" t="s">
        <v>107</v>
      </c>
      <c r="B9" s="26">
        <v>248786.80627</v>
      </c>
      <c r="C9" s="26">
        <v>138.57501527868197</v>
      </c>
      <c r="D9" s="26">
        <f>IF(179532.22359="","-",179532.22359/3828107.2484*100)</f>
        <v>4.6898430984408161</v>
      </c>
      <c r="E9" s="26">
        <f>IF(248786.80627="","-",248786.80627/5111753.23542*100)</f>
        <v>4.8669564983325877</v>
      </c>
    </row>
    <row r="10" spans="1:5" x14ac:dyDescent="0.2">
      <c r="A10" s="96" t="s">
        <v>108</v>
      </c>
      <c r="B10" s="26">
        <v>3903736.98153</v>
      </c>
      <c r="C10" s="26">
        <v>117.86407639095083</v>
      </c>
      <c r="D10" s="26">
        <f>IF(3312066.83246="","-",3312066.83246/3828107.2484*100)</f>
        <v>86.519698052982065</v>
      </c>
      <c r="E10" s="26">
        <f>IF(3903736.98153="","-",3903736.98153/5111753.23542*100)</f>
        <v>76.367868356408536</v>
      </c>
    </row>
    <row r="11" spans="1:5" x14ac:dyDescent="0.2">
      <c r="A11" s="96" t="s">
        <v>109</v>
      </c>
      <c r="B11" s="26">
        <v>81481.533679999993</v>
      </c>
      <c r="C11" s="26">
        <v>89.349338061160978</v>
      </c>
      <c r="D11" s="26">
        <f>IF(91194.33389="","-",91194.33389/3828107.2484*100)</f>
        <v>2.3822303810353196</v>
      </c>
      <c r="E11" s="26">
        <f>IF(81481.53368="","-",81481.53368/5111753.23542*100)</f>
        <v>1.594003660337199</v>
      </c>
    </row>
    <row r="12" spans="1:5" x14ac:dyDescent="0.2">
      <c r="A12" s="96" t="s">
        <v>110</v>
      </c>
      <c r="B12" s="26">
        <v>6017.7687100000003</v>
      </c>
      <c r="C12" s="26">
        <v>80.745516531163261</v>
      </c>
      <c r="D12" s="26">
        <f>IF(7452.75895="","-",7452.75895/3828107.2484*100)</f>
        <v>0.19468521821364759</v>
      </c>
      <c r="E12" s="26">
        <f>IF(6017.76871="","-",6017.76871/5111753.23542*100)</f>
        <v>0.11772416297997527</v>
      </c>
    </row>
    <row r="13" spans="1:5" x14ac:dyDescent="0.2">
      <c r="A13" s="96" t="s">
        <v>111</v>
      </c>
      <c r="B13" s="26">
        <v>460953.22779999999</v>
      </c>
      <c r="C13" s="26" t="s">
        <v>359</v>
      </c>
      <c r="D13" s="26">
        <f>IF(128877.81313="","-",128877.81313/3828107.2484*100)</f>
        <v>3.366619709619314</v>
      </c>
      <c r="E13" s="26">
        <f>IF(460953.2278="","-",460953.2278/5111753.23542*100)</f>
        <v>9.0175172112377293</v>
      </c>
    </row>
    <row r="14" spans="1:5" x14ac:dyDescent="0.2">
      <c r="A14" s="96" t="s">
        <v>112</v>
      </c>
      <c r="B14" s="26">
        <v>27303.053400000001</v>
      </c>
      <c r="C14" s="26">
        <v>123.01591754059532</v>
      </c>
      <c r="D14" s="26">
        <f>IF(22194.73215="","-",22194.73215/3828107.2484*100)</f>
        <v>0.57978344674842996</v>
      </c>
      <c r="E14" s="26">
        <f>IF(27303.0534="","-",27303.0534/5111753.23542*100)</f>
        <v>0.53412307172446449</v>
      </c>
    </row>
    <row r="15" spans="1:5" x14ac:dyDescent="0.2">
      <c r="A15" s="97" t="s">
        <v>197</v>
      </c>
      <c r="B15" s="98">
        <v>2362913.5957900002</v>
      </c>
      <c r="C15" s="20">
        <v>130.71747082544093</v>
      </c>
      <c r="D15" s="20">
        <f>IF(1807649.41432="","-",1807649.41432/3828107.2484*100)</f>
        <v>47.220448566991621</v>
      </c>
      <c r="E15" s="20">
        <f>IF(2362913.59579="","-",2362913.59579/5111753.23542*100)</f>
        <v>46.225110778373768</v>
      </c>
    </row>
    <row r="16" spans="1:5" x14ac:dyDescent="0.2">
      <c r="A16" s="94" t="s">
        <v>120</v>
      </c>
      <c r="B16" s="99"/>
      <c r="C16" s="20"/>
      <c r="D16" s="20"/>
      <c r="E16" s="20"/>
    </row>
    <row r="17" spans="1:6" x14ac:dyDescent="0.2">
      <c r="A17" s="96" t="s">
        <v>106</v>
      </c>
      <c r="B17" s="26">
        <v>120370.33461999999</v>
      </c>
      <c r="C17" s="26" t="s">
        <v>372</v>
      </c>
      <c r="D17" s="26">
        <f>IF(29212.70702="","-",29212.70702/3828107.2484*100)</f>
        <v>0.76311098734785388</v>
      </c>
      <c r="E17" s="26">
        <f>IF(120370.33462="","-",120370.33462/5111753.23542*100)</f>
        <v>2.3547759267004196</v>
      </c>
    </row>
    <row r="18" spans="1:6" x14ac:dyDescent="0.2">
      <c r="A18" s="96" t="s">
        <v>107</v>
      </c>
      <c r="B18" s="26">
        <v>123655.09759999999</v>
      </c>
      <c r="C18" s="26" t="s">
        <v>101</v>
      </c>
      <c r="D18" s="26">
        <f>IF(64478.7672="","-",64478.7672/3828107.2484*100)</f>
        <v>1.6843511170422307</v>
      </c>
      <c r="E18" s="26">
        <f>IF(123655.0976="","-",123655.0976/5111753.23542*100)</f>
        <v>2.4190349554273829</v>
      </c>
    </row>
    <row r="19" spans="1:6" x14ac:dyDescent="0.2">
      <c r="A19" s="96" t="s">
        <v>108</v>
      </c>
      <c r="B19" s="26">
        <v>2070931.91423</v>
      </c>
      <c r="C19" s="26">
        <v>123.76770182869691</v>
      </c>
      <c r="D19" s="26">
        <f>IF(1673240.98584="","-",1673240.98584/3828107.2484*100)</f>
        <v>43.70935497011871</v>
      </c>
      <c r="E19" s="26">
        <f>IF(2070931.91423="","-",2070931.91423/5111753.23542*100)</f>
        <v>40.513143316078811</v>
      </c>
    </row>
    <row r="20" spans="1:6" x14ac:dyDescent="0.2">
      <c r="A20" s="96" t="s">
        <v>109</v>
      </c>
      <c r="B20" s="26">
        <v>19426.849279999999</v>
      </c>
      <c r="C20" s="26">
        <v>97.280314445905873</v>
      </c>
      <c r="D20" s="26">
        <f>IF(19969.96966="","-",19969.96966/3828107.2484*100)</f>
        <v>0.52166693261654751</v>
      </c>
      <c r="E20" s="26">
        <f>IF(19426.84928="","-",19426.84928/5111753.23542*100)</f>
        <v>0.38004278346984449</v>
      </c>
    </row>
    <row r="21" spans="1:6" x14ac:dyDescent="0.2">
      <c r="A21" s="96" t="s">
        <v>110</v>
      </c>
      <c r="B21" s="26">
        <v>3842.8163500000001</v>
      </c>
      <c r="C21" s="26">
        <v>109.93896828284559</v>
      </c>
      <c r="D21" s="26">
        <f>IF(3495.40878="","-",3495.40878/3828107.2484*100)</f>
        <v>9.1309060932421512E-2</v>
      </c>
      <c r="E21" s="26">
        <f>IF(3842.81635="","-",3842.81635/5111753.23542*100)</f>
        <v>7.5176092683281889E-2</v>
      </c>
    </row>
    <row r="22" spans="1:6" x14ac:dyDescent="0.2">
      <c r="A22" s="96" t="s">
        <v>112</v>
      </c>
      <c r="B22" s="26">
        <v>24686.583709999999</v>
      </c>
      <c r="C22" s="26">
        <v>143.09755797137379</v>
      </c>
      <c r="D22" s="26">
        <f>IF(17251.57582="","-",17251.57582/3828107.2484*100)</f>
        <v>0.45065549893385265</v>
      </c>
      <c r="E22" s="26">
        <f>IF(24686.58371="","-",24686.58371/5111753.23542*100)</f>
        <v>0.48293770401402525</v>
      </c>
      <c r="F22" s="100"/>
    </row>
    <row r="23" spans="1:6" x14ac:dyDescent="0.2">
      <c r="A23" s="97" t="s">
        <v>198</v>
      </c>
      <c r="B23" s="98">
        <v>1321676.4200899999</v>
      </c>
      <c r="C23" s="101">
        <v>149.22850086742559</v>
      </c>
      <c r="D23" s="20">
        <f>IF(885672.91932="","-",885672.91932/3828107.2484*100)</f>
        <v>23.136052932952097</v>
      </c>
      <c r="E23" s="20">
        <f>IF(1321676.42009="","-",1321676.42009/5111753.23542*100)</f>
        <v>25.855638158194587</v>
      </c>
      <c r="F23" s="100"/>
    </row>
    <row r="24" spans="1:6" x14ac:dyDescent="0.2">
      <c r="A24" s="96" t="s">
        <v>120</v>
      </c>
      <c r="B24" s="99"/>
      <c r="C24" s="99"/>
      <c r="D24" s="20"/>
      <c r="E24" s="20"/>
      <c r="F24" s="102"/>
    </row>
    <row r="25" spans="1:6" x14ac:dyDescent="0.2">
      <c r="A25" s="96" t="s">
        <v>106</v>
      </c>
      <c r="B25" s="26">
        <v>107842.99479</v>
      </c>
      <c r="C25" s="99" t="s">
        <v>281</v>
      </c>
      <c r="D25" s="26">
        <f>IF(45364.87866="","-",45364.87866/3828107.2484*100)</f>
        <v>1.1850472235061011</v>
      </c>
      <c r="E25" s="26">
        <f>IF(107842.99479="","-",107842.99479/5111753.23542*100)</f>
        <v>2.1097065883920596</v>
      </c>
      <c r="F25" s="102"/>
    </row>
    <row r="26" spans="1:6" x14ac:dyDescent="0.2">
      <c r="A26" s="96" t="s">
        <v>107</v>
      </c>
      <c r="B26" s="26">
        <v>124243.83861999999</v>
      </c>
      <c r="C26" s="99">
        <v>107.98792362990564</v>
      </c>
      <c r="D26" s="26">
        <f>IF(115053.45639="","-",115053.45639/3828107.2484*100)</f>
        <v>3.0054919813985852</v>
      </c>
      <c r="E26" s="26">
        <f>IF(124243.83862="","-",124243.83862/5111753.23542*100)</f>
        <v>2.4305523545052674</v>
      </c>
      <c r="F26" s="102"/>
    </row>
    <row r="27" spans="1:6" x14ac:dyDescent="0.2">
      <c r="A27" s="96" t="s">
        <v>108</v>
      </c>
      <c r="B27" s="26">
        <v>618821.94354000001</v>
      </c>
      <c r="C27" s="99">
        <v>106.83865142778714</v>
      </c>
      <c r="D27" s="26">
        <f>IF(579211.67599="","-",579211.67599/3828107.2484*100)</f>
        <v>15.13049761685982</v>
      </c>
      <c r="E27" s="26">
        <f>IF(618821.94354="","-",618821.94354/5111753.23542*100)</f>
        <v>12.105864955532335</v>
      </c>
      <c r="F27" s="102"/>
    </row>
    <row r="28" spans="1:6" x14ac:dyDescent="0.2">
      <c r="A28" s="96" t="s">
        <v>109</v>
      </c>
      <c r="B28" s="26">
        <v>8932.6673800000008</v>
      </c>
      <c r="C28" s="99">
        <v>57.331413909069639</v>
      </c>
      <c r="D28" s="26">
        <f>IF(15580.75542="","-",15580.75542/3828107.2484*100)</f>
        <v>0.40700937588705621</v>
      </c>
      <c r="E28" s="26">
        <f>IF(8932.66738="","-",8932.66738/5111753.23542*100)</f>
        <v>0.17474762510256545</v>
      </c>
      <c r="F28" s="102"/>
    </row>
    <row r="29" spans="1:6" x14ac:dyDescent="0.2">
      <c r="A29" s="96" t="s">
        <v>110</v>
      </c>
      <c r="B29" s="26">
        <v>238.84848</v>
      </c>
      <c r="C29" s="99">
        <v>122.5681938413568</v>
      </c>
      <c r="D29" s="26">
        <f>IF(194.86987="","-",194.86987/3828107.2484*100)</f>
        <v>5.0905018421688163E-3</v>
      </c>
      <c r="E29" s="26">
        <f>IF(238.84848="","-",238.84848/5111753.23542*100)</f>
        <v>4.6725354100622066E-3</v>
      </c>
      <c r="F29" s="102"/>
    </row>
    <row r="30" spans="1:6" x14ac:dyDescent="0.2">
      <c r="A30" s="96" t="s">
        <v>111</v>
      </c>
      <c r="B30" s="26">
        <v>460953.22779999999</v>
      </c>
      <c r="C30" s="99" t="s">
        <v>359</v>
      </c>
      <c r="D30" s="26">
        <f>IF(128877.81313="","-",128877.81313/3828107.2484*100)</f>
        <v>3.366619709619314</v>
      </c>
      <c r="E30" s="26">
        <f>IF(460953.2278="","-",460953.2278/5111753.23542*100)</f>
        <v>9.0175172112377293</v>
      </c>
    </row>
    <row r="31" spans="1:6" x14ac:dyDescent="0.2">
      <c r="A31" s="96" t="s">
        <v>112</v>
      </c>
      <c r="B31" s="26">
        <v>642.89948000000004</v>
      </c>
      <c r="C31" s="103">
        <v>46.269408103605791</v>
      </c>
      <c r="D31" s="26">
        <f>IF(1389.46986="","-",1389.46986/3828107.2484*100)</f>
        <v>3.6296523839052429E-2</v>
      </c>
      <c r="E31" s="26">
        <f>IF(642.89948="","-",642.89948/5111753.23542*100)</f>
        <v>1.2576888014571328E-2</v>
      </c>
    </row>
    <row r="32" spans="1:6" x14ac:dyDescent="0.2">
      <c r="A32" s="97" t="s">
        <v>199</v>
      </c>
      <c r="B32" s="98">
        <v>1427163.21954</v>
      </c>
      <c r="C32" s="20">
        <v>125.76508561023971</v>
      </c>
      <c r="D32" s="20">
        <f>IF(1134784.91476="","-",1134784.91476/3828107.2484*100)</f>
        <v>29.643498500056285</v>
      </c>
      <c r="E32" s="20">
        <f>IF(1427163.21954="","-",1427163.21954/5111753.23542*100)</f>
        <v>27.919251063431648</v>
      </c>
    </row>
    <row r="33" spans="1:5" x14ac:dyDescent="0.2">
      <c r="A33" s="96" t="s">
        <v>120</v>
      </c>
      <c r="B33" s="99"/>
      <c r="C33" s="20"/>
      <c r="D33" s="20"/>
      <c r="E33" s="20"/>
    </row>
    <row r="34" spans="1:5" x14ac:dyDescent="0.2">
      <c r="A34" s="96" t="s">
        <v>106</v>
      </c>
      <c r="B34" s="26">
        <v>155260.53461999999</v>
      </c>
      <c r="C34" s="26" t="s">
        <v>392</v>
      </c>
      <c r="D34" s="26">
        <f>IF(12210.96855="","-",12210.96855/3828107.2484*100)</f>
        <v>0.31898188210645639</v>
      </c>
      <c r="E34" s="26">
        <f>IF(155260.53462="","-",155260.53462/5111753.23542*100)</f>
        <v>3.037324523887023</v>
      </c>
    </row>
    <row r="35" spans="1:5" x14ac:dyDescent="0.2">
      <c r="A35" s="96" t="s">
        <v>107</v>
      </c>
      <c r="B35" s="26">
        <v>887.87004999999999</v>
      </c>
      <c r="C35" s="26" t="s">
        <v>280</v>
      </c>
      <c r="D35" s="99" t="s">
        <v>280</v>
      </c>
      <c r="E35" s="26">
        <f>IF(887.87005="","-",887.87005/5111753.23542*100)</f>
        <v>1.736918839993749E-2</v>
      </c>
    </row>
    <row r="36" spans="1:5" x14ac:dyDescent="0.2">
      <c r="A36" s="96" t="s">
        <v>108</v>
      </c>
      <c r="B36" s="26">
        <v>1213983.1237600001</v>
      </c>
      <c r="C36" s="26">
        <v>114.56841154155374</v>
      </c>
      <c r="D36" s="26">
        <f>IF(1059614.17063="","-",1059614.17063/3828107.2484*100)</f>
        <v>27.679845466003535</v>
      </c>
      <c r="E36" s="26">
        <f>IF(1213983.12376="","-",1213983.12376/5111753.23542*100)</f>
        <v>23.748860084797403</v>
      </c>
    </row>
    <row r="37" spans="1:5" x14ac:dyDescent="0.2">
      <c r="A37" s="96" t="s">
        <v>109</v>
      </c>
      <c r="B37" s="26">
        <v>53122.017019999999</v>
      </c>
      <c r="C37" s="26">
        <v>95.468317307365538</v>
      </c>
      <c r="D37" s="26">
        <f>IF(55643.60881="","-",55643.60881/3828107.2484*100)</f>
        <v>1.4535540725317158</v>
      </c>
      <c r="E37" s="26">
        <f>IF(53122.01702="","-",53122.01702/5111753.23542*100)</f>
        <v>1.0392132517647892</v>
      </c>
    </row>
    <row r="38" spans="1:5" x14ac:dyDescent="0.2">
      <c r="A38" s="96" t="s">
        <v>110</v>
      </c>
      <c r="B38" s="26">
        <v>1936.1038799999999</v>
      </c>
      <c r="C38" s="26">
        <v>51.458179860768972</v>
      </c>
      <c r="D38" s="26">
        <f>IF(3762.4803="","-",3762.4803/3828107.2484*100)</f>
        <v>9.8285655439057276E-2</v>
      </c>
      <c r="E38" s="26">
        <f>IF(1936.10388="","-",1936.10388/5111753.23542*100)</f>
        <v>3.7875534886631174E-2</v>
      </c>
    </row>
    <row r="39" spans="1:5" x14ac:dyDescent="0.2">
      <c r="A39" s="104" t="s">
        <v>112</v>
      </c>
      <c r="B39" s="33">
        <v>1973.5702100000001</v>
      </c>
      <c r="C39" s="33">
        <v>55.535856262525044</v>
      </c>
      <c r="D39" s="33">
        <f>IF(3553.68647="","-",3553.68647/3828107.2484*100)</f>
        <v>9.2831423975524796E-2</v>
      </c>
      <c r="E39" s="33">
        <f>IF(1973.57021="","-",1973.57021/5111753.23542*100)</f>
        <v>3.8608479695867878E-2</v>
      </c>
    </row>
    <row r="40" spans="1:5" x14ac:dyDescent="0.2">
      <c r="A40" s="105" t="s">
        <v>19</v>
      </c>
    </row>
    <row r="41" spans="1:5" x14ac:dyDescent="0.2">
      <c r="B41" s="18"/>
      <c r="C41" s="18"/>
      <c r="D41" s="18"/>
      <c r="E41" s="18"/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84"/>
  <sheetViews>
    <sheetView zoomScaleNormal="100" workbookViewId="0">
      <selection activeCell="M30" sqref="M30"/>
    </sheetView>
  </sheetViews>
  <sheetFormatPr defaultRowHeight="12" x14ac:dyDescent="0.2"/>
  <cols>
    <col min="1" max="1" width="4.875" style="3" customWidth="1"/>
    <col min="2" max="2" width="26.125" style="3" customWidth="1"/>
    <col min="3" max="3" width="12" style="3" customWidth="1"/>
    <col min="4" max="4" width="10.75" style="3" customWidth="1"/>
    <col min="5" max="6" width="7.875" style="3" customWidth="1"/>
    <col min="7" max="7" width="8.75" style="3" customWidth="1"/>
    <col min="8" max="8" width="8.375" style="3" customWidth="1"/>
    <col min="9" max="9" width="9" style="3"/>
    <col min="10" max="10" width="9.125" style="3" customWidth="1"/>
    <col min="11" max="16384" width="9" style="3"/>
  </cols>
  <sheetData>
    <row r="1" spans="1:11" x14ac:dyDescent="0.2">
      <c r="B1" s="37" t="s">
        <v>409</v>
      </c>
      <c r="C1" s="37"/>
      <c r="D1" s="37"/>
      <c r="E1" s="37"/>
      <c r="F1" s="37"/>
      <c r="G1" s="37"/>
      <c r="H1" s="37"/>
    </row>
    <row r="2" spans="1:11" x14ac:dyDescent="0.2">
      <c r="B2" s="37" t="s">
        <v>278</v>
      </c>
      <c r="C2" s="37"/>
      <c r="D2" s="37"/>
      <c r="E2" s="37"/>
      <c r="F2" s="37"/>
      <c r="G2" s="37"/>
      <c r="H2" s="37"/>
    </row>
    <row r="3" spans="1:11" x14ac:dyDescent="0.2">
      <c r="B3" s="86"/>
    </row>
    <row r="4" spans="1:11" ht="57" customHeight="1" x14ac:dyDescent="0.2">
      <c r="A4" s="64" t="s">
        <v>204</v>
      </c>
      <c r="B4" s="65"/>
      <c r="C4" s="66" t="s">
        <v>366</v>
      </c>
      <c r="D4" s="41"/>
      <c r="E4" s="66" t="s">
        <v>0</v>
      </c>
      <c r="F4" s="41"/>
      <c r="G4" s="42" t="s">
        <v>102</v>
      </c>
      <c r="H4" s="67"/>
    </row>
    <row r="5" spans="1:11" ht="19.5" customHeight="1" x14ac:dyDescent="0.2">
      <c r="A5" s="68"/>
      <c r="B5" s="69"/>
      <c r="C5" s="70" t="s">
        <v>105</v>
      </c>
      <c r="D5" s="39" t="s">
        <v>367</v>
      </c>
      <c r="E5" s="71" t="s">
        <v>368</v>
      </c>
      <c r="F5" s="71"/>
      <c r="G5" s="71" t="s">
        <v>410</v>
      </c>
      <c r="H5" s="66"/>
    </row>
    <row r="6" spans="1:11" ht="33" customHeight="1" x14ac:dyDescent="0.2">
      <c r="A6" s="72"/>
      <c r="B6" s="73"/>
      <c r="C6" s="74"/>
      <c r="D6" s="43"/>
      <c r="E6" s="75" t="s">
        <v>300</v>
      </c>
      <c r="F6" s="75" t="s">
        <v>301</v>
      </c>
      <c r="G6" s="75" t="s">
        <v>300</v>
      </c>
      <c r="H6" s="45" t="s">
        <v>301</v>
      </c>
      <c r="I6" s="18"/>
    </row>
    <row r="7" spans="1:11" ht="16.5" customHeight="1" x14ac:dyDescent="0.2">
      <c r="A7" s="87"/>
      <c r="B7" s="88" t="s">
        <v>96</v>
      </c>
      <c r="C7" s="21">
        <f>IF(2629714.41023="","-",2629714.41023)</f>
        <v>2629714.41023</v>
      </c>
      <c r="D7" s="21">
        <f>IF(1572223.23546="","-",2629714.41023/1572223.23546*100)</f>
        <v>167.26087942979672</v>
      </c>
      <c r="E7" s="21">
        <v>100</v>
      </c>
      <c r="F7" s="21">
        <v>100</v>
      </c>
      <c r="G7" s="21">
        <f>IF(1361306.86729="","-",(1572223.23546-1361306.86729)/1361306.86729*100)</f>
        <v>15.493668124210567</v>
      </c>
      <c r="H7" s="21">
        <f>IF(1572223.23546="","-",(2629714.41023-1572223.23546)/1572223.23546*100)</f>
        <v>67.260879429796745</v>
      </c>
    </row>
    <row r="8" spans="1:11" x14ac:dyDescent="0.2">
      <c r="A8" s="78" t="s">
        <v>205</v>
      </c>
      <c r="B8" s="79" t="s">
        <v>173</v>
      </c>
      <c r="C8" s="20">
        <f>IF(650366.17404="","-",650366.17404)</f>
        <v>650366.17403999995</v>
      </c>
      <c r="D8" s="20" t="s">
        <v>355</v>
      </c>
      <c r="E8" s="20">
        <f>IF(288500.34033="","-",288500.34033/1572223.23546*100)</f>
        <v>18.349833142212198</v>
      </c>
      <c r="F8" s="20">
        <f>IF(650366.17404="","-",650366.17404/2629714.41023*100)</f>
        <v>24.731437433280735</v>
      </c>
      <c r="G8" s="20">
        <f>IF(1361306.86729="","-",(288500.34033-350635.58431)/1361306.86729*100)</f>
        <v>-4.5643818798692157</v>
      </c>
      <c r="H8" s="20">
        <f>IF(1572223.23546="","-",(650366.17404-288500.34033)/1572223.23546*100)</f>
        <v>23.016186604323114</v>
      </c>
    </row>
    <row r="9" spans="1:11" ht="13.5" customHeight="1" x14ac:dyDescent="0.2">
      <c r="A9" s="80" t="s">
        <v>206</v>
      </c>
      <c r="B9" s="81" t="s">
        <v>21</v>
      </c>
      <c r="C9" s="26">
        <f>IF(4044.16056="","-",4044.16056)</f>
        <v>4044.1605599999998</v>
      </c>
      <c r="D9" s="26">
        <f>IF(OR(6461.95654="",4044.16056=""),"-",4044.16056/6461.95654*100)</f>
        <v>62.584149784455214</v>
      </c>
      <c r="E9" s="26">
        <f>IF(6461.95654="","-",6461.95654/1572223.23546*100)</f>
        <v>0.41100757158759099</v>
      </c>
      <c r="F9" s="26">
        <f>IF(4044.16056="","-",4044.16056/2629714.41023*100)</f>
        <v>0.15378706312242815</v>
      </c>
      <c r="G9" s="26">
        <f>IF(OR(1361306.86729="",7626.76778="",6461.95654=""),"-",(6461.95654-7626.76778)/1361306.86729*100)</f>
        <v>-8.5565662525366487E-2</v>
      </c>
      <c r="H9" s="26">
        <f>IF(OR(1572223.23546="",4044.16056="",6461.95654=""),"-",(4044.16056-6461.95654)/1572223.23546*100)</f>
        <v>-0.15378197735976107</v>
      </c>
      <c r="I9" s="51"/>
      <c r="J9" s="52"/>
      <c r="K9" s="89"/>
    </row>
    <row r="10" spans="1:11" x14ac:dyDescent="0.2">
      <c r="A10" s="80" t="s">
        <v>207</v>
      </c>
      <c r="B10" s="81" t="s">
        <v>174</v>
      </c>
      <c r="C10" s="26">
        <f>IF(2019.5481="","-",2019.5481)</f>
        <v>2019.5481</v>
      </c>
      <c r="D10" s="26">
        <f>IF(OR(4067.2075="",2019.5481=""),"-",2019.5481/4067.2075*100)</f>
        <v>49.654415222237866</v>
      </c>
      <c r="E10" s="26">
        <f>IF(4067.2075="","-",4067.2075/1572223.23546*100)</f>
        <v>0.25869147639266499</v>
      </c>
      <c r="F10" s="26">
        <f>IF(2019.5481="","-",2019.5481/2629714.41023*100)</f>
        <v>7.6797240496673025E-2</v>
      </c>
      <c r="G10" s="26">
        <f>IF(OR(1361306.86729="",2084.75787="",4067.2075=""),"-",(4067.2075-2084.75787)/1361306.86729*100)</f>
        <v>0.14562841616648348</v>
      </c>
      <c r="H10" s="26">
        <f>IF(OR(1572223.23546="",2019.5481="",4067.2075=""),"-",(2019.5481-4067.2075)/1572223.23546*100)</f>
        <v>-0.1302397365601137</v>
      </c>
      <c r="I10" s="54"/>
      <c r="J10" s="55"/>
      <c r="K10" s="90"/>
    </row>
    <row r="11" spans="1:11" s="29" customFormat="1" x14ac:dyDescent="0.2">
      <c r="A11" s="80" t="s">
        <v>208</v>
      </c>
      <c r="B11" s="81" t="s">
        <v>175</v>
      </c>
      <c r="C11" s="26">
        <f>IF(8802.33776="","-",8802.33776)</f>
        <v>8802.3377600000003</v>
      </c>
      <c r="D11" s="26">
        <f>IF(OR(6298.66477="",8802.33776=""),"-",8802.33776/6298.66477*100)</f>
        <v>139.74926562094208</v>
      </c>
      <c r="E11" s="26">
        <f>IF(6298.66477="","-",6298.66477/1572223.23546*100)</f>
        <v>0.40062152930573758</v>
      </c>
      <c r="F11" s="26">
        <f>IF(8802.33776="","-",8802.33776/2629714.41023*100)</f>
        <v>0.33472599631950645</v>
      </c>
      <c r="G11" s="26">
        <f>IF(OR(1361306.86729="",6013.07989="",6298.66477=""),"-",(6298.66477-6013.07989)/1361306.86729*100)</f>
        <v>2.0978729106724034E-2</v>
      </c>
      <c r="H11" s="26">
        <f>IF(OR(1572223.23546="",8802.33776="",6298.66477=""),"-",(8802.33776-6298.66477)/1572223.23546*100)</f>
        <v>0.15924411581841791</v>
      </c>
      <c r="I11" s="54"/>
      <c r="J11" s="55"/>
      <c r="K11" s="90"/>
    </row>
    <row r="12" spans="1:11" s="29" customFormat="1" x14ac:dyDescent="0.2">
      <c r="A12" s="80" t="s">
        <v>209</v>
      </c>
      <c r="B12" s="81" t="s">
        <v>176</v>
      </c>
      <c r="C12" s="26">
        <f>IF(55.88052="","-",55.88052)</f>
        <v>55.880519999999997</v>
      </c>
      <c r="D12" s="26">
        <f>IF(OR(39.49188="",55.88052=""),"-",55.88052/39.49188*100)</f>
        <v>141.49875873217482</v>
      </c>
      <c r="E12" s="26">
        <f>IF(39.49188="","-",39.49188/1572223.23546*100)</f>
        <v>2.511849405943011E-3</v>
      </c>
      <c r="F12" s="26">
        <f>IF(55.88052="","-",55.88052/2629714.41023*100)</f>
        <v>2.1249653491883392E-3</v>
      </c>
      <c r="G12" s="26">
        <f>IF(OR(1361306.86729="",2.95359="",39.49188=""),"-",(39.49188-2.95359)/1361306.86729*100)</f>
        <v>2.6840597721172173E-3</v>
      </c>
      <c r="H12" s="26">
        <f>IF(OR(1572223.23546="",55.88052="",39.49188=""),"-",(55.88052-39.49188)/1572223.23546*100)</f>
        <v>1.0423863246878562E-3</v>
      </c>
      <c r="I12" s="54"/>
      <c r="J12" s="55"/>
      <c r="K12" s="90"/>
    </row>
    <row r="13" spans="1:11" s="29" customFormat="1" ht="15.75" customHeight="1" x14ac:dyDescent="0.2">
      <c r="A13" s="80" t="s">
        <v>210</v>
      </c>
      <c r="B13" s="81" t="s">
        <v>177</v>
      </c>
      <c r="C13" s="26">
        <f>IF(358975.17733="","-",358975.17733)</f>
        <v>358975.17732999998</v>
      </c>
      <c r="D13" s="26" t="s">
        <v>353</v>
      </c>
      <c r="E13" s="26">
        <f>IF(90785.89373="","-",90785.89373/1572223.23546*100)</f>
        <v>5.7743640777219474</v>
      </c>
      <c r="F13" s="26">
        <f>IF(358975.17733="","-",358975.17733/2629714.41023*100)</f>
        <v>13.650728608913973</v>
      </c>
      <c r="G13" s="26">
        <f>IF(OR(1361306.86729="",120020.9477="",90785.89373=""),"-",(90785.89373-120020.9477)/1361306.86729*100)</f>
        <v>-2.1475726504046238</v>
      </c>
      <c r="H13" s="26">
        <f>IF(OR(1572223.23546="",358975.17733="",90785.89373=""),"-",(358975.17733-90785.89373)/1572223.23546*100)</f>
        <v>17.057964642122421</v>
      </c>
      <c r="I13" s="54"/>
      <c r="J13" s="55"/>
      <c r="K13" s="90"/>
    </row>
    <row r="14" spans="1:11" s="29" customFormat="1" ht="15.75" customHeight="1" x14ac:dyDescent="0.2">
      <c r="A14" s="80" t="s">
        <v>211</v>
      </c>
      <c r="B14" s="81" t="s">
        <v>178</v>
      </c>
      <c r="C14" s="26">
        <f>IF(215522.98247="","-",215522.98247)</f>
        <v>215522.98246999999</v>
      </c>
      <c r="D14" s="26">
        <f>IF(OR(153448.84495="",215522.98247=""),"-",215522.98247/153448.84495*100)</f>
        <v>140.45265869562348</v>
      </c>
      <c r="E14" s="26">
        <f>IF(153448.84495="","-",153448.84495/1572223.23546*100)</f>
        <v>9.7599909153552247</v>
      </c>
      <c r="F14" s="26">
        <f>IF(215522.98247="","-",215522.98247/2629714.41023*100)</f>
        <v>8.1956801708802267</v>
      </c>
      <c r="G14" s="26">
        <f>IF(OR(1361306.86729="",180542.78979="",153448.84495=""),"-",(153448.84495-180542.78979)/1361306.86729*100)</f>
        <v>-1.9902892941351902</v>
      </c>
      <c r="H14" s="26">
        <f>IF(OR(1572223.23546="",215522.98247="",153448.84495=""),"-",(215522.98247-153448.84495)/1572223.23546*100)</f>
        <v>3.9481758137125089</v>
      </c>
      <c r="I14" s="54"/>
      <c r="J14" s="55"/>
      <c r="K14" s="90"/>
    </row>
    <row r="15" spans="1:11" s="29" customFormat="1" ht="24" x14ac:dyDescent="0.2">
      <c r="A15" s="80" t="s">
        <v>212</v>
      </c>
      <c r="B15" s="81" t="s">
        <v>136</v>
      </c>
      <c r="C15" s="26">
        <f>IF(13900.6946="","-",13900.6946)</f>
        <v>13900.694600000001</v>
      </c>
      <c r="D15" s="26" t="s">
        <v>99</v>
      </c>
      <c r="E15" s="26">
        <f>IF(8199.99067="","-",8199.99067/1572223.23546*100)</f>
        <v>0.52155384076872846</v>
      </c>
      <c r="F15" s="26">
        <f>IF(13900.6946="","-",13900.6946/2629714.41023*100)</f>
        <v>0.52860092129868275</v>
      </c>
      <c r="G15" s="26">
        <f>IF(OR(1361306.86729="",11237.20836="",8199.99067=""),"-",(8199.99067-11237.20836)/1361306.86729*100)</f>
        <v>-0.22311043622708629</v>
      </c>
      <c r="H15" s="26">
        <f>IF(OR(1572223.23546="",13900.6946="",8199.99067=""),"-",(13900.6946-8199.99067)/1572223.23546*100)</f>
        <v>0.36258870886945599</v>
      </c>
      <c r="I15" s="54"/>
      <c r="J15" s="55"/>
      <c r="K15" s="90"/>
    </row>
    <row r="16" spans="1:11" s="29" customFormat="1" ht="24" x14ac:dyDescent="0.2">
      <c r="A16" s="80" t="s">
        <v>213</v>
      </c>
      <c r="B16" s="81" t="s">
        <v>179</v>
      </c>
      <c r="C16" s="26">
        <f>IF(6407.13641="","-",6407.13641)</f>
        <v>6407.1364100000001</v>
      </c>
      <c r="D16" s="26">
        <f>IF(OR(5289.72041="",6407.13641=""),"-",6407.13641/5289.72041*100)</f>
        <v>121.12429227615833</v>
      </c>
      <c r="E16" s="26">
        <f>IF(5289.72041="","-",5289.72041/1572223.23546*100)</f>
        <v>0.33644843115757267</v>
      </c>
      <c r="F16" s="26">
        <f>IF(6407.13641="","-",6407.13641/2629714.41023*100)</f>
        <v>0.24364381109504657</v>
      </c>
      <c r="G16" s="26">
        <f>IF(OR(1361306.86729="",4235.95436="",5289.72041=""),"-",(5289.72041-4235.95436)/1361306.86729*100)</f>
        <v>7.7408413585525221E-2</v>
      </c>
      <c r="H16" s="26">
        <f>IF(OR(1572223.23546="",6407.13641="",5289.72041=""),"-",(6407.13641-5289.72041)/1572223.23546*100)</f>
        <v>7.1072349956274955E-2</v>
      </c>
      <c r="I16" s="54"/>
      <c r="J16" s="55"/>
      <c r="K16" s="90"/>
    </row>
    <row r="17" spans="1:11" s="29" customFormat="1" ht="24" x14ac:dyDescent="0.2">
      <c r="A17" s="80" t="s">
        <v>214</v>
      </c>
      <c r="B17" s="81" t="s">
        <v>137</v>
      </c>
      <c r="C17" s="26">
        <f>IF(35997.28222="","-",35997.28222)</f>
        <v>35997.282220000001</v>
      </c>
      <c r="D17" s="26" t="s">
        <v>361</v>
      </c>
      <c r="E17" s="26">
        <f>IF(10800.61406="","-",10800.61406/1572223.23546*100)</f>
        <v>0.6869644091502034</v>
      </c>
      <c r="F17" s="26">
        <f>IF(35997.28222="","-",35997.28222/2629714.41023*100)</f>
        <v>1.3688665993525739</v>
      </c>
      <c r="G17" s="26">
        <f>IF(OR(1361306.86729="",16989.03091="",10800.61406=""),"-",(10800.61406-16989.03091)/1361306.86729*100)</f>
        <v>-0.45459381706635288</v>
      </c>
      <c r="H17" s="26">
        <f>IF(OR(1572223.23546="",35997.28222="",10800.61406=""),"-",(35997.28222-10800.61406)/1572223.23546*100)</f>
        <v>1.6026139031476643</v>
      </c>
      <c r="I17" s="54"/>
      <c r="J17" s="55"/>
      <c r="K17" s="90"/>
    </row>
    <row r="18" spans="1:11" s="29" customFormat="1" ht="24" x14ac:dyDescent="0.2">
      <c r="A18" s="80" t="s">
        <v>215</v>
      </c>
      <c r="B18" s="81" t="s">
        <v>180</v>
      </c>
      <c r="C18" s="26">
        <f>IF(4640.97407="","-",4640.97407)</f>
        <v>4640.9740700000002</v>
      </c>
      <c r="D18" s="26">
        <f>IF(OR(3107.95582="",4640.97407=""),"-",4640.97407/3107.95582*100)</f>
        <v>149.32561267875423</v>
      </c>
      <c r="E18" s="26">
        <f>IF(3107.95582="","-",3107.95582/1572223.23546*100)</f>
        <v>0.19767904136658282</v>
      </c>
      <c r="F18" s="26">
        <f>IF(4640.97407="","-",4640.97407/2629714.41023*100)</f>
        <v>0.17648205645243778</v>
      </c>
      <c r="G18" s="26">
        <f>IF(OR(1361306.86729="",1882.09406="",3107.95582=""),"-",(3107.95582-1882.09406)/1361306.86729*100)</f>
        <v>9.0050361858554723E-2</v>
      </c>
      <c r="H18" s="26">
        <f>IF(OR(1572223.23546="",4640.97407="",3107.95582=""),"-",(4640.97407-3107.95582)/1572223.23546*100)</f>
        <v>9.7506398291554983E-2</v>
      </c>
      <c r="I18" s="54"/>
      <c r="J18" s="55"/>
      <c r="K18" s="90"/>
    </row>
    <row r="19" spans="1:11" s="29" customFormat="1" x14ac:dyDescent="0.2">
      <c r="A19" s="78" t="s">
        <v>216</v>
      </c>
      <c r="B19" s="79" t="s">
        <v>181</v>
      </c>
      <c r="C19" s="20">
        <f>IF(95941.66855="","-",95941.66855)</f>
        <v>95941.668550000002</v>
      </c>
      <c r="D19" s="20">
        <f>IF(115952.34559="","-",95941.66855/115952.34559*100)</f>
        <v>82.742326653092078</v>
      </c>
      <c r="E19" s="20">
        <f>IF(115952.34559="","-",115952.34559/1572223.23546*100)</f>
        <v>7.3750560973025392</v>
      </c>
      <c r="F19" s="20">
        <f>IF(95941.66855="","-",95941.66855/2629714.41023*100)</f>
        <v>3.6483683618560221</v>
      </c>
      <c r="G19" s="20">
        <f>IF(1361306.86729="","-",(115952.34559-99641.24217)/1361306.86729*100)</f>
        <v>1.1981944565130322</v>
      </c>
      <c r="H19" s="20">
        <f>IF(1572223.23546="","-",(95941.66855-115952.34559)/1572223.23546*100)</f>
        <v>-1.272763090423688</v>
      </c>
      <c r="I19" s="54"/>
      <c r="J19" s="55"/>
      <c r="K19" s="90"/>
    </row>
    <row r="20" spans="1:11" s="29" customFormat="1" x14ac:dyDescent="0.2">
      <c r="A20" s="80" t="s">
        <v>217</v>
      </c>
      <c r="B20" s="81" t="s">
        <v>182</v>
      </c>
      <c r="C20" s="26">
        <f>IF(90289.23185="","-",90289.23185)</f>
        <v>90289.231849999996</v>
      </c>
      <c r="D20" s="26">
        <f>IF(OR(109184.38493="",90289.23185=""),"-",90289.23185/109184.38493*100)</f>
        <v>82.694271628572153</v>
      </c>
      <c r="E20" s="26">
        <f>IF(109184.38493="","-",109184.38493/1572223.23546*100)</f>
        <v>6.9445853786822385</v>
      </c>
      <c r="F20" s="26">
        <f>IF(90289.23185="","-",90289.23185/2629714.41023*100)</f>
        <v>3.4334234736198259</v>
      </c>
      <c r="G20" s="26">
        <f>IF(OR(1361306.86729="",94501.71456="",109184.38493=""),"-",(109184.38493-94501.71456)/1361306.86729*100)</f>
        <v>1.078571681580458</v>
      </c>
      <c r="H20" s="26">
        <f>IF(OR(1572223.23546="",90289.23185="",109184.38493=""),"-",(90289.23185-109184.38493)/1572223.23546*100)</f>
        <v>-1.2018110821566426</v>
      </c>
      <c r="I20" s="51"/>
      <c r="J20" s="52"/>
      <c r="K20" s="89"/>
    </row>
    <row r="21" spans="1:11" s="29" customFormat="1" x14ac:dyDescent="0.2">
      <c r="A21" s="80" t="s">
        <v>218</v>
      </c>
      <c r="B21" s="81" t="s">
        <v>183</v>
      </c>
      <c r="C21" s="26">
        <f>IF(5652.4367="","-",5652.4367)</f>
        <v>5652.4367000000002</v>
      </c>
      <c r="D21" s="26">
        <f>IF(OR(6767.96066="",5652.4367=""),"-",5652.4367/6767.96066*100)</f>
        <v>83.517576179291808</v>
      </c>
      <c r="E21" s="26">
        <f>IF(6767.96066="","-",6767.96066/1572223.23546*100)</f>
        <v>0.4304707186203004</v>
      </c>
      <c r="F21" s="26">
        <f>IF(5652.4367="","-",5652.4367/2629714.41023*100)</f>
        <v>0.21494488823619548</v>
      </c>
      <c r="G21" s="26">
        <f>IF(OR(1361306.86729="",5139.52761="",6767.96066=""),"-",(6767.96066-5139.52761)/1361306.86729*100)</f>
        <v>0.11962277493257467</v>
      </c>
      <c r="H21" s="26">
        <f>IF(OR(1572223.23546="",5652.4367="",6767.96066=""),"-",(5652.4367-6767.96066)/1572223.23546*100)</f>
        <v>-7.0952008267046132E-2</v>
      </c>
      <c r="I21" s="54"/>
      <c r="J21" s="55"/>
      <c r="K21" s="90"/>
    </row>
    <row r="22" spans="1:11" s="29" customFormat="1" ht="24" x14ac:dyDescent="0.2">
      <c r="A22" s="78" t="s">
        <v>219</v>
      </c>
      <c r="B22" s="79" t="s">
        <v>22</v>
      </c>
      <c r="C22" s="20">
        <f>IF(335799.96448="","-",335799.96448)</f>
        <v>335799.96448000002</v>
      </c>
      <c r="D22" s="20" t="s">
        <v>194</v>
      </c>
      <c r="E22" s="20">
        <f>IF(152102.21123="","-",152102.21123/1572223.23546*100)</f>
        <v>9.6743393558547695</v>
      </c>
      <c r="F22" s="20">
        <f>IF(335799.96448="","-",335799.96448/2629714.41023*100)</f>
        <v>12.769446110713989</v>
      </c>
      <c r="G22" s="20">
        <f>IF(1361306.86729="","-",(152102.21123-120920.851)/1361306.86729*100)</f>
        <v>2.2905460171573062</v>
      </c>
      <c r="H22" s="20">
        <f>IF(1572223.23546="","-",(335799.96448-152102.21123)/1572223.23546*100)</f>
        <v>11.683948507239423</v>
      </c>
      <c r="I22" s="54"/>
      <c r="J22" s="55"/>
      <c r="K22" s="90"/>
    </row>
    <row r="23" spans="1:11" s="29" customFormat="1" ht="15" customHeight="1" x14ac:dyDescent="0.2">
      <c r="A23" s="80" t="s">
        <v>220</v>
      </c>
      <c r="B23" s="81" t="s">
        <v>190</v>
      </c>
      <c r="C23" s="26">
        <f>IF(847.87945="","-",847.87945)</f>
        <v>847.87945000000002</v>
      </c>
      <c r="D23" s="26">
        <f>IF(OR(836.96131="",847.87945=""),"-",847.87945/836.96131*100)</f>
        <v>101.30449757587958</v>
      </c>
      <c r="E23" s="26">
        <f>IF(836.96131="","-",836.96131/1572223.23546*100)</f>
        <v>5.3234253961087302E-2</v>
      </c>
      <c r="F23" s="26">
        <f>IF(847.87945="","-",847.87945/2629714.41023*100)</f>
        <v>3.224226352114954E-2</v>
      </c>
      <c r="G23" s="26">
        <f>IF(OR(1361306.86729="",795.9297="",836.96131=""),"-",(836.96131-795.9297)/1361306.86729*100)</f>
        <v>3.0141337699767156E-3</v>
      </c>
      <c r="H23" s="26">
        <f>IF(OR(1572223.23546="",847.87945="",836.96131=""),"-",(847.87945-836.96131)/1572223.23546*100)</f>
        <v>6.9443955245996421E-4</v>
      </c>
      <c r="I23" s="51"/>
      <c r="J23" s="52"/>
      <c r="K23" s="89"/>
    </row>
    <row r="24" spans="1:11" s="29" customFormat="1" ht="15" customHeight="1" x14ac:dyDescent="0.2">
      <c r="A24" s="80" t="s">
        <v>221</v>
      </c>
      <c r="B24" s="81" t="s">
        <v>184</v>
      </c>
      <c r="C24" s="26">
        <f>IF(277277.49876="","-",277277.49876)</f>
        <v>277277.49875999999</v>
      </c>
      <c r="D24" s="26" t="s">
        <v>351</v>
      </c>
      <c r="E24" s="26">
        <f>IF(91957.03985="","-",91957.03985/1572223.23546*100)</f>
        <v>5.8488538889386952</v>
      </c>
      <c r="F24" s="26">
        <f>IF(277277.49876="","-",277277.49876/2629714.41023*100)</f>
        <v>10.544015642206134</v>
      </c>
      <c r="G24" s="26">
        <f>IF(OR(1361306.86729="",100590.02753="",91957.03985=""),"-",(91957.03985-100590.02753)/1361306.86729*100)</f>
        <v>-0.63416911259589759</v>
      </c>
      <c r="H24" s="26">
        <f>IF(OR(1572223.23546="",277277.49876="",91957.03985=""),"-",(277277.49876-91957.03985)/1572223.23546*100)</f>
        <v>11.787159401430616</v>
      </c>
      <c r="I24" s="54"/>
      <c r="J24" s="55"/>
      <c r="K24" s="90"/>
    </row>
    <row r="25" spans="1:11" s="29" customFormat="1" ht="15" customHeight="1" x14ac:dyDescent="0.2">
      <c r="A25" s="80" t="s">
        <v>274</v>
      </c>
      <c r="B25" s="81" t="s">
        <v>185</v>
      </c>
      <c r="C25" s="26">
        <f>IF(4.72108="","-",4.72108)</f>
        <v>4.7210799999999997</v>
      </c>
      <c r="D25" s="26" t="s">
        <v>362</v>
      </c>
      <c r="E25" s="26">
        <f>IF(0.54018="","-",0.54018/1572223.23546*100)</f>
        <v>3.435771637365189E-5</v>
      </c>
      <c r="F25" s="26">
        <f>IF(4.72108="","-",4.72108/2629714.41023*100)</f>
        <v>1.7952824008699426E-4</v>
      </c>
      <c r="G25" s="26">
        <f>IF(OR(1361306.86729="",0.14712="",0.54018=""),"-",(0.54018-0.14712)/1361306.86729*100)</f>
        <v>2.8873724906896113E-5</v>
      </c>
      <c r="H25" s="26">
        <f>IF(OR(1572223.23546="",4.72108="",0.54018=""),"-",(4.72108-0.54018)/1572223.23546*100)</f>
        <v>2.659227968206916E-4</v>
      </c>
      <c r="I25" s="54"/>
      <c r="J25" s="55"/>
      <c r="K25" s="90"/>
    </row>
    <row r="26" spans="1:11" s="29" customFormat="1" x14ac:dyDescent="0.2">
      <c r="A26" s="80" t="s">
        <v>222</v>
      </c>
      <c r="B26" s="81" t="s">
        <v>186</v>
      </c>
      <c r="C26" s="26">
        <f>IF(1972.83373="","-",1972.83373)</f>
        <v>1972.8337300000001</v>
      </c>
      <c r="D26" s="26" t="s">
        <v>99</v>
      </c>
      <c r="E26" s="26">
        <f>IF(1166.11604="","-",1166.11604/1572223.23546*100)</f>
        <v>7.4169877005972287E-2</v>
      </c>
      <c r="F26" s="26">
        <f>IF(1972.83373="","-",1972.83373/2629714.41023*100)</f>
        <v>7.5020835811119596E-2</v>
      </c>
      <c r="G26" s="26">
        <f>IF(OR(1361306.86729="",950.80928="",1166.11604=""),"-",(1166.11604-950.80928)/1361306.86729*100)</f>
        <v>1.5816181139864421E-2</v>
      </c>
      <c r="H26" s="26">
        <f>IF(OR(1572223.23546="",1972.83373="",1166.11604=""),"-",(1972.83373-1166.11604)/1572223.23546*100)</f>
        <v>5.1310632727290216E-2</v>
      </c>
      <c r="I26" s="54"/>
      <c r="J26" s="55"/>
      <c r="K26" s="90"/>
    </row>
    <row r="27" spans="1:11" s="29" customFormat="1" ht="14.25" customHeight="1" x14ac:dyDescent="0.2">
      <c r="A27" s="80" t="s">
        <v>223</v>
      </c>
      <c r="B27" s="81" t="s">
        <v>138</v>
      </c>
      <c r="C27" s="26">
        <f>IF(3282.11807="","-",3282.11807)</f>
        <v>3282.11807</v>
      </c>
      <c r="D27" s="26">
        <f>IF(OR(2888.02784="",3282.11807=""),"-",3282.11807/2888.02784*100)</f>
        <v>113.64565204468389</v>
      </c>
      <c r="E27" s="26">
        <f>IF(2888.02784="","-",2888.02784/1572223.23546*100)</f>
        <v>0.18369069829673537</v>
      </c>
      <c r="F27" s="26">
        <f>IF(3282.11807="","-",3282.11807/2629714.41023*100)</f>
        <v>0.12480891678701107</v>
      </c>
      <c r="G27" s="26">
        <f>IF(OR(1361306.86729="",1055.0354="",2888.02784=""),"-",(2888.02784-1055.0354)/1361306.86729*100)</f>
        <v>0.13464946692357474</v>
      </c>
      <c r="H27" s="26">
        <f>IF(OR(1572223.23546="",3282.11807="",2888.02784=""),"-",(3282.11807-2888.02784)/1572223.23546*100)</f>
        <v>2.5065793528022573E-2</v>
      </c>
      <c r="I27" s="54"/>
      <c r="J27" s="55"/>
      <c r="K27" s="90"/>
    </row>
    <row r="28" spans="1:11" s="29" customFormat="1" ht="36" x14ac:dyDescent="0.2">
      <c r="A28" s="80" t="s">
        <v>224</v>
      </c>
      <c r="B28" s="81" t="s">
        <v>139</v>
      </c>
      <c r="C28" s="26">
        <f>IF(56.09673="","-",56.09673)</f>
        <v>56.096730000000001</v>
      </c>
      <c r="D28" s="26">
        <f>IF(OR(151.45475="",56.09673=""),"-",56.09673/151.45475*100)</f>
        <v>37.038607240776535</v>
      </c>
      <c r="E28" s="26">
        <f>IF(151.45475="","-",151.45475/1572223.23546*100)</f>
        <v>9.6331581027478859E-3</v>
      </c>
      <c r="F28" s="26">
        <f>IF(56.09673="","-",56.09673/2629714.41023*100)</f>
        <v>2.1331871545356772E-3</v>
      </c>
      <c r="G28" s="26">
        <f>IF(OR(1361306.86729="",79.42829="",151.45475=""),"-",(151.45475-79.42829)/1361306.86729*100)</f>
        <v>5.2909789651899367E-3</v>
      </c>
      <c r="H28" s="26">
        <f>IF(OR(1572223.23546="",56.09673="",151.45475=""),"-",(56.09673-151.45475)/1572223.23546*100)</f>
        <v>-6.0651705081880558E-3</v>
      </c>
      <c r="I28" s="54"/>
      <c r="J28" s="55"/>
      <c r="K28" s="90"/>
    </row>
    <row r="29" spans="1:11" s="29" customFormat="1" ht="36" x14ac:dyDescent="0.2">
      <c r="A29" s="80" t="s">
        <v>225</v>
      </c>
      <c r="B29" s="81" t="s">
        <v>140</v>
      </c>
      <c r="C29" s="26">
        <f>IF(7578.93536="","-",7578.93536)</f>
        <v>7578.9353600000004</v>
      </c>
      <c r="D29" s="26" t="s">
        <v>99</v>
      </c>
      <c r="E29" s="26">
        <f>IF(4565.15899="","-",4565.15899/1572223.23546*100)</f>
        <v>0.29036328220046492</v>
      </c>
      <c r="F29" s="26">
        <f>IF(7578.93536="","-",7578.93536/2629714.41023*100)</f>
        <v>0.28820374298124379</v>
      </c>
      <c r="G29" s="26">
        <f>IF(OR(1361306.86729="",4920.45396="",4565.15899=""),"-",(4565.15899-4920.45396)/1361306.86729*100)</f>
        <v>-2.6099550258443766E-2</v>
      </c>
      <c r="H29" s="26">
        <f>IF(OR(1572223.23546="",7578.93536="",4565.15899=""),"-",(7578.93536-4565.15899)/1572223.23546*100)</f>
        <v>0.19168883285955457</v>
      </c>
      <c r="I29" s="54"/>
      <c r="J29" s="55"/>
      <c r="K29" s="90"/>
    </row>
    <row r="30" spans="1:11" s="29" customFormat="1" ht="24" x14ac:dyDescent="0.2">
      <c r="A30" s="80" t="s">
        <v>226</v>
      </c>
      <c r="B30" s="81" t="s">
        <v>141</v>
      </c>
      <c r="C30" s="26">
        <f>IF(42491.76135="","-",42491.76135)</f>
        <v>42491.761350000001</v>
      </c>
      <c r="D30" s="26">
        <f>IF(OR(48461.09173="",42491.76135=""),"-",42491.76135/48461.09173*100)</f>
        <v>87.682220587893468</v>
      </c>
      <c r="E30" s="26">
        <f>IF(48461.09173="","-",48461.09173/1572223.23546*100)</f>
        <v>3.0823289363117246</v>
      </c>
      <c r="F30" s="26">
        <f>IF(42491.76135="","-",42491.76135/2629714.41023*100)</f>
        <v>1.6158317870830539</v>
      </c>
      <c r="G30" s="26">
        <f>IF(OR(1361306.86729="",9814.84916="",48461.09173=""),"-",(48461.09173-9814.84916)/1361306.86729*100)</f>
        <v>2.8389074865195085</v>
      </c>
      <c r="H30" s="26">
        <f>IF(OR(1572223.23546="",42491.76135="",48461.09173=""),"-",(42491.76135-48461.09173)/1572223.23546*100)</f>
        <v>-0.37967447913040775</v>
      </c>
      <c r="I30" s="54"/>
      <c r="J30" s="55"/>
      <c r="K30" s="90"/>
    </row>
    <row r="31" spans="1:11" s="29" customFormat="1" ht="24" x14ac:dyDescent="0.2">
      <c r="A31" s="80" t="s">
        <v>227</v>
      </c>
      <c r="B31" s="81" t="s">
        <v>142</v>
      </c>
      <c r="C31" s="26">
        <f>IF(2288.11995="","-",2288.11995)</f>
        <v>2288.1199499999998</v>
      </c>
      <c r="D31" s="26">
        <f>IF(OR(2075.82054="",2288.11995=""),"-",2288.11995/2075.82054*100)</f>
        <v>110.22725259284695</v>
      </c>
      <c r="E31" s="26">
        <f>IF(2075.82054="","-",2075.82054/1572223.23546*100)</f>
        <v>0.13203090332096878</v>
      </c>
      <c r="F31" s="26">
        <f>IF(2288.11995="","-",2288.11995/2629714.41023*100)</f>
        <v>8.7010206929651973E-2</v>
      </c>
      <c r="G31" s="26">
        <f>IF(OR(1361306.86729="",2714.17056="",2075.82054=""),"-",(2075.82054-2714.17056)/1361306.86729*100)</f>
        <v>-4.6892441031373404E-2</v>
      </c>
      <c r="H31" s="26">
        <f>IF(OR(1572223.23546="",2288.11995="",2075.82054=""),"-",(2288.11995-2075.82054)/1572223.23546*100)</f>
        <v>1.3503133983253033E-2</v>
      </c>
      <c r="I31" s="54"/>
      <c r="J31" s="55"/>
      <c r="K31" s="90"/>
    </row>
    <row r="32" spans="1:11" s="29" customFormat="1" ht="24" x14ac:dyDescent="0.2">
      <c r="A32" s="78" t="s">
        <v>228</v>
      </c>
      <c r="B32" s="79" t="s">
        <v>143</v>
      </c>
      <c r="C32" s="20">
        <f>IF(270802.48033="","-",270802.48033)</f>
        <v>270802.48032999999</v>
      </c>
      <c r="D32" s="20" t="s">
        <v>393</v>
      </c>
      <c r="E32" s="20">
        <f>IF(13740.3955="","-",13740.3955/1572223.23546*100)</f>
        <v>0.87394685373542669</v>
      </c>
      <c r="F32" s="20">
        <f>IF(270802.48033="","-",270802.48033/2629714.41023*100)</f>
        <v>10.297790485405411</v>
      </c>
      <c r="G32" s="20">
        <f>IF(1361306.86729="","-",(13740.3955-2812.24645)/1361306.86729*100)</f>
        <v>0.80276896507214712</v>
      </c>
      <c r="H32" s="20">
        <f>IF(1572223.23546="","-",(270802.48033-13740.3955)/1572223.23546*100)</f>
        <v>16.350228073991598</v>
      </c>
      <c r="I32" s="54"/>
      <c r="J32" s="55"/>
      <c r="K32" s="90"/>
    </row>
    <row r="33" spans="1:11" s="29" customFormat="1" x14ac:dyDescent="0.2">
      <c r="A33" s="80" t="s">
        <v>229</v>
      </c>
      <c r="B33" s="81" t="s">
        <v>187</v>
      </c>
      <c r="C33" s="26">
        <f>IF(356.38102="","-",356.38102)</f>
        <v>356.38101999999998</v>
      </c>
      <c r="D33" s="26">
        <f>IF(OR(379.90658="",356.38102=""),"-",356.38102/379.90658*100)</f>
        <v>93.807540790685948</v>
      </c>
      <c r="E33" s="26">
        <f>IF(379.90658="","-",379.90658/1572223.23546*100)</f>
        <v>2.4163653826732003E-2</v>
      </c>
      <c r="F33" s="26">
        <f>IF(356.38102="","-",356.38102/2629714.41023*100)</f>
        <v>1.3552080735977341E-2</v>
      </c>
      <c r="G33" s="26">
        <f>IF(OR(1361306.86729="",56.85568="",379.90658=""),"-",(379.90658-56.85568)/1361306.86729*100)</f>
        <v>2.3730938832557898E-2</v>
      </c>
      <c r="H33" s="26">
        <f>IF(OR(1572223.23546="",356.38102="",379.90658=""),"-",(356.38102-379.90658)/1572223.23546*100)</f>
        <v>-1.4963244067002321E-3</v>
      </c>
      <c r="I33" s="51"/>
      <c r="J33" s="52"/>
      <c r="K33" s="89"/>
    </row>
    <row r="34" spans="1:11" s="29" customFormat="1" ht="24" x14ac:dyDescent="0.2">
      <c r="A34" s="80" t="s">
        <v>230</v>
      </c>
      <c r="B34" s="81" t="s">
        <v>144</v>
      </c>
      <c r="C34" s="26">
        <f>IF(260643.90591="","-",260643.90591)</f>
        <v>260643.90591</v>
      </c>
      <c r="D34" s="26" t="s">
        <v>394</v>
      </c>
      <c r="E34" s="26">
        <f>IF(13357.15555="","-",13357.15555/1572223.23546*100)</f>
        <v>0.84957118357890005</v>
      </c>
      <c r="F34" s="26">
        <f>IF(260643.90591="","-",260643.90591/2629714.41023*100)</f>
        <v>9.9114909549133721</v>
      </c>
      <c r="G34" s="26">
        <f>IF(OR(1361306.86729="",2300.91647="",13357.15555=""),"-",(13357.15555-2300.91647)/1361306.86729*100)</f>
        <v>0.81217830789394541</v>
      </c>
      <c r="H34" s="26">
        <f>IF(OR(1572223.23546="",260643.90591="",13357.15555=""),"-",(260643.90591-13357.15555)/1572223.23546*100)</f>
        <v>15.728475752213967</v>
      </c>
      <c r="I34" s="54"/>
      <c r="J34" s="55"/>
      <c r="K34" s="90"/>
    </row>
    <row r="35" spans="1:11" s="29" customFormat="1" ht="24" x14ac:dyDescent="0.2">
      <c r="A35" s="91" t="s">
        <v>275</v>
      </c>
      <c r="B35" s="81" t="s">
        <v>334</v>
      </c>
      <c r="C35" s="26">
        <f>IF(5025.09273="","-",5025.09273)</f>
        <v>5025.0927300000003</v>
      </c>
      <c r="D35" s="26" t="str">
        <f>IF(OR(""="",5025.09273=""),"-",5025.09273/""*100)</f>
        <v>-</v>
      </c>
      <c r="E35" s="26" t="str">
        <f>IF(""="","-",""/1572223.23546*100)</f>
        <v>-</v>
      </c>
      <c r="F35" s="26">
        <f>IF(5025.09273="","-",5025.09273/2629714.41023*100)</f>
        <v>0.1910889148438174</v>
      </c>
      <c r="G35" s="26" t="str">
        <f>IF(OR(1361306.86729="",450.01368="",""=""),"-",(""-450.01368)/1361306.86729*100)</f>
        <v>-</v>
      </c>
      <c r="H35" s="26" t="str">
        <f>IF(OR(1572223.23546="",5025.09273="",""=""),"-",(5025.09273-"")/1572223.23546*100)</f>
        <v>-</v>
      </c>
      <c r="I35" s="54"/>
      <c r="J35" s="55"/>
      <c r="K35" s="90"/>
    </row>
    <row r="36" spans="1:11" s="29" customFormat="1" x14ac:dyDescent="0.2">
      <c r="A36" s="80" t="s">
        <v>282</v>
      </c>
      <c r="B36" s="81" t="s">
        <v>283</v>
      </c>
      <c r="C36" s="26">
        <f>IF(4777.10067="","-",4777.10067)</f>
        <v>4777.1006699999998</v>
      </c>
      <c r="D36" s="26" t="s">
        <v>388</v>
      </c>
      <c r="E36" s="26">
        <f>IF(3.33337="","-",3.33337/1572223.23546*100)</f>
        <v>2.12016329794587E-4</v>
      </c>
      <c r="F36" s="26">
        <f>IF(4777.10067="","-",4777.10067/2629714.41023*100)</f>
        <v>0.1816585349122449</v>
      </c>
      <c r="G36" s="26">
        <f>IF(OR(1361306.86729="",4.46062="",3.33337=""),"-",(3.33337-4.46062)/1361306.86729*100)</f>
        <v>-8.2806458050421411E-5</v>
      </c>
      <c r="H36" s="26">
        <f>IF(OR(1572223.23546="",4777.10067="",3.33337=""),"-",(4777.10067-3.33337)/1572223.23546*100)</f>
        <v>0.30363164672371057</v>
      </c>
      <c r="I36" s="54"/>
      <c r="J36" s="55"/>
      <c r="K36" s="90"/>
    </row>
    <row r="37" spans="1:11" s="29" customFormat="1" ht="24" x14ac:dyDescent="0.2">
      <c r="A37" s="78" t="s">
        <v>231</v>
      </c>
      <c r="B37" s="79" t="s">
        <v>145</v>
      </c>
      <c r="C37" s="20">
        <f>IF(257931.38211="","-",257931.38211)</f>
        <v>257931.38211000001</v>
      </c>
      <c r="D37" s="20" t="s">
        <v>349</v>
      </c>
      <c r="E37" s="20">
        <f>IF(44315.01579="","-",44315.01579/1572223.23546*100)</f>
        <v>2.8186210959434357</v>
      </c>
      <c r="F37" s="20">
        <f>IF(257931.38211="","-",257931.38211/2629714.41023*100)</f>
        <v>9.8083419669682232</v>
      </c>
      <c r="G37" s="20">
        <f>IF(1361306.86729="","-",(44315.01579-68414.48046)/1361306.86729*100)</f>
        <v>-1.7703183058185574</v>
      </c>
      <c r="H37" s="20">
        <f>IF(1572223.23546="","-",(257931.38211-44315.01579)/1572223.23546*100)</f>
        <v>13.586897935489439</v>
      </c>
      <c r="I37" s="54"/>
      <c r="J37" s="55"/>
      <c r="K37" s="90"/>
    </row>
    <row r="38" spans="1:11" s="29" customFormat="1" ht="24" x14ac:dyDescent="0.2">
      <c r="A38" s="80" t="s">
        <v>232</v>
      </c>
      <c r="B38" s="81" t="s">
        <v>191</v>
      </c>
      <c r="C38" s="26">
        <f>IF(1.59594="","-",1.59594)</f>
        <v>1.5959399999999999</v>
      </c>
      <c r="D38" s="26">
        <f>IF(OR(4.81502="",1.59594=""),"-",1.59594/4.81502*100)</f>
        <v>33.145033665488413</v>
      </c>
      <c r="E38" s="26">
        <f>IF(4.81502="","-",4.81502/1572223.23546*100)</f>
        <v>3.0625549167585125E-4</v>
      </c>
      <c r="F38" s="26">
        <f>IF(1.59594="","-",1.59594/2629714.41023*100)</f>
        <v>6.068871942107264E-5</v>
      </c>
      <c r="G38" s="26">
        <f>IF(OR(1361306.86729="",2.8399="",4.81502=""),"-",(4.81502-2.8399)/1361306.86729*100)</f>
        <v>1.4508999017480447E-4</v>
      </c>
      <c r="H38" s="26">
        <f>IF(OR(1572223.23546="",1.59594="",4.81502=""),"-",(1.59594-4.81502)/1572223.23546*100)</f>
        <v>-2.0474700585748328E-4</v>
      </c>
      <c r="I38" s="51"/>
      <c r="J38" s="52"/>
      <c r="K38" s="89"/>
    </row>
    <row r="39" spans="1:11" s="29" customFormat="1" ht="24" x14ac:dyDescent="0.2">
      <c r="A39" s="80" t="s">
        <v>233</v>
      </c>
      <c r="B39" s="81" t="s">
        <v>146</v>
      </c>
      <c r="C39" s="26">
        <f>IF(257922.99381="","-",257922.99381)</f>
        <v>257922.99381000001</v>
      </c>
      <c r="D39" s="26" t="s">
        <v>349</v>
      </c>
      <c r="E39" s="26">
        <f>IF(44306.63844="","-",44306.63844/1572223.23546*100)</f>
        <v>2.8180882613044957</v>
      </c>
      <c r="F39" s="26">
        <f>IF(257922.99381="","-",257922.99381/2629714.41023*100)</f>
        <v>9.8080229855622072</v>
      </c>
      <c r="G39" s="26">
        <f>IF(OR(1361306.86729="",68386.69222="",44306.63844=""),"-",(44306.63844-68386.69222)/1361306.86729*100)</f>
        <v>-1.7688924046888106</v>
      </c>
      <c r="H39" s="26">
        <f>IF(OR(1572223.23546="",257922.99381="",44306.63844=""),"-",(257922.99381-44306.63844)/1572223.23546*100)</f>
        <v>13.586897239023457</v>
      </c>
      <c r="I39" s="54"/>
      <c r="J39" s="55"/>
      <c r="K39" s="90"/>
    </row>
    <row r="40" spans="1:11" s="29" customFormat="1" ht="72" x14ac:dyDescent="0.2">
      <c r="A40" s="80" t="s">
        <v>234</v>
      </c>
      <c r="B40" s="81" t="s">
        <v>189</v>
      </c>
      <c r="C40" s="26">
        <f>IF(6.79236="","-",6.79236)</f>
        <v>6.7923600000000004</v>
      </c>
      <c r="D40" s="26" t="s">
        <v>101</v>
      </c>
      <c r="E40" s="26">
        <f>IF(3.56233="","-",3.56233/1572223.23546*100)</f>
        <v>2.2657914726452544E-4</v>
      </c>
      <c r="F40" s="26">
        <f>IF(6.79236="","-",6.79236/2629714.41023*100)</f>
        <v>2.5829268659656191E-4</v>
      </c>
      <c r="G40" s="26">
        <f>IF(OR(1361306.86729="",24.94834="",3.56233=""),"-",(3.56233-24.94834)/1361306.86729*100)</f>
        <v>-1.5709911199209522E-3</v>
      </c>
      <c r="H40" s="26">
        <f>IF(OR(1572223.23546="",6.79236="",3.56233=""),"-",(6.79236-3.56233)/1572223.23546*100)</f>
        <v>2.0544347183973271E-4</v>
      </c>
      <c r="I40" s="51"/>
      <c r="J40" s="52"/>
      <c r="K40" s="89"/>
    </row>
    <row r="41" spans="1:11" s="29" customFormat="1" ht="24" x14ac:dyDescent="0.2">
      <c r="A41" s="78" t="s">
        <v>235</v>
      </c>
      <c r="B41" s="79" t="s">
        <v>147</v>
      </c>
      <c r="C41" s="20">
        <f>IF(79433.58325="","-",79433.58325)</f>
        <v>79433.583249999996</v>
      </c>
      <c r="D41" s="20">
        <f>IF(77843.56616="","-",79433.58325/77843.56616*100)</f>
        <v>102.04257996959167</v>
      </c>
      <c r="E41" s="20">
        <f>IF(77843.56616="","-",77843.56616/1572223.23546*100)</f>
        <v>4.951177695654942</v>
      </c>
      <c r="F41" s="20">
        <f>IF(79433.58325="","-",79433.58325/2629714.41023*100)</f>
        <v>3.0206163430139386</v>
      </c>
      <c r="G41" s="20">
        <f>IF(1361306.86729="","-",(77843.56616-71492.3567)/1361306.86729*100)</f>
        <v>0.46655237056458609</v>
      </c>
      <c r="H41" s="20">
        <f>IF(1572223.23546="","-",(79433.58325-77843.56616)/1572223.23546*100)</f>
        <v>0.10113176387033788</v>
      </c>
      <c r="I41" s="54"/>
      <c r="J41" s="55"/>
      <c r="K41" s="90"/>
    </row>
    <row r="42" spans="1:11" s="29" customFormat="1" x14ac:dyDescent="0.2">
      <c r="A42" s="80" t="s">
        <v>236</v>
      </c>
      <c r="B42" s="81" t="s">
        <v>23</v>
      </c>
      <c r="C42" s="26">
        <f>IF(28379.43383="","-",28379.43383)</f>
        <v>28379.433830000002</v>
      </c>
      <c r="D42" s="26">
        <f>IF(OR(18439.83284="",28379.43383=""),"-",28379.43383/18439.83284*100)</f>
        <v>153.90288011960095</v>
      </c>
      <c r="E42" s="26">
        <f>IF(18439.83284="","-",18439.83284/1572223.23546*100)</f>
        <v>1.1728508028699172</v>
      </c>
      <c r="F42" s="26">
        <f>IF(28379.43383="","-",28379.43383/2629714.41023*100)</f>
        <v>1.0791831127973277</v>
      </c>
      <c r="G42" s="26">
        <f>IF(OR(1361306.86729="",28693.34155="",18439.83284=""),"-",(18439.83284-28693.34155)/1361306.86729*100)</f>
        <v>-0.7532106798529572</v>
      </c>
      <c r="H42" s="26">
        <f>IF(OR(1572223.23546="",28379.43383="",18439.83284=""),"-",(28379.43383-18439.83284)/1572223.23546*100)</f>
        <v>0.63220036225274845</v>
      </c>
      <c r="I42" s="54"/>
      <c r="J42" s="55"/>
      <c r="K42" s="90"/>
    </row>
    <row r="43" spans="1:11" s="29" customFormat="1" x14ac:dyDescent="0.2">
      <c r="A43" s="80" t="s">
        <v>237</v>
      </c>
      <c r="B43" s="81" t="s">
        <v>24</v>
      </c>
      <c r="C43" s="26">
        <f>IF(3544.80605="","-",3544.80605)</f>
        <v>3544.8060500000001</v>
      </c>
      <c r="D43" s="26" t="s">
        <v>395</v>
      </c>
      <c r="E43" s="26">
        <f>IF(569.9283="","-",569.9283/1572223.23546*100)</f>
        <v>3.6249833175455569E-2</v>
      </c>
      <c r="F43" s="26">
        <f>IF(3544.80605="","-",3544.80605/2629714.41023*100)</f>
        <v>0.13479813763084503</v>
      </c>
      <c r="G43" s="26">
        <f>IF(OR(1361306.86729="",844.22438="",569.9283=""),"-",(569.9283-844.22438)/1361306.86729*100)</f>
        <v>-2.0149467147407441E-2</v>
      </c>
      <c r="H43" s="26">
        <f>IF(OR(1572223.23546="",3544.80605="",569.9283=""),"-",(3544.80605-569.9283)/1572223.23546*100)</f>
        <v>0.1892147172808836</v>
      </c>
      <c r="I43" s="54"/>
      <c r="J43" s="55"/>
      <c r="K43" s="90"/>
    </row>
    <row r="44" spans="1:11" s="29" customFormat="1" ht="16.5" customHeight="1" x14ac:dyDescent="0.2">
      <c r="A44" s="80" t="s">
        <v>238</v>
      </c>
      <c r="B44" s="81" t="s">
        <v>148</v>
      </c>
      <c r="C44" s="26">
        <f>IF(1562.27163="","-",1562.27163)</f>
        <v>1562.27163</v>
      </c>
      <c r="D44" s="26">
        <f>IF(OR(1434.25559="",1562.27163=""),"-",1562.27163/1434.25559*100)</f>
        <v>108.92560857998816</v>
      </c>
      <c r="E44" s="26">
        <f>IF(1434.25559="","-",1434.25559/1572223.23546*100)</f>
        <v>9.1224678382288774E-2</v>
      </c>
      <c r="F44" s="26">
        <f>IF(1562.27163="","-",1562.27163/2629714.41023*100)</f>
        <v>5.9408414233976102E-2</v>
      </c>
      <c r="G44" s="26">
        <f>IF(OR(1361306.86729="",505.95622="",1434.25559=""),"-",(1434.25559-505.95622)/1361306.86729*100)</f>
        <v>6.8191778966633518E-2</v>
      </c>
      <c r="H44" s="26">
        <f>IF(OR(1572223.23546="",1562.27163="",1434.25559=""),"-",(1562.27163-1434.25559)/1572223.23546*100)</f>
        <v>8.1423577207561833E-3</v>
      </c>
      <c r="I44" s="54"/>
      <c r="J44" s="55"/>
      <c r="K44" s="90"/>
    </row>
    <row r="45" spans="1:11" s="29" customFormat="1" x14ac:dyDescent="0.2">
      <c r="A45" s="80" t="s">
        <v>239</v>
      </c>
      <c r="B45" s="81" t="s">
        <v>149</v>
      </c>
      <c r="C45" s="26">
        <f>IF(29043.92137="","-",29043.92137)</f>
        <v>29043.92137</v>
      </c>
      <c r="D45" s="26">
        <f>IF(OR(44229.56035="",29043.92137=""),"-",29043.92137/44229.56035*100)</f>
        <v>65.666312620265515</v>
      </c>
      <c r="E45" s="26">
        <f>IF(44229.56035="","-",44229.56035/1572223.23546*100)</f>
        <v>2.8131857711070745</v>
      </c>
      <c r="F45" s="26">
        <f>IF(29043.92137="","-",29043.92137/2629714.41023*100)</f>
        <v>1.1044515426091368</v>
      </c>
      <c r="G45" s="26">
        <f>IF(OR(1361306.86729="",32062.85357="",44229.56035=""),"-",(44229.56035-32062.85357)/1361306.86729*100)</f>
        <v>0.89375195794175921</v>
      </c>
      <c r="H45" s="26">
        <f>IF(OR(1572223.23546="",29043.92137="",44229.56035=""),"-",(29043.92137-44229.56035)/1572223.23546*100)</f>
        <v>-0.965870408063076</v>
      </c>
      <c r="I45" s="54"/>
      <c r="J45" s="55"/>
      <c r="K45" s="90"/>
    </row>
    <row r="46" spans="1:11" ht="39.75" customHeight="1" x14ac:dyDescent="0.2">
      <c r="A46" s="80" t="s">
        <v>240</v>
      </c>
      <c r="B46" s="81" t="s">
        <v>150</v>
      </c>
      <c r="C46" s="26">
        <f>IF(8913.8886="","-",8913.8886)</f>
        <v>8913.8886000000002</v>
      </c>
      <c r="D46" s="26" t="s">
        <v>100</v>
      </c>
      <c r="E46" s="26">
        <f>IF(5473.2945="","-",5473.2945/1572223.23546*100)</f>
        <v>0.34812451416281398</v>
      </c>
      <c r="F46" s="26">
        <f>IF(8913.8886="","-",8913.8886/2629714.41023*100)</f>
        <v>0.33896793375446327</v>
      </c>
      <c r="G46" s="26">
        <f>IF(OR(1361306.86729="",5613.95799="",5473.2945=""),"-",(5473.2945-5613.95799)/1361306.86729*100)</f>
        <v>-1.0332974392469167E-2</v>
      </c>
      <c r="H46" s="26">
        <f>IF(OR(1572223.23546="",8913.8886="",5473.2945=""),"-",(8913.8886-5473.2945)/1572223.23546*100)</f>
        <v>0.21883623281991207</v>
      </c>
      <c r="I46" s="54"/>
      <c r="J46" s="55"/>
      <c r="K46" s="90"/>
    </row>
    <row r="47" spans="1:11" x14ac:dyDescent="0.2">
      <c r="A47" s="80" t="s">
        <v>241</v>
      </c>
      <c r="B47" s="81" t="s">
        <v>151</v>
      </c>
      <c r="C47" s="26">
        <f>IF(71.21796="","-",71.21796)</f>
        <v>71.217960000000005</v>
      </c>
      <c r="D47" s="26">
        <f>IF(OR(146.43214="",71.21796=""),"-",71.21796/146.43214*100)</f>
        <v>48.635470327757282</v>
      </c>
      <c r="E47" s="26">
        <f>IF(146.43214="","-",146.43214/1572223.23546*100)</f>
        <v>9.3136990153409732E-3</v>
      </c>
      <c r="F47" s="26">
        <f>IF(71.21796="","-",71.21796/2629714.41023*100)</f>
        <v>2.7082013059270245E-3</v>
      </c>
      <c r="G47" s="26">
        <f>IF(OR(1361306.86729="",0.31069="",146.43214=""),"-",(146.43214-0.31069)/1361306.86729*100)</f>
        <v>1.07339097091965E-2</v>
      </c>
      <c r="H47" s="26">
        <f>IF(OR(1572223.23546="",71.21796="",146.43214=""),"-",(71.21796-146.43214)/1572223.23546*100)</f>
        <v>-4.7839376943181917E-3</v>
      </c>
      <c r="I47" s="54"/>
      <c r="J47" s="55"/>
      <c r="K47" s="90"/>
    </row>
    <row r="48" spans="1:11" ht="24" x14ac:dyDescent="0.2">
      <c r="A48" s="80" t="s">
        <v>242</v>
      </c>
      <c r="B48" s="81" t="s">
        <v>25</v>
      </c>
      <c r="C48" s="26">
        <f>IF(2066.26004="","-",2066.26004)</f>
        <v>2066.2600400000001</v>
      </c>
      <c r="D48" s="26" t="s">
        <v>100</v>
      </c>
      <c r="E48" s="26">
        <f>IF(1285.88698="","-",1285.88698/1572223.23546*100)</f>
        <v>8.1787811743144478E-2</v>
      </c>
      <c r="F48" s="26">
        <f>IF(2066.26004="","-",2066.26004/2629714.41023*100)</f>
        <v>7.8573552776754985E-2</v>
      </c>
      <c r="G48" s="26">
        <f>IF(OR(1361306.86729="",1190.18841="",1285.88698=""),"-",(1285.88698-1190.18841)/1361306.86729*100)</f>
        <v>7.0299043000135904E-3</v>
      </c>
      <c r="H48" s="26">
        <f>IF(OR(1572223.23546="",2066.26004="",1285.88698=""),"-",(2066.26004-1285.88698)/1572223.23546*100)</f>
        <v>4.9635003630491385E-2</v>
      </c>
      <c r="I48" s="54"/>
      <c r="J48" s="55"/>
      <c r="K48" s="90"/>
    </row>
    <row r="49" spans="1:11" x14ac:dyDescent="0.2">
      <c r="A49" s="80" t="s">
        <v>243</v>
      </c>
      <c r="B49" s="81" t="s">
        <v>26</v>
      </c>
      <c r="C49" s="26">
        <f>IF(3092.7086="","-",3092.7086)</f>
        <v>3092.7085999999999</v>
      </c>
      <c r="D49" s="26">
        <f>IF(OR(2509.80742="",3092.7086=""),"-",3092.7086/2509.80742*100)</f>
        <v>123.22493651724082</v>
      </c>
      <c r="E49" s="26">
        <f>IF(2509.80742="","-",2509.80742/1572223.23546*100)</f>
        <v>0.15963429132668186</v>
      </c>
      <c r="F49" s="26">
        <f>IF(3092.7086="","-",3092.7086/2629714.41023*100)</f>
        <v>0.11760625366651527</v>
      </c>
      <c r="G49" s="26">
        <f>IF(OR(1361306.86729="",1234.36432="",2509.80742=""),"-",(2509.80742-1234.36432)/1361306.86729*100)</f>
        <v>9.3692548729961841E-2</v>
      </c>
      <c r="H49" s="26">
        <f>IF(OR(1572223.23546="",3092.7086="",2509.80742=""),"-",(3092.7086-2509.80742)/1572223.23546*100)</f>
        <v>3.7074962820369137E-2</v>
      </c>
      <c r="I49" s="54"/>
      <c r="J49" s="55"/>
      <c r="K49" s="90"/>
    </row>
    <row r="50" spans="1:11" x14ac:dyDescent="0.2">
      <c r="A50" s="80" t="s">
        <v>244</v>
      </c>
      <c r="B50" s="81" t="s">
        <v>152</v>
      </c>
      <c r="C50" s="26">
        <f>IF(2759.07517="","-",2759.07517)</f>
        <v>2759.0751700000001</v>
      </c>
      <c r="D50" s="26">
        <f>IF(OR(3754.56804="",2759.07517=""),"-",2759.07517/3754.56804*100)</f>
        <v>73.485821554055519</v>
      </c>
      <c r="E50" s="26">
        <f>IF(3754.56804="","-",3754.56804/1572223.23546*100)</f>
        <v>0.23880629387222427</v>
      </c>
      <c r="F50" s="26">
        <f>IF(2759.07517="","-",2759.07517/2629714.41023*100)</f>
        <v>0.1049191942389929</v>
      </c>
      <c r="G50" s="26">
        <f>IF(OR(1361306.86729="",1347.15957="",3754.56804=""),"-",(3754.56804-1347.15957)/1361306.86729*100)</f>
        <v>0.17684539230985519</v>
      </c>
      <c r="H50" s="26">
        <f>IF(OR(1572223.23546="",2759.07517="",3754.56804=""),"-",(2759.07517-3754.56804)/1572223.23546*100)</f>
        <v>-6.3317526897428103E-2</v>
      </c>
      <c r="I50" s="51"/>
      <c r="J50" s="52"/>
      <c r="K50" s="89"/>
    </row>
    <row r="51" spans="1:11" ht="24" x14ac:dyDescent="0.2">
      <c r="A51" s="78" t="s">
        <v>245</v>
      </c>
      <c r="B51" s="79" t="s">
        <v>335</v>
      </c>
      <c r="C51" s="20">
        <f>IF(167898.32338="","-",167898.32338)</f>
        <v>167898.32337999999</v>
      </c>
      <c r="D51" s="20">
        <f>IF(138476.79324="","-",167898.32338/138476.79324*100)</f>
        <v>121.24654207511023</v>
      </c>
      <c r="E51" s="20">
        <f>IF(138476.79324="","-",138476.79324/1572223.23546*100)</f>
        <v>8.8077055545795027</v>
      </c>
      <c r="F51" s="20">
        <f>IF(167898.32338="","-",167898.32338/2629714.41023*100)</f>
        <v>6.384659973982318</v>
      </c>
      <c r="G51" s="20">
        <f>IF(1361306.86729="","-",(138476.79324-90671.42156)/1361306.86729*100)</f>
        <v>3.5117263292124412</v>
      </c>
      <c r="H51" s="20">
        <f>IF(1572223.23546="","-",(167898.32338-138476.79324)/1572223.23546*100)</f>
        <v>1.871332866505554</v>
      </c>
      <c r="I51" s="54"/>
      <c r="J51" s="55"/>
      <c r="K51" s="90"/>
    </row>
    <row r="52" spans="1:11" x14ac:dyDescent="0.2">
      <c r="A52" s="80" t="s">
        <v>246</v>
      </c>
      <c r="B52" s="81" t="s">
        <v>153</v>
      </c>
      <c r="C52" s="26">
        <f>IF(1476.2349="","-",1476.2349)</f>
        <v>1476.2348999999999</v>
      </c>
      <c r="D52" s="26" t="s">
        <v>194</v>
      </c>
      <c r="E52" s="26">
        <f>IF(658.21113="","-",658.21113/1572223.23546*100)</f>
        <v>4.1864991888853557E-2</v>
      </c>
      <c r="F52" s="26">
        <f>IF(1476.2349="","-",1476.2349/2629714.41023*100)</f>
        <v>5.6136700405839339E-2</v>
      </c>
      <c r="G52" s="26">
        <f>IF(OR(1361306.86729="",410.14933="",658.21113=""),"-",(658.21113-410.14933)/1361306.86729*100)</f>
        <v>1.8222327820458666E-2</v>
      </c>
      <c r="H52" s="26">
        <f>IF(OR(1572223.23546="",1476.2349="",658.21113=""),"-",(1476.2349-658.21113)/1572223.23546*100)</f>
        <v>5.2029746892823581E-2</v>
      </c>
      <c r="I52" s="54"/>
      <c r="J52" s="55"/>
      <c r="K52" s="90"/>
    </row>
    <row r="53" spans="1:11" x14ac:dyDescent="0.2">
      <c r="A53" s="80" t="s">
        <v>247</v>
      </c>
      <c r="B53" s="81" t="s">
        <v>27</v>
      </c>
      <c r="C53" s="26">
        <f>IF(694.26128="","-",694.26128)</f>
        <v>694.26128000000006</v>
      </c>
      <c r="D53" s="26">
        <f>IF(OR(842.89547="",694.26128=""),"-",694.26128/842.89547*100)</f>
        <v>82.366236942761134</v>
      </c>
      <c r="E53" s="26">
        <f>IF(842.89547="","-",842.89547/1572223.23546*100)</f>
        <v>5.3611691456359009E-2</v>
      </c>
      <c r="F53" s="26">
        <f>IF(694.26128="","-",694.26128/2629714.41023*100)</f>
        <v>2.6400634125866108E-2</v>
      </c>
      <c r="G53" s="26">
        <f>IF(OR(1361306.86729="",628.57471="",842.89547=""),"-",(842.89547-628.57471)/1361306.86729*100)</f>
        <v>1.5743750740540647E-2</v>
      </c>
      <c r="H53" s="26">
        <f>IF(OR(1572223.23546="",694.26128="",842.89547=""),"-",(694.26128-842.89547)/1572223.23546*100)</f>
        <v>-9.4537586423923247E-3</v>
      </c>
      <c r="I53" s="54"/>
      <c r="J53" s="55"/>
      <c r="K53" s="90"/>
    </row>
    <row r="54" spans="1:11" ht="16.5" customHeight="1" x14ac:dyDescent="0.2">
      <c r="A54" s="80" t="s">
        <v>248</v>
      </c>
      <c r="B54" s="81" t="s">
        <v>154</v>
      </c>
      <c r="C54" s="26">
        <f>IF(17302.24426="","-",17302.24426)</f>
        <v>17302.244259999999</v>
      </c>
      <c r="D54" s="26">
        <f>IF(OR(14783.49109="",17302.24426=""),"-",17302.24426/14783.49109*100)</f>
        <v>117.03760738695721</v>
      </c>
      <c r="E54" s="26">
        <f>IF(14783.49109="","-",14783.49109/1572223.23546*100)</f>
        <v>0.94029211352258479</v>
      </c>
      <c r="F54" s="26">
        <f>IF(17302.24426="","-",17302.24426/2629714.41023*100)</f>
        <v>0.65795145635174546</v>
      </c>
      <c r="G54" s="26">
        <f>IF(OR(1361306.86729="",10365.81717="",14783.49109=""),"-",(14783.49109-10365.81717)/1361306.86729*100)</f>
        <v>0.32451712586996739</v>
      </c>
      <c r="H54" s="26">
        <f>IF(OR(1572223.23546="",17302.24426="",14783.49109=""),"-",(17302.24426-14783.49109)/1572223.23546*100)</f>
        <v>0.16020327859249991</v>
      </c>
      <c r="I54" s="54"/>
      <c r="J54" s="55"/>
      <c r="K54" s="90"/>
    </row>
    <row r="55" spans="1:11" ht="14.25" customHeight="1" x14ac:dyDescent="0.2">
      <c r="A55" s="80" t="s">
        <v>249</v>
      </c>
      <c r="B55" s="81" t="s">
        <v>155</v>
      </c>
      <c r="C55" s="26">
        <f>IF(11456.19985="","-",11456.19985)</f>
        <v>11456.199850000001</v>
      </c>
      <c r="D55" s="26" t="s">
        <v>101</v>
      </c>
      <c r="E55" s="26">
        <f>IF(6090.54731="","-",6090.54731/1572223.23546*100)</f>
        <v>0.38738438490371452</v>
      </c>
      <c r="F55" s="26">
        <f>IF(11456.19985="","-",11456.19985/2629714.41023*100)</f>
        <v>0.43564425876184854</v>
      </c>
      <c r="G55" s="26">
        <f>IF(OR(1361306.86729="",5074.08364="",6090.54731=""),"-",(6090.54731-5074.08364)/1361306.86729*100)</f>
        <v>7.4668224661461446E-2</v>
      </c>
      <c r="H55" s="26">
        <f>IF(OR(1572223.23546="",11456.19985="",6090.54731=""),"-",(11456.19985-6090.54731)/1572223.23546*100)</f>
        <v>0.34127803348677277</v>
      </c>
      <c r="I55" s="54"/>
      <c r="J55" s="55"/>
      <c r="K55" s="90"/>
    </row>
    <row r="56" spans="1:11" ht="15.75" customHeight="1" x14ac:dyDescent="0.2">
      <c r="A56" s="80" t="s">
        <v>250</v>
      </c>
      <c r="B56" s="81" t="s">
        <v>156</v>
      </c>
      <c r="C56" s="26">
        <f>IF(53847.79633="","-",53847.79633)</f>
        <v>53847.796329999997</v>
      </c>
      <c r="D56" s="26">
        <f>IF(OR(47803.03999="",53847.79633=""),"-",53847.79633/47803.03999*100)</f>
        <v>112.64512955925923</v>
      </c>
      <c r="E56" s="26">
        <f>IF(47803.03999="","-",47803.03999/1572223.23546*100)</f>
        <v>3.0404740822961958</v>
      </c>
      <c r="F56" s="26">
        <f>IF(53847.79633="","-",53847.79633/2629714.41023*100)</f>
        <v>2.0476670820422043</v>
      </c>
      <c r="G56" s="26">
        <f>IF(OR(1361306.86729="",31721.24013="",47803.03999=""),"-",(47803.03999-31721.24013)/1361306.86729*100)</f>
        <v>1.1813500869215909</v>
      </c>
      <c r="H56" s="26">
        <f>IF(OR(1572223.23546="",53847.79633="",47803.03999=""),"-",(53847.79633-47803.03999)/1572223.23546*100)</f>
        <v>0.38447188692205209</v>
      </c>
      <c r="I56" s="54"/>
      <c r="J56" s="55"/>
      <c r="K56" s="90"/>
    </row>
    <row r="57" spans="1:11" x14ac:dyDescent="0.2">
      <c r="A57" s="80" t="s">
        <v>251</v>
      </c>
      <c r="B57" s="81" t="s">
        <v>28</v>
      </c>
      <c r="C57" s="26">
        <f>IF(51903.46277="","-",51903.46277)</f>
        <v>51903.462769999998</v>
      </c>
      <c r="D57" s="26">
        <f>IF(OR(35994.88516="",51903.46277=""),"-",51903.46277/35994.88516*100)</f>
        <v>144.19677278948151</v>
      </c>
      <c r="E57" s="26">
        <f>IF(35994.88516="","-",35994.88516/1572223.23546*100)</f>
        <v>2.2894258492159123</v>
      </c>
      <c r="F57" s="26">
        <f>IF(51903.46277="","-",51903.46277/2629714.41023*100)</f>
        <v>1.9737300205713373</v>
      </c>
      <c r="G57" s="26">
        <f>IF(OR(1361306.86729="",26210.65428="",35994.88516=""),"-",(35994.88516-26210.65428)/1361306.86729*100)</f>
        <v>0.71873808287456908</v>
      </c>
      <c r="H57" s="26">
        <f>IF(OR(1572223.23546="",51903.46277="",35994.88516=""),"-",(51903.46277-35994.88516)/1572223.23546*100)</f>
        <v>1.0118523407616145</v>
      </c>
      <c r="I57" s="54"/>
      <c r="J57" s="55"/>
      <c r="K57" s="90"/>
    </row>
    <row r="58" spans="1:11" x14ac:dyDescent="0.2">
      <c r="A58" s="80" t="s">
        <v>252</v>
      </c>
      <c r="B58" s="81" t="s">
        <v>157</v>
      </c>
      <c r="C58" s="26">
        <f>IF(5390.71558="","-",5390.71558)</f>
        <v>5390.71558</v>
      </c>
      <c r="D58" s="26">
        <f>IF(OR(6711.53743="",5390.71558=""),"-",5390.71558/6711.53743*100)</f>
        <v>80.320129869260072</v>
      </c>
      <c r="E58" s="26">
        <f>IF(6711.53743="","-",6711.53743/1572223.23546*100)</f>
        <v>0.42688196425467162</v>
      </c>
      <c r="F58" s="26">
        <f>IF(5390.71558="","-",5390.71558/2629714.41023*100)</f>
        <v>0.20499243412247636</v>
      </c>
      <c r="G58" s="26">
        <f>IF(OR(1361306.86729="",929.97616="",6711.53743=""),"-",(6711.53743-929.97616)/1361306.86729*100)</f>
        <v>0.42470668509221227</v>
      </c>
      <c r="H58" s="26">
        <f>IF(OR(1572223.23546="",5390.71558="",6711.53743=""),"-",(5390.71558-6711.53743)/1572223.23546*100)</f>
        <v>-8.4009816176871019E-2</v>
      </c>
      <c r="I58" s="54"/>
      <c r="J58" s="55"/>
      <c r="K58" s="90"/>
    </row>
    <row r="59" spans="1:11" x14ac:dyDescent="0.2">
      <c r="A59" s="80" t="s">
        <v>253</v>
      </c>
      <c r="B59" s="81" t="s">
        <v>29</v>
      </c>
      <c r="C59" s="26">
        <f>IF(1209.25781="","-",1209.25781)</f>
        <v>1209.2578100000001</v>
      </c>
      <c r="D59" s="26">
        <f>IF(OR(998.39771="",1209.25781=""),"-",1209.25781/998.39771*100)</f>
        <v>121.11985012465625</v>
      </c>
      <c r="E59" s="26">
        <f>IF(998.39771="","-",998.39771/1572223.23546*100)</f>
        <v>6.3502286919700016E-2</v>
      </c>
      <c r="F59" s="26">
        <f>IF(1209.25781="","-",1209.25781/2629714.41023*100)</f>
        <v>4.5984377820488725E-2</v>
      </c>
      <c r="G59" s="26">
        <f>IF(OR(1361306.86729="",1082.26928="",998.39771=""),"-",(998.39771-1082.26928)/1361306.86729*100)</f>
        <v>-6.1611068022426139E-3</v>
      </c>
      <c r="H59" s="26">
        <f>IF(OR(1572223.23546="",1209.25781="",998.39771=""),"-",(1209.25781-998.39771)/1572223.23546*100)</f>
        <v>1.341158782316983E-2</v>
      </c>
      <c r="I59" s="54"/>
      <c r="J59" s="55"/>
      <c r="K59" s="90"/>
    </row>
    <row r="60" spans="1:11" x14ac:dyDescent="0.2">
      <c r="A60" s="80" t="s">
        <v>254</v>
      </c>
      <c r="B60" s="81" t="s">
        <v>30</v>
      </c>
      <c r="C60" s="26">
        <f>IF(24618.1506="","-",24618.1506)</f>
        <v>24618.150600000001</v>
      </c>
      <c r="D60" s="26">
        <f>IF(OR(24593.78795="",24618.1506=""),"-",24618.1506/24593.78795*100)</f>
        <v>100.09906017751121</v>
      </c>
      <c r="E60" s="26">
        <f>IF(24593.78795="","-",24593.78795/1572223.23546*100)</f>
        <v>1.5642681901215107</v>
      </c>
      <c r="F60" s="26">
        <f>IF(24618.1506="","-",24618.1506/2629714.41023*100)</f>
        <v>0.93615300978051252</v>
      </c>
      <c r="G60" s="26">
        <f>IF(OR(1361306.86729="",14248.65686="",24593.78795=""),"-",(24593.78795-14248.65686)/1361306.86729*100)</f>
        <v>0.75994115203388402</v>
      </c>
      <c r="H60" s="26">
        <f>IF(OR(1572223.23546="",24618.1506="",24593.78795=""),"-",(24618.1506-24593.78795)/1572223.23546*100)</f>
        <v>1.5495668458856678E-3</v>
      </c>
      <c r="I60" s="51"/>
      <c r="J60" s="52"/>
      <c r="K60" s="89"/>
    </row>
    <row r="61" spans="1:11" ht="24" x14ac:dyDescent="0.2">
      <c r="A61" s="78" t="s">
        <v>255</v>
      </c>
      <c r="B61" s="79" t="s">
        <v>158</v>
      </c>
      <c r="C61" s="20">
        <f>IF(402965.4138="","-",402965.4138)</f>
        <v>402965.41379999998</v>
      </c>
      <c r="D61" s="20">
        <f>IF(396701.46605="","-",402965.4138/396701.46605*100)</f>
        <v>101.57900796595757</v>
      </c>
      <c r="E61" s="20">
        <f>IF(396701.46605="","-",396701.46605/1572223.23546*100)</f>
        <v>25.231879106145723</v>
      </c>
      <c r="F61" s="20">
        <f>IF(402965.4138="","-",402965.4138/2629714.41023*100)</f>
        <v>15.323542823981247</v>
      </c>
      <c r="G61" s="20">
        <f>IF(1361306.86729="","-",(396701.46605-282629.10205)/1361306.86729*100)</f>
        <v>8.3796215784239561</v>
      </c>
      <c r="H61" s="20">
        <f>IF(1572223.23546="","-",(402965.4138-396701.46605)/1572223.23546*100)</f>
        <v>0.39841338104682639</v>
      </c>
      <c r="I61" s="54"/>
      <c r="J61" s="55"/>
      <c r="K61" s="90"/>
    </row>
    <row r="62" spans="1:11" ht="24" x14ac:dyDescent="0.2">
      <c r="A62" s="80" t="s">
        <v>256</v>
      </c>
      <c r="B62" s="81" t="s">
        <v>159</v>
      </c>
      <c r="C62" s="26">
        <f>IF(2433.31344="","-",2433.31344)</f>
        <v>2433.3134399999999</v>
      </c>
      <c r="D62" s="26" t="s">
        <v>101</v>
      </c>
      <c r="E62" s="26">
        <f>IF(1255.62625="","-",1255.62625/1572223.23546*100)</f>
        <v>7.9863102241497508E-2</v>
      </c>
      <c r="F62" s="26">
        <f>IF(2433.31344="","-",2433.31344/2629714.41023*100)</f>
        <v>9.2531471498731213E-2</v>
      </c>
      <c r="G62" s="26">
        <f>IF(OR(1361306.86729="",1148.09732="",1255.62625=""),"-",(1255.62625-1148.09732)/1361306.86729*100)</f>
        <v>7.8989486194293163E-3</v>
      </c>
      <c r="H62" s="26">
        <f>IF(OR(1572223.23546="",2433.31344="",1255.62625=""),"-",(2433.31344-1255.62625)/1572223.23546*100)</f>
        <v>7.4905850736612017E-2</v>
      </c>
      <c r="I62" s="54"/>
      <c r="J62" s="55"/>
      <c r="K62" s="90"/>
    </row>
    <row r="63" spans="1:11" ht="24" x14ac:dyDescent="0.2">
      <c r="A63" s="80" t="s">
        <v>257</v>
      </c>
      <c r="B63" s="81" t="s">
        <v>160</v>
      </c>
      <c r="C63" s="26">
        <f>IF(7987.56952="","-",7987.56952)</f>
        <v>7987.56952</v>
      </c>
      <c r="D63" s="26">
        <f>IF(OR(8584.02893="",7987.56952=""),"-",7987.56952/8584.02893*100)</f>
        <v>93.051521437498224</v>
      </c>
      <c r="E63" s="26">
        <f>IF(8584.02893="","-",8584.02893/1572223.23546*100)</f>
        <v>0.54598028679359212</v>
      </c>
      <c r="F63" s="26">
        <f>IF(7987.56952="","-",7987.56952/2629714.41023*100)</f>
        <v>0.30374285089388819</v>
      </c>
      <c r="G63" s="26">
        <f>IF(OR(1361306.86729="",6442.16993="",8584.02893=""),"-",(8584.02893-6442.16993)/1361306.86729*100)</f>
        <v>0.15733844083691961</v>
      </c>
      <c r="H63" s="26">
        <f>IF(OR(1572223.23546="",7987.56952="",8584.02893=""),"-",(7987.56952-8584.02893)/1572223.23546*100)</f>
        <v>-3.7937323183338444E-2</v>
      </c>
      <c r="I63" s="54"/>
      <c r="J63" s="55"/>
      <c r="K63" s="90"/>
    </row>
    <row r="64" spans="1:11" ht="26.25" customHeight="1" x14ac:dyDescent="0.2">
      <c r="A64" s="80" t="s">
        <v>258</v>
      </c>
      <c r="B64" s="81" t="s">
        <v>161</v>
      </c>
      <c r="C64" s="26">
        <f>IF(2775.16532="","-",2775.16532)</f>
        <v>2775.1653200000001</v>
      </c>
      <c r="D64" s="26">
        <f>IF(OR(2754.789="",2775.16532=""),"-",2775.16532/2754.789*100)</f>
        <v>100.73966899098261</v>
      </c>
      <c r="E64" s="26">
        <f>IF(2754.789="","-",2754.789/1572223.23546*100)</f>
        <v>0.17521614856391596</v>
      </c>
      <c r="F64" s="26">
        <f>IF(2775.16532="","-",2775.16532/2629714.41023*100)</f>
        <v>0.10553105345600165</v>
      </c>
      <c r="G64" s="26">
        <f>IF(OR(1361306.86729="",1870.86968="",2754.789=""),"-",(2754.789-1870.86968)/1361306.86729*100)</f>
        <v>6.493167273589448E-2</v>
      </c>
      <c r="H64" s="26">
        <f>IF(OR(1572223.23546="",2775.16532="",2754.789=""),"-",(2775.16532-2754.789)/1572223.23546*100)</f>
        <v>1.2960195181213028E-3</v>
      </c>
      <c r="I64" s="54"/>
      <c r="J64" s="55"/>
      <c r="K64" s="90"/>
    </row>
    <row r="65" spans="1:11" ht="28.5" customHeight="1" x14ac:dyDescent="0.2">
      <c r="A65" s="80" t="s">
        <v>259</v>
      </c>
      <c r="B65" s="81" t="s">
        <v>162</v>
      </c>
      <c r="C65" s="26">
        <f>IF(15560.82238="","-",15560.82238)</f>
        <v>15560.82238</v>
      </c>
      <c r="D65" s="26">
        <f>IF(OR(14626.1615="",15560.82238=""),"-",15560.82238/14626.1615*100)</f>
        <v>106.39033611108424</v>
      </c>
      <c r="E65" s="26">
        <f>IF(14626.1615="","-",14626.1615/1572223.23546*100)</f>
        <v>0.93028529092566725</v>
      </c>
      <c r="F65" s="26">
        <f>IF(15560.82238="","-",15560.82238/2629714.41023*100)</f>
        <v>0.5917305057715001</v>
      </c>
      <c r="G65" s="26">
        <f>IF(OR(1361306.86729="",12162.70358="",14626.1615=""),"-",(14626.1615-12162.70358)/1361306.86729*100)</f>
        <v>0.18096271892788512</v>
      </c>
      <c r="H65" s="26">
        <f>IF(OR(1572223.23546="",15560.82238="",14626.1615=""),"-",(15560.82238-14626.1615)/1572223.23546*100)</f>
        <v>5.9448356882127941E-2</v>
      </c>
      <c r="I65" s="54"/>
      <c r="J65" s="55"/>
      <c r="K65" s="90"/>
    </row>
    <row r="66" spans="1:11" ht="29.25" customHeight="1" x14ac:dyDescent="0.2">
      <c r="A66" s="80" t="s">
        <v>260</v>
      </c>
      <c r="B66" s="81" t="s">
        <v>163</v>
      </c>
      <c r="C66" s="26">
        <f>IF(2339.31728="","-",2339.31728)</f>
        <v>2339.3172800000002</v>
      </c>
      <c r="D66" s="26" t="s">
        <v>18</v>
      </c>
      <c r="E66" s="26">
        <f>IF(1163.49891="","-",1163.49891/1572223.23546*100)</f>
        <v>7.4003416547878717E-2</v>
      </c>
      <c r="F66" s="26">
        <f>IF(2339.31728="","-",2339.31728/2629714.41023*100)</f>
        <v>8.8957084879623824E-2</v>
      </c>
      <c r="G66" s="26">
        <f>IF(OR(1361306.86729="",1088.74501="",1163.49891=""),"-",(1163.49891-1088.74501)/1361306.86729*100)</f>
        <v>5.4913334969664161E-3</v>
      </c>
      <c r="H66" s="26">
        <f>IF(OR(1572223.23546="",2339.31728="",1163.49891=""),"-",(2339.31728-1163.49891)/1572223.23546*100)</f>
        <v>7.4786985936890829E-2</v>
      </c>
      <c r="I66" s="54"/>
      <c r="J66" s="55"/>
      <c r="K66" s="90"/>
    </row>
    <row r="67" spans="1:11" ht="40.5" customHeight="1" x14ac:dyDescent="0.2">
      <c r="A67" s="80" t="s">
        <v>261</v>
      </c>
      <c r="B67" s="81" t="s">
        <v>164</v>
      </c>
      <c r="C67" s="26">
        <f>IF(1791.6534="","-",1791.6534)</f>
        <v>1791.6533999999999</v>
      </c>
      <c r="D67" s="26">
        <f>IF(OR(1804.93908="",1791.6534=""),"-",1791.6534/1804.93908*100)</f>
        <v>99.263926403543763</v>
      </c>
      <c r="E67" s="26">
        <f>IF(1804.93908="","-",1804.93908/1572223.23546*100)</f>
        <v>0.11480170495457105</v>
      </c>
      <c r="F67" s="26">
        <f>IF(1791.6534="","-",1791.6534/2629714.41023*100)</f>
        <v>6.8131101728392568E-2</v>
      </c>
      <c r="G67" s="26">
        <f>IF(OR(1361306.86729="",1460.28394="",1804.93908=""),"-",(1804.93908-1460.28394)/1361306.86729*100)</f>
        <v>2.5317960871388011E-2</v>
      </c>
      <c r="H67" s="26">
        <f>IF(OR(1572223.23546="",1791.6534="",1804.93908=""),"-",(1791.6534-1804.93908)/1572223.23546*100)</f>
        <v>-8.4502503845219337E-4</v>
      </c>
      <c r="I67" s="54"/>
      <c r="J67" s="55"/>
      <c r="K67" s="90"/>
    </row>
    <row r="68" spans="1:11" ht="48" x14ac:dyDescent="0.2">
      <c r="A68" s="80" t="s">
        <v>262</v>
      </c>
      <c r="B68" s="81" t="s">
        <v>165</v>
      </c>
      <c r="C68" s="26">
        <f>IF(316965.67056="","-",316965.67056)</f>
        <v>316965.67056</v>
      </c>
      <c r="D68" s="26">
        <f>IF(OR(332476.7574="",316965.67056=""),"-",316965.67056/332476.7574*100)</f>
        <v>95.334685359271973</v>
      </c>
      <c r="E68" s="26">
        <f>IF(332476.7574="","-",332476.7574/1572223.23546*100)</f>
        <v>21.146917937688674</v>
      </c>
      <c r="F68" s="26">
        <f>IF(316965.67056="","-",316965.67056/2629714.41023*100)</f>
        <v>12.053235489258986</v>
      </c>
      <c r="G68" s="26">
        <f>IF(OR(1361306.86729="",245071.24381="",332476.7574=""),"-",(332476.7574-245071.24381)/1361306.86729*100)</f>
        <v>6.4207061383596136</v>
      </c>
      <c r="H68" s="26">
        <f>IF(OR(1572223.23546="",316965.67056="",332476.7574=""),"-",(316965.67056-332476.7574)/1572223.23546*100)</f>
        <v>-0.98657025860973102</v>
      </c>
      <c r="I68" s="54"/>
      <c r="J68" s="55"/>
      <c r="K68" s="90"/>
    </row>
    <row r="69" spans="1:11" ht="24" x14ac:dyDescent="0.2">
      <c r="A69" s="80" t="s">
        <v>263</v>
      </c>
      <c r="B69" s="81" t="s">
        <v>166</v>
      </c>
      <c r="C69" s="26">
        <f>IF(51554.1119="","-",51554.1119)</f>
        <v>51554.111900000004</v>
      </c>
      <c r="D69" s="26">
        <f>IF(OR(33208.3442="",51554.1119=""),"-",51554.1119/33208.3442*100)</f>
        <v>155.24445178450063</v>
      </c>
      <c r="E69" s="26">
        <f>IF(33208.3442="","-",33208.3442/1572223.23546*100)</f>
        <v>2.1121901426602387</v>
      </c>
      <c r="F69" s="26">
        <f>IF(51554.1119="","-",51554.1119/2629714.41023*100)</f>
        <v>1.9604452749487342</v>
      </c>
      <c r="G69" s="26">
        <f>IF(OR(1361306.86729="",13094.89165="",33208.3442=""),"-",(33208.3442-13094.89165)/1361306.86729*100)</f>
        <v>1.4775105476431289</v>
      </c>
      <c r="H69" s="26">
        <f>IF(OR(1572223.23546="",51554.1119="",33208.3442=""),"-",(51554.1119-33208.3442)/1572223.23546*100)</f>
        <v>1.1668678649589104</v>
      </c>
      <c r="I69" s="54"/>
      <c r="J69" s="55"/>
      <c r="K69" s="90"/>
    </row>
    <row r="70" spans="1:11" x14ac:dyDescent="0.2">
      <c r="A70" s="80" t="s">
        <v>264</v>
      </c>
      <c r="B70" s="81" t="s">
        <v>31</v>
      </c>
      <c r="C70" s="26">
        <f>IF(1557.79="","-",1557.79)</f>
        <v>1557.79</v>
      </c>
      <c r="D70" s="26" t="s">
        <v>101</v>
      </c>
      <c r="E70" s="26">
        <f>IF(827.32078="","-",827.32078/1572223.23546*100)</f>
        <v>5.262107576968502E-2</v>
      </c>
      <c r="F70" s="26">
        <f>IF(1557.79="","-",1557.79/2629714.41023*100)</f>
        <v>5.9237991545391902E-2</v>
      </c>
      <c r="G70" s="26">
        <f>IF(OR(1361306.86729="",290.09713="",827.32078=""),"-",(827.32078-290.09713)/1361306.86729*100)</f>
        <v>3.9463816932729462E-2</v>
      </c>
      <c r="H70" s="26">
        <f>IF(OR(1572223.23546="",1557.79="",827.32078=""),"-",(1557.79-827.32078)/1572223.23546*100)</f>
        <v>4.6460909845686113E-2</v>
      </c>
      <c r="I70" s="51"/>
      <c r="J70" s="52"/>
      <c r="K70" s="89"/>
    </row>
    <row r="71" spans="1:11" x14ac:dyDescent="0.2">
      <c r="A71" s="78" t="s">
        <v>265</v>
      </c>
      <c r="B71" s="79" t="s">
        <v>32</v>
      </c>
      <c r="C71" s="20">
        <f>IF(366298.41429="","-",366298.41429)</f>
        <v>366298.41428999999</v>
      </c>
      <c r="D71" s="20">
        <f>IF(344201.92382="","-",366298.41429/344201.92382*100)</f>
        <v>106.4196301475512</v>
      </c>
      <c r="E71" s="20">
        <f>IF(344201.92382="","-",344201.92382/1572223.23546*100)</f>
        <v>21.892687759400378</v>
      </c>
      <c r="F71" s="20">
        <f>IF(366298.41429="","-",366298.41429/2629714.41023*100)</f>
        <v>13.929208923411679</v>
      </c>
      <c r="G71" s="20">
        <f>IF(1361306.86729="","-",(344201.92382-273681.18679)/1361306.86729*100)</f>
        <v>5.1803703282852052</v>
      </c>
      <c r="H71" s="20">
        <f>IF(1572223.23546="","-",(366298.41429-344201.92382)/1572223.23546*100)</f>
        <v>1.4054295835117196</v>
      </c>
      <c r="I71" s="54"/>
      <c r="J71" s="55"/>
      <c r="K71" s="90"/>
    </row>
    <row r="72" spans="1:11" ht="48" x14ac:dyDescent="0.2">
      <c r="A72" s="80" t="s">
        <v>266</v>
      </c>
      <c r="B72" s="81" t="s">
        <v>192</v>
      </c>
      <c r="C72" s="26">
        <f>IF(10133.42595="","-",10133.42595)</f>
        <v>10133.425950000001</v>
      </c>
      <c r="D72" s="26">
        <f>IF(OR(9779.26564="",10133.42595=""),"-",10133.42595/9779.26564*100)</f>
        <v>103.6215429975783</v>
      </c>
      <c r="E72" s="26">
        <f>IF(9779.26564="","-",9779.26564/1572223.23546*100)</f>
        <v>0.62200236069776615</v>
      </c>
      <c r="F72" s="26">
        <f>IF(10133.42595="","-",10133.42595/2629714.41023*100)</f>
        <v>0.38534321105666036</v>
      </c>
      <c r="G72" s="26">
        <f>IF(OR(1361306.86729="",5945.37446="",9779.26564=""),"-",(9779.26564-5945.37446)/1361306.86729*100)</f>
        <v>0.28163313299316983</v>
      </c>
      <c r="H72" s="26">
        <f>IF(OR(1572223.23546="",10133.42595="",9779.26564=""),"-",(10133.42595-9779.26564)/1572223.23546*100)</f>
        <v>2.2526082938621697E-2</v>
      </c>
      <c r="I72" s="54"/>
      <c r="J72" s="55"/>
      <c r="K72" s="90"/>
    </row>
    <row r="73" spans="1:11" x14ac:dyDescent="0.2">
      <c r="A73" s="80" t="s">
        <v>267</v>
      </c>
      <c r="B73" s="81" t="s">
        <v>167</v>
      </c>
      <c r="C73" s="26">
        <f>IF(85511.23658="","-",85511.23658)</f>
        <v>85511.236579999997</v>
      </c>
      <c r="D73" s="26">
        <f>IF(OR(93551.20711="",85511.23658=""),"-",85511.23658/93551.20711*100)</f>
        <v>91.405807815449776</v>
      </c>
      <c r="E73" s="26">
        <f>IF(93551.20711="","-",93551.20711/1572223.23546*100)</f>
        <v>5.9502496210488101</v>
      </c>
      <c r="F73" s="26">
        <f>IF(85511.23658="","-",85511.23658/2629714.41023*100)</f>
        <v>3.251730919804368</v>
      </c>
      <c r="G73" s="26">
        <f>IF(OR(1361306.86729="",67353.80185="",93551.20711=""),"-",(93551.20711-67353.80185)/1361306.86729*100)</f>
        <v>1.924430551955715</v>
      </c>
      <c r="H73" s="26">
        <f>IF(OR(1572223.23546="",85511.23658="",93551.20711=""),"-",(85511.23658-93551.20711)/1572223.23546*100)</f>
        <v>-0.51137588789340571</v>
      </c>
      <c r="I73" s="54"/>
      <c r="J73" s="55"/>
      <c r="K73" s="90"/>
    </row>
    <row r="74" spans="1:11" x14ac:dyDescent="0.2">
      <c r="A74" s="80" t="s">
        <v>268</v>
      </c>
      <c r="B74" s="81" t="s">
        <v>168</v>
      </c>
      <c r="C74" s="26">
        <f>IF(9293.9278="","-",9293.9278)</f>
        <v>9293.9277999999995</v>
      </c>
      <c r="D74" s="26">
        <f>IF(OR(9010.29823="",9293.9278=""),"-",9293.9278/9010.29823*100)</f>
        <v>103.14783776030463</v>
      </c>
      <c r="E74" s="26">
        <f>IF(9010.29823="","-",9010.29823/1572223.23546*100)</f>
        <v>0.57309280430293175</v>
      </c>
      <c r="F74" s="26">
        <f>IF(9293.9278="","-",9293.9278/2629714.41023*100)</f>
        <v>0.35341966275292735</v>
      </c>
      <c r="G74" s="26">
        <f>IF(OR(1361306.86729="",7347.53538="",9010.29823=""),"-",(9010.29823-7347.53538)/1361306.86729*100)</f>
        <v>0.12214460162903011</v>
      </c>
      <c r="H74" s="26">
        <f>IF(OR(1572223.23546="",9293.9278="",9010.29823=""),"-",(9293.9278-9010.29823)/1572223.23546*100)</f>
        <v>1.8040031695436366E-2</v>
      </c>
      <c r="I74" s="54"/>
      <c r="J74" s="55"/>
      <c r="K74" s="90"/>
    </row>
    <row r="75" spans="1:11" x14ac:dyDescent="0.2">
      <c r="A75" s="80" t="s">
        <v>269</v>
      </c>
      <c r="B75" s="81" t="s">
        <v>169</v>
      </c>
      <c r="C75" s="26">
        <f>IF(175690.72114="","-",175690.72114)</f>
        <v>175690.72114000001</v>
      </c>
      <c r="D75" s="26">
        <f>IF(OR(158939.58072="",175690.72114=""),"-",175690.72114/158939.58072*100)</f>
        <v>110.5393133315924</v>
      </c>
      <c r="E75" s="26">
        <f>IF(158939.58072="","-",158939.58072/1572223.23546*100)</f>
        <v>10.109224767531028</v>
      </c>
      <c r="F75" s="26">
        <f>IF(175690.72114="","-",175690.72114/2629714.41023*100)</f>
        <v>6.6809810394822966</v>
      </c>
      <c r="G75" s="26">
        <f>IF(OR(1361306.86729="",130945.27992="",158939.58072=""),"-",(158939.58072-130945.27992)/1361306.86729*100)</f>
        <v>2.0564283830969874</v>
      </c>
      <c r="H75" s="26">
        <f>IF(OR(1572223.23546="",175690.72114="",158939.58072=""),"-",(175690.72114-158939.58072)/1572223.23546*100)</f>
        <v>1.0654428736450374</v>
      </c>
      <c r="I75" s="54"/>
      <c r="J75" s="55"/>
      <c r="K75" s="90"/>
    </row>
    <row r="76" spans="1:11" x14ac:dyDescent="0.2">
      <c r="A76" s="80" t="s">
        <v>270</v>
      </c>
      <c r="B76" s="81" t="s">
        <v>170</v>
      </c>
      <c r="C76" s="26">
        <f>IF(23837.69295="","-",23837.69295)</f>
        <v>23837.692950000001</v>
      </c>
      <c r="D76" s="26">
        <f>IF(OR(22978.27698="",23837.69295=""),"-",23837.69295/22978.27698*100)</f>
        <v>103.74012364263876</v>
      </c>
      <c r="E76" s="26">
        <f>IF(22978.27698="","-",22978.27698/1572223.23546*100)</f>
        <v>1.4615149084269212</v>
      </c>
      <c r="F76" s="26">
        <f>IF(23837.69295="","-",23837.69295/2629714.41023*100)</f>
        <v>0.90647459120532825</v>
      </c>
      <c r="G76" s="26">
        <f>IF(OR(1361306.86729="",18992.44162="",22978.27698=""),"-",(22978.27698-18992.44162)/1361306.86729*100)</f>
        <v>0.2927947735939021</v>
      </c>
      <c r="H76" s="26">
        <f>IF(OR(1572223.23546="",23837.69295="",22978.27698=""),"-",(23837.69295-22978.27698)/1572223.23546*100)</f>
        <v>5.4662464630765649E-2</v>
      </c>
      <c r="I76" s="54"/>
      <c r="J76" s="55"/>
      <c r="K76" s="90"/>
    </row>
    <row r="77" spans="1:11" ht="24" x14ac:dyDescent="0.2">
      <c r="A77" s="80" t="s">
        <v>271</v>
      </c>
      <c r="B77" s="81" t="s">
        <v>193</v>
      </c>
      <c r="C77" s="26">
        <f>IF(11475.27649="","-",11475.27649)</f>
        <v>11475.27649</v>
      </c>
      <c r="D77" s="26">
        <f>IF(OR(13407.14754="",11475.27649=""),"-",11475.27649/13407.14754*100)</f>
        <v>85.590737744652287</v>
      </c>
      <c r="E77" s="26">
        <f>IF(13407.14754="","-",13407.14754/1572223.23546*100)</f>
        <v>0.85275088407387301</v>
      </c>
      <c r="F77" s="26">
        <f>IF(11475.27649="","-",11475.27649/2629714.41023*100)</f>
        <v>0.43636968506387541</v>
      </c>
      <c r="G77" s="26">
        <f>IF(OR(1361306.86729="",10595.30078="",13407.14754=""),"-",(13407.14754-10595.30078)/1361306.86729*100)</f>
        <v>0.20655495300612417</v>
      </c>
      <c r="H77" s="26">
        <f>IF(OR(1572223.23546="",11475.27649="",13407.14754=""),"-",(11475.27649-13407.14754)/1572223.23546*100)</f>
        <v>-0.12287511127100054</v>
      </c>
      <c r="I77" s="54"/>
      <c r="J77" s="55"/>
      <c r="K77" s="90"/>
    </row>
    <row r="78" spans="1:11" ht="24" x14ac:dyDescent="0.2">
      <c r="A78" s="80" t="s">
        <v>272</v>
      </c>
      <c r="B78" s="81" t="s">
        <v>171</v>
      </c>
      <c r="C78" s="26">
        <f>IF(2934.30191="","-",2934.30191)</f>
        <v>2934.3019100000001</v>
      </c>
      <c r="D78" s="26">
        <f>IF(OR(2018.75823="",2934.30191=""),"-",2934.30191/2018.75823*100)</f>
        <v>145.3518240269911</v>
      </c>
      <c r="E78" s="26">
        <f>IF(2018.75823="","-",2018.75823/1572223.23546*100)</f>
        <v>0.12840150078365639</v>
      </c>
      <c r="F78" s="26">
        <f>IF(2934.30191="","-",2934.30191/2629714.41023*100)</f>
        <v>0.11158253149410853</v>
      </c>
      <c r="G78" s="26">
        <f>IF(OR(1361306.86729="",1704.02535="",2018.75823=""),"-",(2018.75823-1704.02535)/1361306.86729*100)</f>
        <v>2.3119906874968572E-2</v>
      </c>
      <c r="H78" s="26">
        <f>IF(OR(1572223.23546="",2934.30191="",2018.75823=""),"-",(2934.30191-2018.75823)/1572223.23546*100)</f>
        <v>5.8232422683419452E-2</v>
      </c>
      <c r="I78" s="54"/>
      <c r="J78" s="55"/>
      <c r="K78" s="90"/>
    </row>
    <row r="79" spans="1:11" x14ac:dyDescent="0.2">
      <c r="A79" s="80" t="s">
        <v>273</v>
      </c>
      <c r="B79" s="81" t="s">
        <v>33</v>
      </c>
      <c r="C79" s="26">
        <f>IF(47421.83147="","-",47421.83147)</f>
        <v>47421.831469999997</v>
      </c>
      <c r="D79" s="26">
        <f>IF(OR(34517.38937="",47421.83147=""),"-",47421.83147/34517.38937*100)</f>
        <v>137.38533630592468</v>
      </c>
      <c r="E79" s="26">
        <f>IF(34517.38937="","-",34517.38937/1572223.23546*100)</f>
        <v>2.1954509125353896</v>
      </c>
      <c r="F79" s="26">
        <f>IF(47421.83147="","-",47421.83147/2629714.41023*100)</f>
        <v>1.8033072825521153</v>
      </c>
      <c r="G79" s="26">
        <f>IF(OR(1361306.86729="",30797.42743="",34517.38937=""),"-",(34517.38937-30797.42743)/1361306.86729*100)</f>
        <v>0.2732640251353064</v>
      </c>
      <c r="H79" s="26">
        <f>IF(OR(1572223.23546="",47421.83147="",34517.38937=""),"-",(47421.83147-34517.38937)/1572223.23546*100)</f>
        <v>0.820776707082848</v>
      </c>
      <c r="I79" s="54"/>
      <c r="J79" s="55"/>
      <c r="K79" s="90"/>
    </row>
    <row r="80" spans="1:11" ht="24" x14ac:dyDescent="0.2">
      <c r="A80" s="78" t="s">
        <v>276</v>
      </c>
      <c r="B80" s="79" t="s">
        <v>172</v>
      </c>
      <c r="C80" s="20">
        <f>IF(2277.006="","-",2277.006)</f>
        <v>2277.0059999999999</v>
      </c>
      <c r="D80" s="20" t="s">
        <v>396</v>
      </c>
      <c r="E80" s="20">
        <f>IF(389.17775="","-",389.17775/1572223.23546*100)</f>
        <v>2.4753339171083719E-2</v>
      </c>
      <c r="F80" s="20">
        <f>IF(2277.006="","-",2277.006/2629714.41023*100)</f>
        <v>8.6587577386429887E-2</v>
      </c>
      <c r="G80" s="20">
        <f>IF(1361306.86729="","-",(389.17775-408.3958)/1361306.86729*100)</f>
        <v>-1.4117353303489929E-3</v>
      </c>
      <c r="H80" s="20">
        <f>IF(1572223.23546="","-",(2277.006-389.17775)/1572223.23546*100)</f>
        <v>0.12007380424241473</v>
      </c>
      <c r="I80" s="54"/>
      <c r="J80" s="55"/>
      <c r="K80" s="90"/>
    </row>
    <row r="81" spans="1:11" x14ac:dyDescent="0.2">
      <c r="A81" s="80" t="s">
        <v>307</v>
      </c>
      <c r="B81" s="81" t="s">
        <v>308</v>
      </c>
      <c r="C81" s="26">
        <f>IF(963.23552="","-",963.23552)</f>
        <v>963.23551999999995</v>
      </c>
      <c r="D81" s="26" t="s">
        <v>347</v>
      </c>
      <c r="E81" s="26">
        <f>IF(389.17775="","-",389.17775/1572223.23546*100)</f>
        <v>2.4753339171083719E-2</v>
      </c>
      <c r="F81" s="26">
        <f>IF(963.23552="","-",963.23552/2629714.41023*100)</f>
        <v>3.6628902220441246E-2</v>
      </c>
      <c r="G81" s="26">
        <f>IF(OR(1361306.86729="",408.3958="",389.17775=""),"-",(389.17775-408.3958)/1361306.86729*100)</f>
        <v>-1.4117353303489929E-3</v>
      </c>
      <c r="H81" s="26">
        <f>IF(OR(1572223.23546="",963.23552="",389.17775=""),"-",(963.23552-389.17775)/1572223.23546*100)</f>
        <v>3.6512484808306656E-2</v>
      </c>
      <c r="I81" s="54"/>
      <c r="J81" s="55"/>
      <c r="K81" s="90"/>
    </row>
    <row r="82" spans="1:11" ht="24" x14ac:dyDescent="0.2">
      <c r="A82" s="82" t="s">
        <v>309</v>
      </c>
      <c r="B82" s="83" t="s">
        <v>315</v>
      </c>
      <c r="C82" s="33">
        <f>IF(1313.77048="","-",1313.77048)</f>
        <v>1313.7704799999999</v>
      </c>
      <c r="D82" s="33" t="str">
        <f>IF(OR(""="",1313.77048=""),"-",1313.77048/""*100)</f>
        <v>-</v>
      </c>
      <c r="E82" s="33" t="str">
        <f>IF(""="","-",""/1572223.23546*100)</f>
        <v>-</v>
      </c>
      <c r="F82" s="33">
        <f>IF(1313.77048="","-",1313.77048/2629714.41023*100)</f>
        <v>4.9958675165988647E-2</v>
      </c>
      <c r="G82" s="33" t="str">
        <f>IF(OR(1361306.86729="",""="",""=""),"-",(""-"")/1361306.86729*100)</f>
        <v>-</v>
      </c>
      <c r="H82" s="33" t="str">
        <f>IF(OR(1572223.23546="",1313.77048="",""=""),"-",(1313.77048-"")/1572223.23546*100)</f>
        <v>-</v>
      </c>
      <c r="I82" s="54"/>
      <c r="J82" s="55"/>
      <c r="K82" s="90"/>
    </row>
    <row r="83" spans="1:11" x14ac:dyDescent="0.2">
      <c r="A83" s="34" t="s">
        <v>279</v>
      </c>
      <c r="B83" s="35"/>
      <c r="C83" s="84"/>
      <c r="D83" s="85"/>
      <c r="E83" s="85"/>
      <c r="F83" s="85"/>
      <c r="G83" s="85"/>
      <c r="H83" s="85"/>
      <c r="I83" s="18"/>
      <c r="J83" s="18"/>
      <c r="K83" s="18"/>
    </row>
    <row r="84" spans="1:11" ht="13.5" x14ac:dyDescent="0.2">
      <c r="A84" s="35" t="s">
        <v>405</v>
      </c>
      <c r="B84" s="35"/>
      <c r="C84" s="18"/>
      <c r="D84" s="18"/>
      <c r="E84" s="18"/>
      <c r="F84" s="18"/>
      <c r="G84" s="18"/>
      <c r="H84" s="18"/>
    </row>
  </sheetData>
  <mergeCells count="11"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M84"/>
  <sheetViews>
    <sheetView zoomScaleNormal="100" workbookViewId="0">
      <selection sqref="A1:H1"/>
    </sheetView>
  </sheetViews>
  <sheetFormatPr defaultRowHeight="12" x14ac:dyDescent="0.2"/>
  <cols>
    <col min="1" max="1" width="5.25" style="3" customWidth="1"/>
    <col min="2" max="2" width="26.125" style="3" customWidth="1"/>
    <col min="3" max="3" width="11.5" style="3" customWidth="1"/>
    <col min="4" max="4" width="11.375" style="3" customWidth="1"/>
    <col min="5" max="5" width="7.75" style="3" customWidth="1"/>
    <col min="6" max="6" width="7.875" style="3" customWidth="1"/>
    <col min="7" max="7" width="8.125" style="3" customWidth="1"/>
    <col min="8" max="8" width="9" style="3" customWidth="1"/>
    <col min="9" max="16384" width="9" style="3"/>
  </cols>
  <sheetData>
    <row r="1" spans="1:13" x14ac:dyDescent="0.2">
      <c r="B1" s="37" t="s">
        <v>407</v>
      </c>
      <c r="C1" s="37"/>
      <c r="D1" s="37"/>
      <c r="E1" s="37"/>
      <c r="F1" s="37"/>
      <c r="G1" s="37"/>
      <c r="H1" s="37"/>
    </row>
    <row r="2" spans="1:13" x14ac:dyDescent="0.2">
      <c r="B2" s="37" t="s">
        <v>278</v>
      </c>
      <c r="C2" s="37"/>
      <c r="D2" s="37"/>
      <c r="E2" s="37"/>
      <c r="F2" s="37"/>
      <c r="G2" s="37"/>
      <c r="H2" s="37"/>
    </row>
    <row r="3" spans="1:13" x14ac:dyDescent="0.2">
      <c r="B3" s="38"/>
    </row>
    <row r="4" spans="1:13" ht="57.75" customHeight="1" x14ac:dyDescent="0.2">
      <c r="A4" s="64" t="s">
        <v>204</v>
      </c>
      <c r="B4" s="65"/>
      <c r="C4" s="66" t="s">
        <v>366</v>
      </c>
      <c r="D4" s="41"/>
      <c r="E4" s="66" t="s">
        <v>0</v>
      </c>
      <c r="F4" s="41"/>
      <c r="G4" s="42" t="s">
        <v>113</v>
      </c>
      <c r="H4" s="67"/>
    </row>
    <row r="5" spans="1:13" ht="19.5" customHeight="1" x14ac:dyDescent="0.2">
      <c r="A5" s="68"/>
      <c r="B5" s="69"/>
      <c r="C5" s="70" t="s">
        <v>105</v>
      </c>
      <c r="D5" s="39" t="s">
        <v>367</v>
      </c>
      <c r="E5" s="71" t="s">
        <v>368</v>
      </c>
      <c r="F5" s="71"/>
      <c r="G5" s="71" t="s">
        <v>408</v>
      </c>
      <c r="H5" s="66"/>
    </row>
    <row r="6" spans="1:13" ht="33" customHeight="1" x14ac:dyDescent="0.2">
      <c r="A6" s="72"/>
      <c r="B6" s="73"/>
      <c r="C6" s="74"/>
      <c r="D6" s="43"/>
      <c r="E6" s="75" t="s">
        <v>300</v>
      </c>
      <c r="F6" s="75" t="s">
        <v>301</v>
      </c>
      <c r="G6" s="75" t="s">
        <v>300</v>
      </c>
      <c r="H6" s="45" t="s">
        <v>301</v>
      </c>
    </row>
    <row r="7" spans="1:13" x14ac:dyDescent="0.2">
      <c r="A7" s="76"/>
      <c r="B7" s="48" t="s">
        <v>117</v>
      </c>
      <c r="C7" s="21">
        <f>IF(5111753.23542="","-",5111753.23542)</f>
        <v>5111753.2354199998</v>
      </c>
      <c r="D7" s="21">
        <f>IF(3828107.2484="","-",5111753.23542/3828107.2484*100)</f>
        <v>133.53213229740399</v>
      </c>
      <c r="E7" s="21">
        <v>100</v>
      </c>
      <c r="F7" s="21">
        <v>100</v>
      </c>
      <c r="G7" s="21">
        <f>IF(2890255.78537="","-",(3828107.2484-2890255.78537)/2890255.78537*100)</f>
        <v>32.448735775471839</v>
      </c>
      <c r="H7" s="21">
        <f>IF(3828107.2484="","-",(5111753.23542-3828107.2484)/3828107.2484*100)</f>
        <v>33.532132297403997</v>
      </c>
      <c r="I7" s="77"/>
      <c r="J7" s="77"/>
      <c r="K7" s="77"/>
      <c r="L7" s="77"/>
      <c r="M7" s="77"/>
    </row>
    <row r="8" spans="1:13" ht="12" customHeight="1" x14ac:dyDescent="0.2">
      <c r="A8" s="78" t="s">
        <v>205</v>
      </c>
      <c r="B8" s="79" t="s">
        <v>173</v>
      </c>
      <c r="C8" s="20">
        <f>IF(527710.08138="","-",527710.08138)</f>
        <v>527710.08137999999</v>
      </c>
      <c r="D8" s="20">
        <f>IF(428766.94692="","-",527710.08138/428766.94692*100)</f>
        <v>123.0762037910681</v>
      </c>
      <c r="E8" s="20">
        <f>IF(428766.94692="","-",428766.94692/3828107.2484*100)</f>
        <v>11.200494633456467</v>
      </c>
      <c r="F8" s="20">
        <f>IF(527710.08138="","-",527710.08138/5111753.23542*100)</f>
        <v>10.323465493667193</v>
      </c>
      <c r="G8" s="20">
        <f>IF(2890255.78537="","-",(428766.94692-361606.14201)/2890255.78537*100)</f>
        <v>2.3236976204651838</v>
      </c>
      <c r="H8" s="20">
        <f>IF(3828107.2484="","-",(527710.08138-428766.94692)/3828107.2484*100)</f>
        <v>2.5846489672240596</v>
      </c>
    </row>
    <row r="9" spans="1:13" x14ac:dyDescent="0.2">
      <c r="A9" s="80" t="s">
        <v>206</v>
      </c>
      <c r="B9" s="81" t="s">
        <v>21</v>
      </c>
      <c r="C9" s="26">
        <f>IF(5578.46568="","-",5578.46568)</f>
        <v>5578.4656800000002</v>
      </c>
      <c r="D9" s="26" t="s">
        <v>195</v>
      </c>
      <c r="E9" s="26">
        <f>IF(3119.77473="","-",3119.77473/3828107.2484*100)</f>
        <v>8.1496534124114325E-2</v>
      </c>
      <c r="F9" s="26">
        <f>IF(5578.46568="","-",5578.46568/5111753.23542*100)</f>
        <v>0.10913018338495077</v>
      </c>
      <c r="G9" s="26">
        <f>IF(OR(2890255.78537="",4254.22893="",3119.77473=""),"-",(3119.77473-4254.22893)/2890255.78537*100)</f>
        <v>-3.9250996598377934E-2</v>
      </c>
      <c r="H9" s="26">
        <f>IF(OR(3828107.2484="",5578.46568="",3119.77473=""),"-",(5578.46568-3119.77473)/3828107.2484*100)</f>
        <v>6.4227326729877743E-2</v>
      </c>
    </row>
    <row r="10" spans="1:13" ht="14.25" customHeight="1" x14ac:dyDescent="0.2">
      <c r="A10" s="80" t="s">
        <v>207</v>
      </c>
      <c r="B10" s="81" t="s">
        <v>174</v>
      </c>
      <c r="C10" s="26">
        <f>IF(48706.49747="","-",48706.49747)</f>
        <v>48706.497470000002</v>
      </c>
      <c r="D10" s="26">
        <f>IF(OR(31565.02205="",48706.49747=""),"-",48706.49747/31565.02205*100)</f>
        <v>154.305285745872</v>
      </c>
      <c r="E10" s="26">
        <f>IF(31565.02205="","-",31565.02205/3828107.2484*100)</f>
        <v>0.82455950164909697</v>
      </c>
      <c r="F10" s="26">
        <f>IF(48706.49747="","-",48706.49747/5111753.23542*100)</f>
        <v>0.95283350402179767</v>
      </c>
      <c r="G10" s="26">
        <f>IF(OR(2890255.78537="",21093.79281="",31565.02205=""),"-",(31565.02205-21093.79281)/2890255.78537*100)</f>
        <v>0.3622942056894633</v>
      </c>
      <c r="H10" s="26">
        <f>IF(OR(3828107.2484="",48706.49747="",31565.02205=""),"-",(48706.49747-31565.02205)/3828107.2484*100)</f>
        <v>0.44777939351528023</v>
      </c>
    </row>
    <row r="11" spans="1:13" s="29" customFormat="1" x14ac:dyDescent="0.2">
      <c r="A11" s="80" t="s">
        <v>208</v>
      </c>
      <c r="B11" s="81" t="s">
        <v>175</v>
      </c>
      <c r="C11" s="26">
        <f>IF(68430.7641="","-",68430.7641)</f>
        <v>68430.7641</v>
      </c>
      <c r="D11" s="26">
        <f>IF(OR(51654.36086="",68430.7641=""),"-",68430.7641/51654.36086*100)</f>
        <v>132.47819343940674</v>
      </c>
      <c r="E11" s="26">
        <f>IF(51654.36086="","-",51654.36086/3828107.2484*100)</f>
        <v>1.3493446632559607</v>
      </c>
      <c r="F11" s="26">
        <f>IF(68430.7641="","-",68430.7641/5111753.23542*100)</f>
        <v>1.3386945916292354</v>
      </c>
      <c r="G11" s="26">
        <f>IF(OR(2890255.78537="",46145.55089="",51654.36086=""),"-",(51654.36086-46145.55089)/2890255.78537*100)</f>
        <v>0.19059939254804689</v>
      </c>
      <c r="H11" s="26">
        <f>IF(OR(3828107.2484="",68430.7641="",51654.36086=""),"-",(68430.7641-51654.36086)/3828107.2484*100)</f>
        <v>0.43824276989658228</v>
      </c>
    </row>
    <row r="12" spans="1:13" s="29" customFormat="1" x14ac:dyDescent="0.2">
      <c r="A12" s="80" t="s">
        <v>209</v>
      </c>
      <c r="B12" s="81" t="s">
        <v>176</v>
      </c>
      <c r="C12" s="26">
        <f>IF(43944.9934="","-",43944.9934)</f>
        <v>43944.993399999999</v>
      </c>
      <c r="D12" s="26">
        <f>IF(OR(39166.65117="",43944.9934=""),"-",43944.9934/39166.65117*100)</f>
        <v>112.20002754195133</v>
      </c>
      <c r="E12" s="26">
        <f>IF(39166.65117="","-",39166.65117/3828107.2484*100)</f>
        <v>1.0231335913164432</v>
      </c>
      <c r="F12" s="26">
        <f>IF(43944.9934="","-",43944.9934/5111753.23542*100)</f>
        <v>0.85968534426700116</v>
      </c>
      <c r="G12" s="26">
        <f>IF(OR(2890255.78537="",30030.16836="",39166.65117=""),"-",(39166.65117-30030.16836)/2890255.78537*100)</f>
        <v>0.31611329544766842</v>
      </c>
      <c r="H12" s="26">
        <f>IF(OR(3828107.2484="",43944.9934="",39166.65117=""),"-",(43944.9934-39166.65117)/3828107.2484*100)</f>
        <v>0.12482257993156182</v>
      </c>
    </row>
    <row r="13" spans="1:13" s="29" customFormat="1" ht="15" customHeight="1" x14ac:dyDescent="0.2">
      <c r="A13" s="80" t="s">
        <v>210</v>
      </c>
      <c r="B13" s="81" t="s">
        <v>177</v>
      </c>
      <c r="C13" s="26">
        <f>IF(89508.49792="","-",89508.49792)</f>
        <v>89508.497919999994</v>
      </c>
      <c r="D13" s="26">
        <f>IF(OR(60986.02161="",89508.49792=""),"-",89508.49792/60986.02161*100)</f>
        <v>146.76887515699678</v>
      </c>
      <c r="E13" s="26">
        <f>IF(60986.02161="","-",60986.02161/3828107.2484*100)</f>
        <v>1.593111625477311</v>
      </c>
      <c r="F13" s="26">
        <f>IF(89508.49792="","-",89508.49792/5111753.23542*100)</f>
        <v>1.751033232586112</v>
      </c>
      <c r="G13" s="26">
        <f>IF(OR(2890255.78537="",55676.72545="",60986.02161=""),"-",(60986.02161-55676.72545)/2890255.78537*100)</f>
        <v>0.18369641146900528</v>
      </c>
      <c r="H13" s="26">
        <f>IF(OR(3828107.2484="",89508.49792="",60986.02161=""),"-",(89508.49792-60986.02161)/3828107.2484*100)</f>
        <v>0.74508038723108605</v>
      </c>
    </row>
    <row r="14" spans="1:13" s="29" customFormat="1" ht="14.25" customHeight="1" x14ac:dyDescent="0.2">
      <c r="A14" s="80" t="s">
        <v>211</v>
      </c>
      <c r="B14" s="81" t="s">
        <v>178</v>
      </c>
      <c r="C14" s="26">
        <f>IF(118775.01272="","-",118775.01272)</f>
        <v>118775.01272</v>
      </c>
      <c r="D14" s="26">
        <f>IF(OR(111575.24535="",118775.01272=""),"-",118775.01272/111575.24535*100)</f>
        <v>106.45283579472766</v>
      </c>
      <c r="E14" s="26">
        <f>IF(111575.24535="","-",111575.24535/3828107.2484*100)</f>
        <v>2.9146321696351141</v>
      </c>
      <c r="F14" s="26">
        <f>IF(118775.01272="","-",118775.01272/5111753.23542*100)</f>
        <v>2.3235670277859377</v>
      </c>
      <c r="G14" s="26">
        <f>IF(OR(2890255.78537="",101051.94938="",111575.24535=""),"-",(111575.24535-101051.94938)/2890255.78537*100)</f>
        <v>0.36409566320279285</v>
      </c>
      <c r="H14" s="26">
        <f>IF(OR(3828107.2484="",118775.01272="",111575.24535=""),"-",(118775.01272-111575.24535)/3828107.2484*100)</f>
        <v>0.18807642792686188</v>
      </c>
    </row>
    <row r="15" spans="1:13" s="29" customFormat="1" ht="24" x14ac:dyDescent="0.2">
      <c r="A15" s="80" t="s">
        <v>212</v>
      </c>
      <c r="B15" s="81" t="s">
        <v>136</v>
      </c>
      <c r="C15" s="26">
        <f>IF(12007.91589="","-",12007.91589)</f>
        <v>12007.91589</v>
      </c>
      <c r="D15" s="26">
        <f>IF(OR(10713.66519="",12007.91589=""),"-",12007.91589/10713.66519*100)</f>
        <v>112.08037284204137</v>
      </c>
      <c r="E15" s="26">
        <f>IF(10713.66519="","-",10713.66519/3828107.2484*100)</f>
        <v>0.27986847010302274</v>
      </c>
      <c r="F15" s="26">
        <f>IF(12007.91589="","-",12007.91589/5111753.23542*100)</f>
        <v>0.23490797260704208</v>
      </c>
      <c r="G15" s="26">
        <f>IF(OR(2890255.78537="",9252.04907="",10713.66519=""),"-",(10713.66519-9252.04907)/2890255.78537*100)</f>
        <v>5.0570476405529967E-2</v>
      </c>
      <c r="H15" s="26">
        <f>IF(OR(3828107.2484="",12007.91589="",10713.66519=""),"-",(12007.91589-10713.66519)/3828107.2484*100)</f>
        <v>3.3809154655762244E-2</v>
      </c>
    </row>
    <row r="16" spans="1:13" s="29" customFormat="1" ht="24" x14ac:dyDescent="0.2">
      <c r="A16" s="80" t="s">
        <v>213</v>
      </c>
      <c r="B16" s="81" t="s">
        <v>179</v>
      </c>
      <c r="C16" s="26">
        <f>IF(38112.15325="","-",38112.15325)</f>
        <v>38112.153250000003</v>
      </c>
      <c r="D16" s="26">
        <f>IF(OR(34681.80398="",38112.15325=""),"-",38112.15325/34681.80398*100)</f>
        <v>109.8909193765647</v>
      </c>
      <c r="E16" s="26">
        <f>IF(34681.80398="","-",34681.80398/3828107.2484*100)</f>
        <v>0.90597785614537418</v>
      </c>
      <c r="F16" s="26">
        <f>IF(38112.15325="","-",38112.15325/5111753.23542*100)</f>
        <v>0.74557889426109147</v>
      </c>
      <c r="G16" s="26">
        <f>IF(OR(2890255.78537="",28245.1107="",34681.80398=""),"-",(34681.80398-28245.1107)/2890255.78537*100)</f>
        <v>0.22270324005859549</v>
      </c>
      <c r="H16" s="26">
        <f>IF(OR(3828107.2484="",38112.15325="",34681.80398=""),"-",(38112.15325-34681.80398)/3828107.2484*100)</f>
        <v>8.9609539320868264E-2</v>
      </c>
    </row>
    <row r="17" spans="1:8" s="29" customFormat="1" ht="24" x14ac:dyDescent="0.2">
      <c r="A17" s="80" t="s">
        <v>214</v>
      </c>
      <c r="B17" s="81" t="s">
        <v>137</v>
      </c>
      <c r="C17" s="26">
        <f>IF(32243.64417="","-",32243.64417)</f>
        <v>32243.64417</v>
      </c>
      <c r="D17" s="26">
        <f>IF(OR(27948.86607="",32243.64417=""),"-",32243.64417/27948.86607*100)</f>
        <v>115.36655579959276</v>
      </c>
      <c r="E17" s="26">
        <f>IF(27948.86607="","-",27948.86607/3828107.2484*100)</f>
        <v>0.73009621351861398</v>
      </c>
      <c r="F17" s="26">
        <f>IF(32243.64417="","-",32243.64417/5111753.23542*100)</f>
        <v>0.63077466155016271</v>
      </c>
      <c r="G17" s="26">
        <f>IF(OR(2890255.78537="",22097.67061="",27948.86607=""),"-",(27948.86607-22097.67061)/2890255.78537*100)</f>
        <v>0.20244559286474881</v>
      </c>
      <c r="H17" s="26">
        <f>IF(OR(3828107.2484="",32243.64417="",27948.86607=""),"-",(32243.64417-27948.86607)/3828107.2484*100)</f>
        <v>0.11219064204105174</v>
      </c>
    </row>
    <row r="18" spans="1:8" s="29" customFormat="1" ht="24" x14ac:dyDescent="0.2">
      <c r="A18" s="80" t="s">
        <v>215</v>
      </c>
      <c r="B18" s="81" t="s">
        <v>180</v>
      </c>
      <c r="C18" s="26">
        <f>IF(70402.13678="","-",70402.13678)</f>
        <v>70402.136780000001</v>
      </c>
      <c r="D18" s="26">
        <f>IF(OR(57355.53591="",70402.13678=""),"-",70402.13678/57355.53591*100)</f>
        <v>122.74689036202572</v>
      </c>
      <c r="E18" s="26">
        <f>IF(57355.53591="","-",57355.53591/3828107.2484*100)</f>
        <v>1.4982740082314145</v>
      </c>
      <c r="F18" s="26">
        <f>IF(70402.13678="","-",70402.13678/5111753.23542*100)</f>
        <v>1.3772600815738616</v>
      </c>
      <c r="G18" s="26">
        <f>IF(OR(2890255.78537="",43758.89581="",57355.53591=""),"-",(57355.53591-43758.89581)/2890255.78537*100)</f>
        <v>0.47043033937771028</v>
      </c>
      <c r="H18" s="26">
        <f>IF(OR(3828107.2484="",70402.13678="",57355.53591=""),"-",(70402.13678-57355.53591)/3828107.2484*100)</f>
        <v>0.34081074597512839</v>
      </c>
    </row>
    <row r="19" spans="1:8" s="29" customFormat="1" x14ac:dyDescent="0.2">
      <c r="A19" s="78" t="s">
        <v>216</v>
      </c>
      <c r="B19" s="79" t="s">
        <v>181</v>
      </c>
      <c r="C19" s="20">
        <f>IF(72186.97968="","-",72186.97968)</f>
        <v>72186.979680000004</v>
      </c>
      <c r="D19" s="20">
        <f>IF(70528.31025="","-",72186.97968/70528.31025*100)</f>
        <v>102.3517782066812</v>
      </c>
      <c r="E19" s="20">
        <f>IF(70528.31025="","-",70528.31025/3828107.2484*100)</f>
        <v>1.8423807295231367</v>
      </c>
      <c r="F19" s="20">
        <f>IF(72186.97968="","-",72186.97968/5111753.23542*100)</f>
        <v>1.4121765342623951</v>
      </c>
      <c r="G19" s="20">
        <f>IF(2890255.78537="","-",(70528.31025-56542.21405)/2890255.78537*100)</f>
        <v>0.48390513638257598</v>
      </c>
      <c r="H19" s="20">
        <f>IF(3828107.2484="","-",(72186.97968-70528.31025)/3828107.2484*100)</f>
        <v>4.3328708481019391E-2</v>
      </c>
    </row>
    <row r="20" spans="1:8" s="29" customFormat="1" x14ac:dyDescent="0.2">
      <c r="A20" s="80" t="s">
        <v>217</v>
      </c>
      <c r="B20" s="81" t="s">
        <v>182</v>
      </c>
      <c r="C20" s="26">
        <f>IF(48217.07838="","-",48217.07838)</f>
        <v>48217.078379999999</v>
      </c>
      <c r="D20" s="26">
        <f>IF(OR(43985.99848="",48217.07838=""),"-",48217.07838/43985.99848*100)</f>
        <v>109.61915165327855</v>
      </c>
      <c r="E20" s="26">
        <f>IF(43985.99848="","-",43985.99848/3828107.2484*100)</f>
        <v>1.1490273293253328</v>
      </c>
      <c r="F20" s="26">
        <f>IF(48217.07838="","-",48217.07838/5111753.23542*100)</f>
        <v>0.94325911598974743</v>
      </c>
      <c r="G20" s="26">
        <f>IF(OR(2890255.78537="",29560.66836="",43985.99848=""),"-",(43985.99848-29560.66836)/2890255.78537*100)</f>
        <v>0.49910219687193963</v>
      </c>
      <c r="H20" s="26">
        <f>IF(OR(3828107.2484="",48217.07838="",43985.99848=""),"-",(48217.07838-43985.99848)/3828107.2484*100)</f>
        <v>0.11052668134542008</v>
      </c>
    </row>
    <row r="21" spans="1:8" s="29" customFormat="1" x14ac:dyDescent="0.2">
      <c r="A21" s="80" t="s">
        <v>218</v>
      </c>
      <c r="B21" s="81" t="s">
        <v>183</v>
      </c>
      <c r="C21" s="26">
        <f>IF(23969.9013="","-",23969.9013)</f>
        <v>23969.901300000001</v>
      </c>
      <c r="D21" s="26">
        <f>IF(OR(26542.31177="",23969.9013=""),"-",23969.9013/26542.31177*100)</f>
        <v>90.308265186955111</v>
      </c>
      <c r="E21" s="26">
        <f>IF(26542.31177="","-",26542.31177/3828107.2484*100)</f>
        <v>0.69335340019780423</v>
      </c>
      <c r="F21" s="26">
        <f>IF(23969.9013="","-",23969.9013/5111753.23542*100)</f>
        <v>0.46891741827264771</v>
      </c>
      <c r="G21" s="26">
        <f>IF(OR(2890255.78537="",26981.54569="",26542.31177=""),"-",(26542.31177-26981.54569)/2890255.78537*100)</f>
        <v>-1.5197060489363215E-2</v>
      </c>
      <c r="H21" s="26">
        <f>IF(OR(3828107.2484="",23969.9013="",26542.31177=""),"-",(23969.9013-26542.31177)/3828107.2484*100)</f>
        <v>-6.7197972864400976E-2</v>
      </c>
    </row>
    <row r="22" spans="1:8" s="29" customFormat="1" ht="24" x14ac:dyDescent="0.2">
      <c r="A22" s="78" t="s">
        <v>219</v>
      </c>
      <c r="B22" s="79" t="s">
        <v>22</v>
      </c>
      <c r="C22" s="20">
        <f>IF(182386.1891="","-",182386.1891)</f>
        <v>182386.18909999999</v>
      </c>
      <c r="D22" s="20">
        <f>IF(117443.95534="","-",182386.1891/117443.95534*100)</f>
        <v>155.29636120649408</v>
      </c>
      <c r="E22" s="20">
        <f>IF(117443.95534="","-",117443.95534/3828107.2484*100)</f>
        <v>3.0679379578272532</v>
      </c>
      <c r="F22" s="20">
        <f>IF(182386.1891="","-",182386.1891/5111753.23542*100)</f>
        <v>3.5679771831750888</v>
      </c>
      <c r="G22" s="20">
        <f>IF(2890255.78537="","-",(117443.95534-84603.56097)/2890255.78537*100)</f>
        <v>1.1362452602372661</v>
      </c>
      <c r="H22" s="20">
        <f>IF(3828107.2484="","-",(182386.1891-117443.95534)/3828107.2484*100)</f>
        <v>1.6964580547512955</v>
      </c>
    </row>
    <row r="23" spans="1:8" s="29" customFormat="1" x14ac:dyDescent="0.2">
      <c r="A23" s="80" t="s">
        <v>221</v>
      </c>
      <c r="B23" s="81" t="s">
        <v>184</v>
      </c>
      <c r="C23" s="26">
        <f>IF(98847.33437="","-",98847.33437)</f>
        <v>98847.334369999997</v>
      </c>
      <c r="D23" s="26" t="s">
        <v>347</v>
      </c>
      <c r="E23" s="26">
        <f>IF(40246.50317="","-",40246.50317/3828107.2484*100)</f>
        <v>1.0513421008991186</v>
      </c>
      <c r="F23" s="26">
        <f>IF(98847.33437="","-",98847.33437/5111753.23542*100)</f>
        <v>1.9337266455875457</v>
      </c>
      <c r="G23" s="26">
        <f>IF(OR(2890255.78537="",28130.41906="",40246.50317=""),"-",(40246.50317-28130.41906)/2890255.78537*100)</f>
        <v>0.41920456214739299</v>
      </c>
      <c r="H23" s="26">
        <f>IF(OR(3828107.2484="",98847.33437="",40246.50317=""),"-",(98847.33437-40246.50317)/3828107.2484*100)</f>
        <v>1.5308043217569951</v>
      </c>
    </row>
    <row r="24" spans="1:8" s="29" customFormat="1" ht="24" x14ac:dyDescent="0.2">
      <c r="A24" s="80" t="s">
        <v>274</v>
      </c>
      <c r="B24" s="81" t="s">
        <v>185</v>
      </c>
      <c r="C24" s="26">
        <f>IF(2612.97169="","-",2612.97169)</f>
        <v>2612.9716899999999</v>
      </c>
      <c r="D24" s="26" t="s">
        <v>18</v>
      </c>
      <c r="E24" s="26">
        <f>IF(1290.35665="","-",1290.35665/3828107.2484*100)</f>
        <v>3.3707432061610053E-2</v>
      </c>
      <c r="F24" s="26">
        <f>IF(2612.97169="","-",2612.97169/5111753.23542*100)</f>
        <v>5.1116937177138763E-2</v>
      </c>
      <c r="G24" s="26">
        <f>IF(OR(2890255.78537="",721.96812="",1290.35665=""),"-",(1290.35665-721.96812)/2890255.78537*100)</f>
        <v>1.966568263186564E-2</v>
      </c>
      <c r="H24" s="26">
        <f>IF(OR(3828107.2484="",2612.97169="",1290.35665=""),"-",(2612.97169-1290.35665)/3828107.2484*100)</f>
        <v>3.4550104116147784E-2</v>
      </c>
    </row>
    <row r="25" spans="1:8" s="29" customFormat="1" x14ac:dyDescent="0.2">
      <c r="A25" s="80" t="s">
        <v>222</v>
      </c>
      <c r="B25" s="81" t="s">
        <v>186</v>
      </c>
      <c r="C25" s="26">
        <f>IF(34225.91774="","-",34225.91774)</f>
        <v>34225.917739999997</v>
      </c>
      <c r="D25" s="26">
        <f>IF(OR(25848.95239="",34225.91774=""),"-",34225.91774/25848.95239*100)</f>
        <v>132.40736886977569</v>
      </c>
      <c r="E25" s="26">
        <f>IF(25848.95239="","-",25848.95239/3828107.2484*100)</f>
        <v>0.67524107117959808</v>
      </c>
      <c r="F25" s="26">
        <f>IF(34225.91774="","-",34225.91774/5111753.23542*100)</f>
        <v>0.66955340298596933</v>
      </c>
      <c r="G25" s="26">
        <f>IF(OR(2890255.78537="",19927.98968="",25848.95239=""),"-",(25848.95239-19927.98968)/2890255.78537*100)</f>
        <v>0.20485947091502904</v>
      </c>
      <c r="H25" s="26">
        <f>IF(OR(3828107.2484="",34225.91774="",25848.95239=""),"-",(34225.91774-25848.95239)/3828107.2484*100)</f>
        <v>0.21882786469739698</v>
      </c>
    </row>
    <row r="26" spans="1:8" s="29" customFormat="1" ht="14.25" customHeight="1" x14ac:dyDescent="0.2">
      <c r="A26" s="80" t="s">
        <v>223</v>
      </c>
      <c r="B26" s="81" t="s">
        <v>138</v>
      </c>
      <c r="C26" s="26">
        <f>IF(436.48592="","-",436.48592)</f>
        <v>436.48592000000002</v>
      </c>
      <c r="D26" s="26">
        <f>IF(OR(323.23287="",436.48592=""),"-",436.48592/323.23287*100)</f>
        <v>135.03760307545457</v>
      </c>
      <c r="E26" s="26">
        <f>IF(323.23287="","-",323.23287/3828107.2484*100)</f>
        <v>8.4436733097041292E-3</v>
      </c>
      <c r="F26" s="26">
        <f>IF(436.48592="","-",436.48592/5111753.23542*100)</f>
        <v>8.5388691491508732E-3</v>
      </c>
      <c r="G26" s="26">
        <f>IF(OR(2890255.78537="",208.24908="",323.23287=""),"-",(323.23287-208.24908)/2890255.78537*100)</f>
        <v>3.9783257448018639E-3</v>
      </c>
      <c r="H26" s="26">
        <f>IF(OR(3828107.2484="",436.48592="",323.23287=""),"-",(436.48592-323.23287)/3828107.2484*100)</f>
        <v>2.9584607392422299E-3</v>
      </c>
    </row>
    <row r="27" spans="1:8" s="29" customFormat="1" ht="36" x14ac:dyDescent="0.2">
      <c r="A27" s="80" t="s">
        <v>224</v>
      </c>
      <c r="B27" s="81" t="s">
        <v>139</v>
      </c>
      <c r="C27" s="26">
        <f>IF(4534.15566="","-",4534.15566)</f>
        <v>4534.1556600000004</v>
      </c>
      <c r="D27" s="26">
        <f>IF(OR(5582.33772="",4534.15566=""),"-",4534.15566/5582.33772*100)</f>
        <v>81.223241721032963</v>
      </c>
      <c r="E27" s="26">
        <f>IF(5582.33772="","-",5582.33772/3828107.2484*100)</f>
        <v>0.14582500849037602</v>
      </c>
      <c r="F27" s="26">
        <f>IF(4534.15566="","-",4534.15566/5111753.23542*100)</f>
        <v>8.8700597450249538E-2</v>
      </c>
      <c r="G27" s="26">
        <f>IF(OR(2890255.78537="",4044.8797="",5582.33772=""),"-",(5582.33772-4044.8797)/2890255.78537*100)</f>
        <v>5.3194531355403224E-2</v>
      </c>
      <c r="H27" s="26">
        <f>IF(OR(3828107.2484="",4534.15566="",5582.33772=""),"-",(4534.15566-5582.33772)/3828107.2484*100)</f>
        <v>-2.7381209354521076E-2</v>
      </c>
    </row>
    <row r="28" spans="1:8" s="29" customFormat="1" ht="36" x14ac:dyDescent="0.2">
      <c r="A28" s="80" t="s">
        <v>225</v>
      </c>
      <c r="B28" s="81" t="s">
        <v>140</v>
      </c>
      <c r="C28" s="26">
        <f>IF(11318.30819="","-",11318.30819)</f>
        <v>11318.30819</v>
      </c>
      <c r="D28" s="26">
        <f>IF(OR(11193.88487="",11318.30819=""),"-",11318.30819/11193.88487*100)</f>
        <v>101.11152938809884</v>
      </c>
      <c r="E28" s="26">
        <f>IF(11193.88487="","-",11193.88487/3828107.2484*100)</f>
        <v>0.29241304236391519</v>
      </c>
      <c r="F28" s="26">
        <f>IF(11318.30819="","-",11318.30819/5111753.23542*100)</f>
        <v>0.22141734291033413</v>
      </c>
      <c r="G28" s="26">
        <f>IF(OR(2890255.78537="",8342.00631="",11193.88487=""),"-",(11193.88487-8342.00631)/2890255.78537*100)</f>
        <v>9.8672185847209076E-2</v>
      </c>
      <c r="H28" s="26">
        <f>IF(OR(3828107.2484="",11318.30819="",11193.88487=""),"-",(11318.30819-11193.88487)/3828107.2484*100)</f>
        <v>3.250256900508835E-3</v>
      </c>
    </row>
    <row r="29" spans="1:8" s="29" customFormat="1" ht="24" x14ac:dyDescent="0.2">
      <c r="A29" s="80" t="s">
        <v>226</v>
      </c>
      <c r="B29" s="81" t="s">
        <v>141</v>
      </c>
      <c r="C29" s="26">
        <f>IF(1259.02513="","-",1259.02513)</f>
        <v>1259.02513</v>
      </c>
      <c r="D29" s="26">
        <f>IF(OR(822.90725="",1259.02513=""),"-",1259.02513/822.90725*100)</f>
        <v>152.99720958832239</v>
      </c>
      <c r="E29" s="26">
        <f>IF(822.90725="","-",822.90725/3828107.2484*100)</f>
        <v>2.1496452335392203E-2</v>
      </c>
      <c r="F29" s="26">
        <f>IF(1259.02513="","-",1259.02513/5111753.23542*100)</f>
        <v>2.4630006027600314E-2</v>
      </c>
      <c r="G29" s="26">
        <f>IF(OR(2890255.78537="",801.60272="",822.90725=""),"-",(822.90725-801.60272)/2890255.78537*100)</f>
        <v>7.3711572892060388E-4</v>
      </c>
      <c r="H29" s="26">
        <f>IF(OR(3828107.2484="",1259.02513="",822.90725=""),"-",(1259.02513-822.90725)/3828107.2484*100)</f>
        <v>1.1392519898241627E-2</v>
      </c>
    </row>
    <row r="30" spans="1:8" s="29" customFormat="1" ht="24" x14ac:dyDescent="0.2">
      <c r="A30" s="80" t="s">
        <v>227</v>
      </c>
      <c r="B30" s="81" t="s">
        <v>142</v>
      </c>
      <c r="C30" s="26">
        <f>IF(29151.9904="","-",29151.9904)</f>
        <v>29151.990399999999</v>
      </c>
      <c r="D30" s="26">
        <f>IF(OR(32121.146="",29151.9904=""),"-",29151.9904/32121.146*100)</f>
        <v>90.756383349460805</v>
      </c>
      <c r="E30" s="26">
        <f>IF(32121.146="","-",32121.146/3828107.2484*100)</f>
        <v>0.83908688852501168</v>
      </c>
      <c r="F30" s="26">
        <f>IF(29151.9904="","-",29151.9904/5111753.23542*100)</f>
        <v>0.57029338188710055</v>
      </c>
      <c r="G30" s="26">
        <f>IF(OR(2890255.78537="",22426.4463="",32121.146=""),"-",(32121.146-22426.4463)/2890255.78537*100)</f>
        <v>0.33542704936611417</v>
      </c>
      <c r="H30" s="26">
        <f>IF(OR(3828107.2484="",29151.9904="",32121.146=""),"-",(29151.9904-32121.146)/3828107.2484*100)</f>
        <v>-7.756197534018916E-2</v>
      </c>
    </row>
    <row r="31" spans="1:8" s="29" customFormat="1" ht="24" x14ac:dyDescent="0.2">
      <c r="A31" s="78" t="s">
        <v>228</v>
      </c>
      <c r="B31" s="79" t="s">
        <v>143</v>
      </c>
      <c r="C31" s="20">
        <f>IF(1316322.45707="","-",1316322.45707)</f>
        <v>1316322.45707</v>
      </c>
      <c r="D31" s="20" t="s">
        <v>376</v>
      </c>
      <c r="E31" s="20">
        <f>IF(456737.01671="","-",456737.01671/3828107.2484*100)</f>
        <v>11.931144742637457</v>
      </c>
      <c r="F31" s="20">
        <f>IF(1316322.45707="","-",1316322.45707/5111753.23542*100)</f>
        <v>25.750899866390874</v>
      </c>
      <c r="G31" s="20">
        <f>IF(2890255.78537="","-",(456737.01671-344609.48612)/2890255.78537*100)</f>
        <v>3.8795019858647501</v>
      </c>
      <c r="H31" s="20">
        <f>IF(3828107.2484="","-",(1316322.45707-456737.01671)/3828107.2484*100)</f>
        <v>22.454580934723637</v>
      </c>
    </row>
    <row r="32" spans="1:8" s="29" customFormat="1" x14ac:dyDescent="0.2">
      <c r="A32" s="80" t="s">
        <v>229</v>
      </c>
      <c r="B32" s="81" t="s">
        <v>187</v>
      </c>
      <c r="C32" s="26">
        <f>IF(14273.66051="","-",14273.66051)</f>
        <v>14273.66051</v>
      </c>
      <c r="D32" s="26" t="s">
        <v>101</v>
      </c>
      <c r="E32" s="26">
        <f>IF(7390.73056="","-",7390.73056/3828107.2484*100)</f>
        <v>0.19306487724681792</v>
      </c>
      <c r="F32" s="26">
        <f>IF(14273.66051="","-",14273.66051/5111753.23542*100)</f>
        <v>0.27923219006535682</v>
      </c>
      <c r="G32" s="26">
        <f>IF(OR(2890255.78537="",8622.57809="",7390.73056=""),"-",(7390.73056-8622.57809)/2890255.78537*100)</f>
        <v>-4.2620709773695836E-2</v>
      </c>
      <c r="H32" s="26">
        <f>IF(OR(3828107.2484="",14273.66051="",7390.73056=""),"-",(14273.66051-7390.73056)/3828107.2484*100)</f>
        <v>0.17979982020819291</v>
      </c>
    </row>
    <row r="33" spans="1:8" s="29" customFormat="1" ht="24" x14ac:dyDescent="0.2">
      <c r="A33" s="80" t="s">
        <v>230</v>
      </c>
      <c r="B33" s="81" t="s">
        <v>144</v>
      </c>
      <c r="C33" s="26">
        <f>IF(810647.02471="","-",810647.02471)</f>
        <v>810647.02471000003</v>
      </c>
      <c r="D33" s="26" t="s">
        <v>346</v>
      </c>
      <c r="E33" s="26">
        <f>IF(302758.86496="","-",302758.86496/3828107.2484*100)</f>
        <v>7.9088396775336269</v>
      </c>
      <c r="F33" s="26">
        <f>IF(810647.02471="","-",810647.02471/5111753.23542*100)</f>
        <v>15.858492915755829</v>
      </c>
      <c r="G33" s="26">
        <f>IF(OR(2890255.78537="",208269.94625="",302758.86496=""),"-",(302758.86496-208269.94625)/2890255.78537*100)</f>
        <v>3.2692234088168717</v>
      </c>
      <c r="H33" s="26">
        <f>IF(OR(3828107.2484="",810647.02471="",302758.86496=""),"-",(810647.02471-302758.86496)/3828107.2484*100)</f>
        <v>13.267344063107886</v>
      </c>
    </row>
    <row r="34" spans="1:8" s="29" customFormat="1" ht="24" x14ac:dyDescent="0.2">
      <c r="A34" s="80" t="s">
        <v>275</v>
      </c>
      <c r="B34" s="81" t="s">
        <v>188</v>
      </c>
      <c r="C34" s="26">
        <f>IF(466251.56853="","-",466251.56853)</f>
        <v>466251.56852999999</v>
      </c>
      <c r="D34" s="26" t="s">
        <v>361</v>
      </c>
      <c r="E34" s="26">
        <f>IF(141159.8312="","-",141159.8312/3828107.2484*100)</f>
        <v>3.6874575877935323</v>
      </c>
      <c r="F34" s="26">
        <f>IF(466251.56853="","-",466251.56853/5111753.23542*100)</f>
        <v>9.1211673775502788</v>
      </c>
      <c r="G34" s="26">
        <f>IF(OR(2890255.78537="",119606.08871="",141159.8312=""),"-",(141159.8312-119606.08871)/2890255.78537*100)</f>
        <v>0.74573823531818506</v>
      </c>
      <c r="H34" s="26">
        <f>IF(OR(3828107.2484="",466251.56853="",141159.8312=""),"-",(466251.56853-141159.8312)/3828107.2484*100)</f>
        <v>8.4922317018645632</v>
      </c>
    </row>
    <row r="35" spans="1:8" s="29" customFormat="1" x14ac:dyDescent="0.2">
      <c r="A35" s="80" t="s">
        <v>282</v>
      </c>
      <c r="B35" s="81" t="s">
        <v>284</v>
      </c>
      <c r="C35" s="26">
        <f>IF(25150.20332="","-",25150.20332)</f>
        <v>25150.203320000001</v>
      </c>
      <c r="D35" s="26" t="s">
        <v>358</v>
      </c>
      <c r="E35" s="26">
        <f>IF(5427.58999="","-",5427.58999/3828107.2484*100)</f>
        <v>0.14178260006347843</v>
      </c>
      <c r="F35" s="26">
        <f>IF(25150.20332="","-",25150.20332/5111753.23542*100)</f>
        <v>0.49200738301941077</v>
      </c>
      <c r="G35" s="26">
        <f>IF(OR(2890255.78537="",8110.87307="",5427.58999=""),"-",(5427.58999-8110.87307)/2890255.78537*100)</f>
        <v>-9.2838948496611867E-2</v>
      </c>
      <c r="H35" s="26">
        <f>IF(OR(3828107.2484="",25150.20332="",5427.58999=""),"-",(25150.20332-5427.58999)/3828107.2484*100)</f>
        <v>0.51520534954299635</v>
      </c>
    </row>
    <row r="36" spans="1:8" s="29" customFormat="1" ht="24" x14ac:dyDescent="0.2">
      <c r="A36" s="78" t="s">
        <v>231</v>
      </c>
      <c r="B36" s="79" t="s">
        <v>145</v>
      </c>
      <c r="C36" s="20">
        <f>IF(47788.93617="","-",47788.93617)</f>
        <v>47788.936170000001</v>
      </c>
      <c r="D36" s="20" t="s">
        <v>397</v>
      </c>
      <c r="E36" s="20">
        <f>IF(7789.42584999999="","-",7789.42584999999/3828107.2484*100)</f>
        <v>0.20347982291393918</v>
      </c>
      <c r="F36" s="20">
        <f>IF(47788.93617="","-",47788.93617/5111753.23542*100)</f>
        <v>0.93488347283402251</v>
      </c>
      <c r="G36" s="20">
        <f>IF(2890255.78537="","-",(7789.42584999999-5527.84106)/2890255.78537*100)</f>
        <v>7.8248603512801898E-2</v>
      </c>
      <c r="H36" s="20">
        <f>IF(3828107.2484="","-",(47788.93617-7789.42584999999)/3828107.2484*100)</f>
        <v>1.0448900128573528</v>
      </c>
    </row>
    <row r="37" spans="1:8" s="29" customFormat="1" ht="24" x14ac:dyDescent="0.2">
      <c r="A37" s="80" t="s">
        <v>232</v>
      </c>
      <c r="B37" s="81" t="s">
        <v>191</v>
      </c>
      <c r="C37" s="26">
        <f>IF(1353.36834="","-",1353.36834)</f>
        <v>1353.36834</v>
      </c>
      <c r="D37" s="26">
        <f>IF(OR(939.07743="",1353.36834=""),"-",1353.36834/939.07743*100)</f>
        <v>144.11679982554793</v>
      </c>
      <c r="E37" s="26">
        <f>IF(939.07743="","-",939.07743/3828107.2484*100)</f>
        <v>2.4531116007590902E-2</v>
      </c>
      <c r="F37" s="26">
        <f>IF(1353.36834="","-",1353.36834/5111753.23542*100)</f>
        <v>2.6475619570646244E-2</v>
      </c>
      <c r="G37" s="26">
        <f>IF(OR(2890255.78537="",835.30115="",939.07743=""),"-",(939.07743-835.30115)/2890255.78537*100)</f>
        <v>3.5905569508864416E-3</v>
      </c>
      <c r="H37" s="26">
        <f>IF(OR(3828107.2484="",1353.36834="",939.07743=""),"-",(1353.36834-939.07743)/3828107.2484*100)</f>
        <v>1.0822343344041823E-2</v>
      </c>
    </row>
    <row r="38" spans="1:8" s="29" customFormat="1" ht="24" x14ac:dyDescent="0.2">
      <c r="A38" s="80" t="s">
        <v>233</v>
      </c>
      <c r="B38" s="81" t="s">
        <v>146</v>
      </c>
      <c r="C38" s="26">
        <f>IF(44618.42431="","-",44618.42431)</f>
        <v>44618.424310000002</v>
      </c>
      <c r="D38" s="26" t="s">
        <v>389</v>
      </c>
      <c r="E38" s="26">
        <f>IF(5823.53465="","-",5823.53465/3828107.2484*100)</f>
        <v>0.1521256922055674</v>
      </c>
      <c r="F38" s="26">
        <f>IF(44618.42431="","-",44618.42431/5111753.23542*100)</f>
        <v>0.87285951130882389</v>
      </c>
      <c r="G38" s="26">
        <f>IF(OR(2890255.78537="",3769.11298="",5823.53465=""),"-",(5823.53465-3769.11298)/2890255.78537*100)</f>
        <v>7.1080963850990095E-2</v>
      </c>
      <c r="H38" s="26">
        <f>IF(OR(3828107.2484="",44618.42431="",5823.53465=""),"-",(44618.42431-5823.53465)/3828107.2484*100)</f>
        <v>1.0134222252058052</v>
      </c>
    </row>
    <row r="39" spans="1:8" s="29" customFormat="1" ht="72" x14ac:dyDescent="0.2">
      <c r="A39" s="80" t="s">
        <v>234</v>
      </c>
      <c r="B39" s="81" t="s">
        <v>189</v>
      </c>
      <c r="C39" s="26">
        <f>IF(1817.14352="","-",1817.14352)</f>
        <v>1817.1435200000001</v>
      </c>
      <c r="D39" s="26" t="s">
        <v>195</v>
      </c>
      <c r="E39" s="26">
        <f>IF(1026.81377="","-",1026.81377/3828107.2484*100)</f>
        <v>2.682301470078113E-2</v>
      </c>
      <c r="F39" s="26">
        <f>IF(1817.14352="","-",1817.14352/5111753.23542*100)</f>
        <v>3.5548341954552448E-2</v>
      </c>
      <c r="G39" s="26">
        <f>IF(OR(2890255.78537="",923.42693="",1026.81377=""),"-",(1026.81377-923.42693)/2890255.78537*100)</f>
        <v>3.5770827109256973E-3</v>
      </c>
      <c r="H39" s="26">
        <f>IF(OR(3828107.2484="",1817.14352="",1026.81377=""),"-",(1817.14352-1026.81377)/3828107.2484*100)</f>
        <v>2.0645444307505419E-2</v>
      </c>
    </row>
    <row r="40" spans="1:8" s="29" customFormat="1" ht="24" x14ac:dyDescent="0.2">
      <c r="A40" s="78" t="s">
        <v>235</v>
      </c>
      <c r="B40" s="79" t="s">
        <v>147</v>
      </c>
      <c r="C40" s="20">
        <f>IF(649105.7652="","-",649105.7652)</f>
        <v>649105.76520000002</v>
      </c>
      <c r="D40" s="20">
        <f>IF(583831.44263="","-",649105.7652/583831.44263*100)</f>
        <v>111.1803369609484</v>
      </c>
      <c r="E40" s="20">
        <f>IF(583831.44263="","-",583831.44263/3828107.2484*100)</f>
        <v>15.251177794823246</v>
      </c>
      <c r="F40" s="20">
        <f>IF(649105.7652="","-",649105.7652/5111753.23542*100)</f>
        <v>12.698300080337646</v>
      </c>
      <c r="G40" s="20">
        <f>IF(2890255.78537="","-",(583831.44263-474570.59795)/2890255.78537*100)</f>
        <v>3.7803174803095412</v>
      </c>
      <c r="H40" s="20">
        <f>IF(3828107.2484="","-",(649105.7652-583831.44263)/3828107.2484*100)</f>
        <v>1.7051330679745771</v>
      </c>
    </row>
    <row r="41" spans="1:8" s="29" customFormat="1" x14ac:dyDescent="0.2">
      <c r="A41" s="80" t="s">
        <v>236</v>
      </c>
      <c r="B41" s="81" t="s">
        <v>23</v>
      </c>
      <c r="C41" s="26">
        <f>IF(10134.74744="","-",10134.74744)</f>
        <v>10134.747439999999</v>
      </c>
      <c r="D41" s="26">
        <f>IF(OR(7141.52855="",10134.74744=""),"-",10134.74744/7141.52855*100)</f>
        <v>141.91286037776885</v>
      </c>
      <c r="E41" s="26">
        <f>IF(7141.52855="","-",7141.52855/3828107.2484*100)</f>
        <v>0.18655508026805886</v>
      </c>
      <c r="F41" s="26">
        <f>IF(10134.74744="","-",10134.74744/5111753.23542*100)</f>
        <v>0.19826362841177508</v>
      </c>
      <c r="G41" s="26">
        <f>IF(OR(2890255.78537="",6470.03121="",7141.52855=""),"-",(7141.52855-6470.03121)/2890255.78537*100)</f>
        <v>2.3233145778965625E-2</v>
      </c>
      <c r="H41" s="26">
        <f>IF(OR(3828107.2484="",10134.74744="",7141.52855=""),"-",(10134.74744-7141.52855)/3828107.2484*100)</f>
        <v>7.8190570320386094E-2</v>
      </c>
    </row>
    <row r="42" spans="1:8" s="29" customFormat="1" x14ac:dyDescent="0.2">
      <c r="A42" s="80" t="s">
        <v>237</v>
      </c>
      <c r="B42" s="81" t="s">
        <v>24</v>
      </c>
      <c r="C42" s="26">
        <f>IF(17350.14978="","-",17350.14978)</f>
        <v>17350.14978</v>
      </c>
      <c r="D42" s="26" t="s">
        <v>101</v>
      </c>
      <c r="E42" s="26">
        <f>IF(9100.60003="","-",9100.60003/3828107.2484*100)</f>
        <v>0.23773106236257349</v>
      </c>
      <c r="F42" s="26">
        <f>IF(17350.14978="","-",17350.14978/5111753.23542*100)</f>
        <v>0.33941681025951265</v>
      </c>
      <c r="G42" s="26">
        <f>IF(OR(2890255.78537="",9352.68254="",9100.60003=""),"-",(9100.60003-9352.68254)/2890255.78537*100)</f>
        <v>-8.7218062593629412E-3</v>
      </c>
      <c r="H42" s="26">
        <f>IF(OR(3828107.2484="",17350.14978="",9100.60003=""),"-",(17350.14978-9100.60003)/3828107.2484*100)</f>
        <v>0.21549944175278768</v>
      </c>
    </row>
    <row r="43" spans="1:8" s="29" customFormat="1" x14ac:dyDescent="0.2">
      <c r="A43" s="80" t="s">
        <v>238</v>
      </c>
      <c r="B43" s="81" t="s">
        <v>148</v>
      </c>
      <c r="C43" s="26">
        <f>IF(27706.17197="","-",27706.17197)</f>
        <v>27706.171969999999</v>
      </c>
      <c r="D43" s="26">
        <f>IF(OR(27910.5333="",27706.17197=""),"-",27706.17197/27910.5333*100)</f>
        <v>99.267798548299325</v>
      </c>
      <c r="E43" s="26">
        <f>IF(27910.5333="","-",27910.5333/3828107.2484*100)</f>
        <v>0.72909486304662752</v>
      </c>
      <c r="F43" s="26">
        <f>IF(27706.17197="","-",27706.17197/5111753.23542*100)</f>
        <v>0.54200918342498128</v>
      </c>
      <c r="G43" s="26">
        <f>IF(OR(2890255.78537="",21415.5489="",27910.5333=""),"-",(27910.5333-21415.5489)/2890255.78537*100)</f>
        <v>0.22472005532785511</v>
      </c>
      <c r="H43" s="26">
        <f>IF(OR(3828107.2484="",27706.17197="",27910.5333=""),"-",(27706.17197-27910.5333)/3828107.2484*100)</f>
        <v>-5.3384431715024399E-3</v>
      </c>
    </row>
    <row r="44" spans="1:8" s="29" customFormat="1" ht="17.25" customHeight="1" x14ac:dyDescent="0.2">
      <c r="A44" s="80" t="s">
        <v>239</v>
      </c>
      <c r="B44" s="81" t="s">
        <v>149</v>
      </c>
      <c r="C44" s="26">
        <f>IF(166112.61244="","-",166112.61244)</f>
        <v>166112.61244</v>
      </c>
      <c r="D44" s="26">
        <f>IF(OR(177471.22774="",166112.61244=""),"-",166112.61244/177471.22774*100)</f>
        <v>93.599742648627711</v>
      </c>
      <c r="E44" s="26">
        <f>IF(177471.22774="","-",177471.22774/3828107.2484*100)</f>
        <v>4.6360045898446574</v>
      </c>
      <c r="F44" s="26">
        <f>IF(166112.61244="","-",166112.61244/5111753.23542*100)</f>
        <v>3.2496211141215543</v>
      </c>
      <c r="G44" s="26">
        <f>IF(OR(2890255.78537="",139182.41362="",177471.22774=""),"-",(177471.22774-139182.41362)/2890255.78537*100)</f>
        <v>1.324755210726043</v>
      </c>
      <c r="H44" s="26">
        <f>IF(OR(3828107.2484="",166112.61244="",177471.22774=""),"-",(166112.61244-177471.22774)/3828107.2484*100)</f>
        <v>-0.29671622457148933</v>
      </c>
    </row>
    <row r="45" spans="1:8" s="29" customFormat="1" ht="42.75" customHeight="1" x14ac:dyDescent="0.2">
      <c r="A45" s="80" t="s">
        <v>240</v>
      </c>
      <c r="B45" s="81" t="s">
        <v>150</v>
      </c>
      <c r="C45" s="26">
        <f>IF(82375.75765="","-",82375.75765)</f>
        <v>82375.75765</v>
      </c>
      <c r="D45" s="26">
        <f>IF(OR(76351.09583="",82375.75765=""),"-",82375.75765/76351.09583*100)</f>
        <v>107.89073392399533</v>
      </c>
      <c r="E45" s="26">
        <f>IF(76351.09583="","-",76351.09583/3828107.2484*100)</f>
        <v>1.9944868540951091</v>
      </c>
      <c r="F45" s="26">
        <f>IF(82375.75765="","-",82375.75765/5111753.23542*100)</f>
        <v>1.6114971489470133</v>
      </c>
      <c r="G45" s="26">
        <f>IF(OR(2890255.78537="",61082.4476="",76351.09583=""),"-",(76351.09583-61082.4476)/2890255.78537*100)</f>
        <v>0.52828017185494081</v>
      </c>
      <c r="H45" s="26">
        <f>IF(OR(3828107.2484="",82375.75765="",76351.09583=""),"-",(82375.75765-76351.09583)/3828107.2484*100)</f>
        <v>0.15737965080571001</v>
      </c>
    </row>
    <row r="46" spans="1:8" s="29" customFormat="1" x14ac:dyDescent="0.2">
      <c r="A46" s="80" t="s">
        <v>241</v>
      </c>
      <c r="B46" s="81" t="s">
        <v>151</v>
      </c>
      <c r="C46" s="26">
        <f>IF(89475.99772="","-",89475.99772)</f>
        <v>89475.997719999999</v>
      </c>
      <c r="D46" s="26" t="s">
        <v>101</v>
      </c>
      <c r="E46" s="26">
        <f>IF(47702.19904="","-",47702.19904/3828107.2484*100)</f>
        <v>1.2461040390113853</v>
      </c>
      <c r="F46" s="26">
        <f>IF(89475.99772="","-",89475.99772/5111753.23542*100)</f>
        <v>1.7503974389845196</v>
      </c>
      <c r="G46" s="26">
        <f>IF(OR(2890255.78537="",53397.30602="",47702.19904=""),"-",(47702.19904-53397.30602)/2890255.78537*100)</f>
        <v>-0.19704508538059851</v>
      </c>
      <c r="H46" s="26">
        <f>IF(OR(3828107.2484="",89475.99772="",47702.19904=""),"-",(89475.99772-47702.19904)/3828107.2484*100)</f>
        <v>1.0912389849437951</v>
      </c>
    </row>
    <row r="47" spans="1:8" s="29" customFormat="1" ht="24" x14ac:dyDescent="0.2">
      <c r="A47" s="80" t="s">
        <v>242</v>
      </c>
      <c r="B47" s="81" t="s">
        <v>25</v>
      </c>
      <c r="C47" s="26">
        <f>IF(44442.82459="","-",44442.82459)</f>
        <v>44442.824589999997</v>
      </c>
      <c r="D47" s="26">
        <f>IF(OR(38354.63752="",44442.82459=""),"-",44442.82459/38354.63752*100)</f>
        <v>115.87340531330877</v>
      </c>
      <c r="E47" s="26">
        <f>IF(38354.63752="","-",38354.63752/3828107.2484*100)</f>
        <v>1.0019217078108442</v>
      </c>
      <c r="F47" s="26">
        <f>IF(44442.82459="","-",44442.82459/5111753.23542*100)</f>
        <v>0.86942429618961092</v>
      </c>
      <c r="G47" s="26">
        <f>IF(OR(2890255.78537="",25639.58274="",38354.63752=""),"-",(38354.63752-25639.58274)/2890255.78537*100)</f>
        <v>0.43992835666523056</v>
      </c>
      <c r="H47" s="26">
        <f>IF(OR(3828107.2484="",44442.82459="",38354.63752=""),"-",(44442.82459-38354.63752)/3828107.2484*100)</f>
        <v>0.15903909360284055</v>
      </c>
    </row>
    <row r="48" spans="1:8" s="29" customFormat="1" x14ac:dyDescent="0.2">
      <c r="A48" s="80" t="s">
        <v>243</v>
      </c>
      <c r="B48" s="81" t="s">
        <v>26</v>
      </c>
      <c r="C48" s="26">
        <f>IF(85875.21059="","-",85875.21059)</f>
        <v>85875.210590000002</v>
      </c>
      <c r="D48" s="26">
        <f>IF(OR(88105.86741="",85875.21059=""),"-",85875.21059/88105.86741*100)</f>
        <v>97.468208547769393</v>
      </c>
      <c r="E48" s="26">
        <f>IF(88105.86741="","-",88105.86741/3828107.2484*100)</f>
        <v>2.3015516988669749</v>
      </c>
      <c r="F48" s="26">
        <f>IF(85875.21059="","-",85875.21059/5111753.23542*100)</f>
        <v>1.6799561057634698</v>
      </c>
      <c r="G48" s="26">
        <f>IF(OR(2890255.78537="",61611.00392="",88105.86741=""),"-",(88105.86741-61611.00392)/2890255.78537*100)</f>
        <v>0.91669614932050825</v>
      </c>
      <c r="H48" s="26">
        <f>IF(OR(3828107.2484="",85875.21059="",88105.86741=""),"-",(85875.21059-88105.86741)/3828107.2484*100)</f>
        <v>-5.8270489180582176E-2</v>
      </c>
    </row>
    <row r="49" spans="1:8" s="29" customFormat="1" x14ac:dyDescent="0.2">
      <c r="A49" s="80" t="s">
        <v>244</v>
      </c>
      <c r="B49" s="81" t="s">
        <v>152</v>
      </c>
      <c r="C49" s="26">
        <f>IF(125632.29302="","-",125632.29302)</f>
        <v>125632.29302</v>
      </c>
      <c r="D49" s="26">
        <f>IF(OR(111693.75321="",125632.29302=""),"-",125632.29302/111693.75321*100)</f>
        <v>112.47924741484296</v>
      </c>
      <c r="E49" s="26">
        <f>IF(111693.75321="","-",111693.75321/3828107.2484*100)</f>
        <v>2.9177278995170171</v>
      </c>
      <c r="F49" s="26">
        <f>IF(125632.29302="","-",125632.29302/5111753.23542*100)</f>
        <v>2.457714354235208</v>
      </c>
      <c r="G49" s="26">
        <f>IF(OR(2890255.78537="",96419.5814="",111693.75321=""),"-",(111693.75321-96419.5814)/2890255.78537*100)</f>
        <v>0.52847128227596141</v>
      </c>
      <c r="H49" s="26">
        <f>IF(OR(3828107.2484="",125632.29302="",111693.75321=""),"-",(125632.29302-111693.75321)/3828107.2484*100)</f>
        <v>0.3641104834726292</v>
      </c>
    </row>
    <row r="50" spans="1:8" s="29" customFormat="1" ht="24" x14ac:dyDescent="0.2">
      <c r="A50" s="78" t="s">
        <v>245</v>
      </c>
      <c r="B50" s="79" t="s">
        <v>335</v>
      </c>
      <c r="C50" s="20">
        <f>IF(750534.6207="","-",750534.6207)</f>
        <v>750534.62069999997</v>
      </c>
      <c r="D50" s="20">
        <f>IF(730941.73354="","-",750534.6207/730941.73354*100)</f>
        <v>102.68049917810961</v>
      </c>
      <c r="E50" s="20">
        <f>IF(730941.73354="","-",730941.73354/3828107.2484*100)</f>
        <v>19.094076683601415</v>
      </c>
      <c r="F50" s="20">
        <f>IF(750534.6207="","-",750534.6207/5111753.23542*100)</f>
        <v>14.682528403355787</v>
      </c>
      <c r="G50" s="20">
        <f>IF(2890255.78537="","-",(730941.73354-551430.27532)/2890255.78537*100)</f>
        <v>6.2109194324134744</v>
      </c>
      <c r="H50" s="20">
        <f>IF(3828107.2484="","-",(750534.6207-730941.73354)/3828107.2484*100)</f>
        <v>0.51181656857155688</v>
      </c>
    </row>
    <row r="51" spans="1:8" s="29" customFormat="1" x14ac:dyDescent="0.2">
      <c r="A51" s="80" t="s">
        <v>246</v>
      </c>
      <c r="B51" s="81" t="s">
        <v>153</v>
      </c>
      <c r="C51" s="26">
        <f>IF(33257.56208="","-",33257.56208)</f>
        <v>33257.562080000003</v>
      </c>
      <c r="D51" s="26">
        <f>IF(OR(33198.45501="",33257.56208=""),"-",33257.56208/33198.45501*100)</f>
        <v>100.17804162869086</v>
      </c>
      <c r="E51" s="26">
        <f>IF(33198.45501="","-",33198.45501/3828107.2484*100)</f>
        <v>0.86722896867311283</v>
      </c>
      <c r="F51" s="26">
        <f>IF(33257.56208="","-",33257.56208/5111753.23542*100)</f>
        <v>0.65060969394128909</v>
      </c>
      <c r="G51" s="26">
        <f>IF(OR(2890255.78537="",22943.27905="",33198.45501=""),"-",(33198.45501-22943.27905)/2890255.78537*100)</f>
        <v>0.35481897525852252</v>
      </c>
      <c r="H51" s="26">
        <f>IF(OR(3828107.2484="",33257.56208="",33198.45501=""),"-",(33257.56208-33198.45501)/3828107.2484*100)</f>
        <v>1.5440285803045341E-3</v>
      </c>
    </row>
    <row r="52" spans="1:8" s="29" customFormat="1" x14ac:dyDescent="0.2">
      <c r="A52" s="80" t="s">
        <v>247</v>
      </c>
      <c r="B52" s="81" t="s">
        <v>27</v>
      </c>
      <c r="C52" s="26">
        <f>IF(47612.00156="","-",47612.00156)</f>
        <v>47612.001559999997</v>
      </c>
      <c r="D52" s="26">
        <f>IF(OR(36572.82529="",47612.00156=""),"-",47612.00156/36572.82529*100)</f>
        <v>130.18409483671584</v>
      </c>
      <c r="E52" s="26">
        <f>IF(36572.82529="","-",36572.82529/3828107.2484*100)</f>
        <v>0.95537619290279852</v>
      </c>
      <c r="F52" s="26">
        <f>IF(47612.00156="","-",47612.00156/5111753.23542*100)</f>
        <v>0.93142214358256337</v>
      </c>
      <c r="G52" s="26">
        <f>IF(OR(2890255.78537="",29063.71797="",36572.82529=""),"-",(36572.82529-29063.71797)/2890255.78537*100)</f>
        <v>0.25980770830076239</v>
      </c>
      <c r="H52" s="26">
        <f>IF(OR(3828107.2484="",47612.00156="",36572.82529=""),"-",(47612.00156-36572.82529)/3828107.2484*100)</f>
        <v>0.28837165611318605</v>
      </c>
    </row>
    <row r="53" spans="1:8" s="29" customFormat="1" x14ac:dyDescent="0.2">
      <c r="A53" s="80" t="s">
        <v>248</v>
      </c>
      <c r="B53" s="81" t="s">
        <v>154</v>
      </c>
      <c r="C53" s="26">
        <f>IF(60193.35604="","-",60193.35604)</f>
        <v>60193.356039999999</v>
      </c>
      <c r="D53" s="26">
        <f>IF(OR(59566.88262="",60193.35604=""),"-",60193.35604/59566.88262*100)</f>
        <v>101.05171429567083</v>
      </c>
      <c r="E53" s="26">
        <f>IF(59566.88262="","-",59566.88262/3828107.2484*100)</f>
        <v>1.556040067709614</v>
      </c>
      <c r="F53" s="26">
        <f>IF(60193.35604="","-",60193.35604/5111753.23542*100)</f>
        <v>1.1775481575071434</v>
      </c>
      <c r="G53" s="26">
        <f>IF(OR(2890255.78537="",43938.70468="",59566.88262=""),"-",(59566.88262-43938.70468)/2890255.78537*100)</f>
        <v>0.54071954527717803</v>
      </c>
      <c r="H53" s="26">
        <f>IF(OR(3828107.2484="",60193.35604="",59566.88262=""),"-",(60193.35604-59566.88262)/3828107.2484*100)</f>
        <v>1.6365095838468048E-2</v>
      </c>
    </row>
    <row r="54" spans="1:8" s="29" customFormat="1" ht="27.75" customHeight="1" x14ac:dyDescent="0.2">
      <c r="A54" s="80" t="s">
        <v>249</v>
      </c>
      <c r="B54" s="81" t="s">
        <v>155</v>
      </c>
      <c r="C54" s="26">
        <f>IF(79980.48533="","-",79980.48533)</f>
        <v>79980.485329999996</v>
      </c>
      <c r="D54" s="26">
        <f>IF(OR(60590.1728="",79980.48533=""),"-",79980.48533/60590.1728*100)</f>
        <v>132.00240506658531</v>
      </c>
      <c r="E54" s="26">
        <f>IF(60590.1728="","-",60590.1728/3828107.2484*100)</f>
        <v>1.5827710371835675</v>
      </c>
      <c r="F54" s="26">
        <f>IF(79980.48533="","-",79980.48533/5111753.23542*100)</f>
        <v>1.5646390122239247</v>
      </c>
      <c r="G54" s="26">
        <f>IF(OR(2890255.78537="",51113.47848="",60590.1728=""),"-",(60590.1728-51113.47848)/2890255.78537*100)</f>
        <v>0.32788427820020194</v>
      </c>
      <c r="H54" s="26">
        <f>IF(OR(3828107.2484="",79980.48533="",60590.1728=""),"-",(79980.48533-60590.1728)/3828107.2484*100)</f>
        <v>0.50652479859607891</v>
      </c>
    </row>
    <row r="55" spans="1:8" s="29" customFormat="1" ht="16.5" customHeight="1" x14ac:dyDescent="0.2">
      <c r="A55" s="80" t="s">
        <v>250</v>
      </c>
      <c r="B55" s="81" t="s">
        <v>156</v>
      </c>
      <c r="C55" s="26">
        <f>IF(192047.28272="","-",192047.28272)</f>
        <v>192047.28271999999</v>
      </c>
      <c r="D55" s="26">
        <f>IF(OR(186960.14708="",192047.28272=""),"-",192047.28272/186960.14708*100)</f>
        <v>102.72097327663271</v>
      </c>
      <c r="E55" s="26">
        <f>IF(186960.14708="","-",186960.14708/3828107.2484*100)</f>
        <v>4.8838795506093016</v>
      </c>
      <c r="F55" s="26">
        <f>IF(192047.28272="","-",192047.28272/5111753.23542*100)</f>
        <v>3.7569748357428425</v>
      </c>
      <c r="G55" s="26">
        <f>IF(OR(2890255.78537="",140419.0038="",186960.14708=""),"-",(186960.14708-140419.0038)/2890255.78537*100)</f>
        <v>1.610277661775944</v>
      </c>
      <c r="H55" s="26">
        <f>IF(OR(3828107.2484="",192047.28272="",186960.14708=""),"-",(192047.28272-186960.14708)/3828107.2484*100)</f>
        <v>0.13288905743500834</v>
      </c>
    </row>
    <row r="56" spans="1:8" s="29" customFormat="1" ht="16.5" customHeight="1" x14ac:dyDescent="0.2">
      <c r="A56" s="80" t="s">
        <v>251</v>
      </c>
      <c r="B56" s="81" t="s">
        <v>28</v>
      </c>
      <c r="C56" s="26">
        <f>IF(91887.86286="","-",91887.86286)</f>
        <v>91887.862859999994</v>
      </c>
      <c r="D56" s="26">
        <f>IF(OR(91226.63846="",91887.86286=""),"-",91887.86286/91226.63846*100)</f>
        <v>100.72481504433588</v>
      </c>
      <c r="E56" s="26">
        <f>IF(91226.63846="","-",91226.63846/3828107.2484*100)</f>
        <v>2.3830742594301451</v>
      </c>
      <c r="F56" s="26">
        <f>IF(91887.86286="","-",91887.86286/5111753.23542*100)</f>
        <v>1.7975801770573958</v>
      </c>
      <c r="G56" s="26">
        <f>IF(OR(2890255.78537="",72556.98674="",91226.63846=""),"-",(91226.63846-72556.98674)/2890255.78537*100)</f>
        <v>0.64595153877046863</v>
      </c>
      <c r="H56" s="26">
        <f>IF(OR(3828107.2484="",91887.86286="",91226.63846=""),"-",(91887.86286-91226.63846)/3828107.2484*100)</f>
        <v>1.7272880750045808E-2</v>
      </c>
    </row>
    <row r="57" spans="1:8" s="29" customFormat="1" ht="16.5" customHeight="1" x14ac:dyDescent="0.2">
      <c r="A57" s="80" t="s">
        <v>252</v>
      </c>
      <c r="B57" s="81" t="s">
        <v>157</v>
      </c>
      <c r="C57" s="26">
        <f>IF(111281.00492="","-",111281.00492)</f>
        <v>111281.00492000001</v>
      </c>
      <c r="D57" s="26">
        <f>IF(OR(97325.18165="",111281.00492=""),"-",111281.00492/97325.18165*100)</f>
        <v>114.33937551762074</v>
      </c>
      <c r="E57" s="26">
        <f>IF(97325.18165="","-",97325.18165/3828107.2484*100)</f>
        <v>2.5423838815037936</v>
      </c>
      <c r="F57" s="26">
        <f>IF(111281.00492="","-",111281.00492/5111753.23542*100)</f>
        <v>2.1769635542834802</v>
      </c>
      <c r="G57" s="26">
        <f>IF(OR(2890255.78537="",71053.95745="",97325.18165=""),"-",(97325.18165-71053.95745)/2890255.78537*100)</f>
        <v>0.90895845042437473</v>
      </c>
      <c r="H57" s="26">
        <f>IF(OR(3828107.2484="",111281.00492="",97325.18165=""),"-",(111281.00492-97325.18165)/3828107.2484*100)</f>
        <v>0.36456197186829081</v>
      </c>
    </row>
    <row r="58" spans="1:8" s="29" customFormat="1" ht="15.75" customHeight="1" x14ac:dyDescent="0.2">
      <c r="A58" s="80" t="s">
        <v>253</v>
      </c>
      <c r="B58" s="81" t="s">
        <v>29</v>
      </c>
      <c r="C58" s="26">
        <f>IF(20081.06693="","-",20081.06693)</f>
        <v>20081.066930000001</v>
      </c>
      <c r="D58" s="26">
        <f>IF(OR(46229.18814="",20081.06693=""),"-",20081.06693/46229.18814*100)</f>
        <v>43.438069622132893</v>
      </c>
      <c r="E58" s="26">
        <f>IF(46229.18814="","-",46229.18814/3828107.2484*100)</f>
        <v>1.2076252084975414</v>
      </c>
      <c r="F58" s="26">
        <f>IF(20081.06693="","-",20081.06693/5111753.23542*100)</f>
        <v>0.39284108612394847</v>
      </c>
      <c r="G58" s="26">
        <f>IF(OR(2890255.78537="",35817.3363="",46229.18814=""),"-",(46229.18814-35817.3363)/2890255.78537*100)</f>
        <v>0.36023980620341906</v>
      </c>
      <c r="H58" s="26">
        <f>IF(OR(3828107.2484="",20081.06693="",46229.18814=""),"-",(20081.06693-46229.18814)/3828107.2484*100)</f>
        <v>-0.68305612965595197</v>
      </c>
    </row>
    <row r="59" spans="1:8" s="29" customFormat="1" x14ac:dyDescent="0.2">
      <c r="A59" s="80" t="s">
        <v>254</v>
      </c>
      <c r="B59" s="81" t="s">
        <v>30</v>
      </c>
      <c r="C59" s="26">
        <f>IF(114193.99826="","-",114193.99826)</f>
        <v>114193.99825999999</v>
      </c>
      <c r="D59" s="26">
        <f>IF(OR(119272.24249="",114193.99826=""),"-",114193.99826/119272.24249*100)</f>
        <v>95.742308416456765</v>
      </c>
      <c r="E59" s="26">
        <f>IF(119272.24249="","-",119272.24249/3828107.2484*100)</f>
        <v>3.1156975170915384</v>
      </c>
      <c r="F59" s="26">
        <f>IF(114193.99826="","-",114193.99826/5111753.23542*100)</f>
        <v>2.2339497428932016</v>
      </c>
      <c r="G59" s="26">
        <f>IF(OR(2890255.78537="",84523.81085="",119272.24249=""),"-",(119272.24249-84523.81085)/2890255.78537*100)</f>
        <v>1.202261468202602</v>
      </c>
      <c r="H59" s="26">
        <f>IF(OR(3828107.2484="",114193.99826="",119272.24249=""),"-",(114193.99826-119272.24249)/3828107.2484*100)</f>
        <v>-0.13265679095387203</v>
      </c>
    </row>
    <row r="60" spans="1:8" s="29" customFormat="1" ht="24" x14ac:dyDescent="0.2">
      <c r="A60" s="78" t="s">
        <v>255</v>
      </c>
      <c r="B60" s="79" t="s">
        <v>158</v>
      </c>
      <c r="C60" s="20">
        <f>IF(1112955.63309="","-",1112955.63309)</f>
        <v>1112955.6330899999</v>
      </c>
      <c r="D60" s="20">
        <f>IF(985735.43973="","-",1112955.63309/985735.43973*100)</f>
        <v>112.90611945481501</v>
      </c>
      <c r="E60" s="20">
        <f>IF(985735.43973="","-",985735.43973/3828107.2484*100)</f>
        <v>25.749943138139585</v>
      </c>
      <c r="F60" s="20">
        <f>IF(1112955.63309="","-",1112955.63309/5111753.23542*100)</f>
        <v>21.77248356548564</v>
      </c>
      <c r="G60" s="20">
        <f>IF(2890255.78537="","-",(985735.43973-722090.21644)/2890255.78537*100)</f>
        <v>9.1218647368350148</v>
      </c>
      <c r="H60" s="20">
        <f>IF(3828107.2484="","-",(1112955.63309-985735.43973)/3828107.2484*100)</f>
        <v>3.3233184209552387</v>
      </c>
    </row>
    <row r="61" spans="1:8" s="29" customFormat="1" ht="24" x14ac:dyDescent="0.2">
      <c r="A61" s="80" t="s">
        <v>256</v>
      </c>
      <c r="B61" s="81" t="s">
        <v>159</v>
      </c>
      <c r="C61" s="26">
        <f>IF(15935.81652="","-",15935.81652)</f>
        <v>15935.81652</v>
      </c>
      <c r="D61" s="26">
        <f>IF(OR(16956.78812="",15935.81652=""),"-",15935.81652/16956.78812*100)</f>
        <v>93.978980023959863</v>
      </c>
      <c r="E61" s="26">
        <f>IF(16956.78812="","-",16956.78812/3828107.2484*100)</f>
        <v>0.44295488657187648</v>
      </c>
      <c r="F61" s="26">
        <f>IF(15935.81652="","-",15935.81652/5111753.23542*100)</f>
        <v>0.31174854861104534</v>
      </c>
      <c r="G61" s="26">
        <f>IF(OR(2890255.78537="",9362.61791="",16956.78812=""),"-",(16956.78812-9362.61791)/2890255.78537*100)</f>
        <v>0.26275080041152216</v>
      </c>
      <c r="H61" s="26">
        <f>IF(OR(3828107.2484="",15935.81652="",16956.78812=""),"-",(15935.81652-16956.78812)/3828107.2484*100)</f>
        <v>-2.6670402205338613E-2</v>
      </c>
    </row>
    <row r="62" spans="1:8" s="29" customFormat="1" ht="27" customHeight="1" x14ac:dyDescent="0.2">
      <c r="A62" s="80" t="s">
        <v>257</v>
      </c>
      <c r="B62" s="81" t="s">
        <v>160</v>
      </c>
      <c r="C62" s="26">
        <f>IF(191351.24343="","-",191351.24343)</f>
        <v>191351.24343</v>
      </c>
      <c r="D62" s="26">
        <f>IF(OR(121765.478="",191351.24343=""),"-",191351.24343/121765.478*100)</f>
        <v>157.14736768823755</v>
      </c>
      <c r="E62" s="26">
        <f>IF(121765.478="","-",121765.478/3828107.2484*100)</f>
        <v>3.1808272365120711</v>
      </c>
      <c r="F62" s="26">
        <f>IF(191351.24343="","-",191351.24343/5111753.23542*100)</f>
        <v>3.7433583863967153</v>
      </c>
      <c r="G62" s="26">
        <f>IF(OR(2890255.78537="",92912.80085="",121765.478=""),"-",(121765.478-92912.80085)/2890255.78537*100)</f>
        <v>0.99827417684093966</v>
      </c>
      <c r="H62" s="26">
        <f>IF(OR(3828107.2484="",191351.24343="",121765.478=""),"-",(191351.24343-121765.478)/3828107.2484*100)</f>
        <v>1.8177590363771585</v>
      </c>
    </row>
    <row r="63" spans="1:8" s="29" customFormat="1" ht="24" x14ac:dyDescent="0.2">
      <c r="A63" s="80" t="s">
        <v>258</v>
      </c>
      <c r="B63" s="81" t="s">
        <v>161</v>
      </c>
      <c r="C63" s="26">
        <f>IF(7016.8847="","-",7016.8847)</f>
        <v>7016.8846999999996</v>
      </c>
      <c r="D63" s="26">
        <f>IF(OR(11070.63442="",7016.8847=""),"-",7016.8847/11070.63442*100)</f>
        <v>63.382859859624915</v>
      </c>
      <c r="E63" s="26">
        <f>IF(11070.63442="","-",11070.63442/3828107.2484*100)</f>
        <v>0.28919342384221586</v>
      </c>
      <c r="F63" s="26">
        <f>IF(7016.8847="","-",7016.8847/5111753.23542*100)</f>
        <v>0.1372696289675937</v>
      </c>
      <c r="G63" s="26">
        <f>IF(OR(2890255.78537="",8104.86165="",11070.63442=""),"-",(11070.63442-8104.86165)/2890255.78537*100)</f>
        <v>0.10261281319848073</v>
      </c>
      <c r="H63" s="26">
        <f>IF(OR(3828107.2484="",7016.8847="",11070.63442=""),"-",(7016.8847-11070.63442)/3828107.2484*100)</f>
        <v>-0.10589436128505308</v>
      </c>
    </row>
    <row r="64" spans="1:8" s="29" customFormat="1" ht="27.75" customHeight="1" x14ac:dyDescent="0.2">
      <c r="A64" s="80" t="s">
        <v>259</v>
      </c>
      <c r="B64" s="81" t="s">
        <v>162</v>
      </c>
      <c r="C64" s="26">
        <f>IF(140189.35445="","-",140189.35445)</f>
        <v>140189.35445000001</v>
      </c>
      <c r="D64" s="26">
        <f>IF(OR(139863.46801="",140189.35445=""),"-",140189.35445/139863.46801*100)</f>
        <v>100.23300325999116</v>
      </c>
      <c r="E64" s="26">
        <f>IF(139863.46801="","-",139863.46801/3828107.2484*100)</f>
        <v>3.6535932494696306</v>
      </c>
      <c r="F64" s="26">
        <f>IF(140189.35445="","-",140189.35445/5111753.23542*100)</f>
        <v>2.7424906483867377</v>
      </c>
      <c r="G64" s="26">
        <f>IF(OR(2890255.78537="",112219.48205="",139863.46801=""),"-",(139863.46801-112219.48205)/2890255.78537*100)</f>
        <v>0.95645465359603521</v>
      </c>
      <c r="H64" s="26">
        <f>IF(OR(3828107.2484="",140189.35445="",139863.46801=""),"-",(140189.35445-139863.46801)/3828107.2484*100)</f>
        <v>8.5129913780814248E-3</v>
      </c>
    </row>
    <row r="65" spans="1:8" s="29" customFormat="1" ht="29.25" customHeight="1" x14ac:dyDescent="0.2">
      <c r="A65" s="80" t="s">
        <v>260</v>
      </c>
      <c r="B65" s="81" t="s">
        <v>163</v>
      </c>
      <c r="C65" s="26">
        <f>IF(48878.33958="","-",48878.33958)</f>
        <v>48878.33958</v>
      </c>
      <c r="D65" s="26">
        <f>IF(OR(42626.65552="",48878.33958=""),"-",48878.33958/42626.65552*100)</f>
        <v>114.66613785138919</v>
      </c>
      <c r="E65" s="26">
        <f>IF(42626.65552="","-",42626.65552/3828107.2484*100)</f>
        <v>1.1135177975438459</v>
      </c>
      <c r="F65" s="26">
        <f>IF(48878.33958="","-",48878.33958/5111753.23542*100)</f>
        <v>0.95619520991967411</v>
      </c>
      <c r="G65" s="26">
        <f>IF(OR(2890255.78537="",26161.33089="",42626.65552=""),"-",(42626.65552-26161.33089)/2890255.78537*100)</f>
        <v>0.56968399521401414</v>
      </c>
      <c r="H65" s="26">
        <f>IF(OR(3828107.2484="",48878.33958="",42626.65552=""),"-",(48878.33958-42626.65552)/3828107.2484*100)</f>
        <v>0.16331005518753322</v>
      </c>
    </row>
    <row r="66" spans="1:8" s="29" customFormat="1" ht="41.25" customHeight="1" x14ac:dyDescent="0.2">
      <c r="A66" s="80" t="s">
        <v>261</v>
      </c>
      <c r="B66" s="81" t="s">
        <v>164</v>
      </c>
      <c r="C66" s="26">
        <f>IF(99483.82052="","-",99483.82052)</f>
        <v>99483.820519999994</v>
      </c>
      <c r="D66" s="26">
        <f>IF(OR(101364.21759="",99483.82052=""),"-",99483.82052/101364.21759*100)</f>
        <v>98.144910388786428</v>
      </c>
      <c r="E66" s="26">
        <f>IF(101364.21759="","-",101364.21759/3828107.2484*100)</f>
        <v>2.6478938810391561</v>
      </c>
      <c r="F66" s="26">
        <f>IF(99483.82052="","-",99483.82052/5111753.23542*100)</f>
        <v>1.9461780711686889</v>
      </c>
      <c r="G66" s="26">
        <f>IF(OR(2890255.78537="",80126.65702="",101364.21759=""),"-",(101364.21759-80126.65702)/2890255.78537*100)</f>
        <v>0.7347986526833038</v>
      </c>
      <c r="H66" s="26">
        <f>IF(OR(3828107.2484="",99483.82052="",101364.21759=""),"-",(99483.82052-101364.21759)/3828107.2484*100)</f>
        <v>-4.9120804303117147E-2</v>
      </c>
    </row>
    <row r="67" spans="1:8" s="29" customFormat="1" ht="48" x14ac:dyDescent="0.2">
      <c r="A67" s="80" t="s">
        <v>262</v>
      </c>
      <c r="B67" s="81" t="s">
        <v>165</v>
      </c>
      <c r="C67" s="26">
        <f>IF(313727.67645="","-",313727.67645)</f>
        <v>313727.67645000003</v>
      </c>
      <c r="D67" s="26">
        <f>IF(OR(304901.13668="",313727.67645=""),"-",313727.67645/304901.13668*100)</f>
        <v>102.89488581974808</v>
      </c>
      <c r="E67" s="26">
        <f>IF(304901.13668="","-",304901.13668/3828107.2484*100)</f>
        <v>7.9648013207424331</v>
      </c>
      <c r="F67" s="26">
        <f>IF(313727.67645="","-",313727.67645/5111753.23542*100)</f>
        <v>6.13737913395624</v>
      </c>
      <c r="G67" s="26">
        <f>IF(OR(2890255.78537="",198859.59064="",304901.13668=""),"-",(304901.13668-198859.59064)/2890255.78537*100)</f>
        <v>3.6689329220190428</v>
      </c>
      <c r="H67" s="26">
        <f>IF(OR(3828107.2484="",313727.67645="",304901.13668=""),"-",(313727.67645-304901.13668)/3828107.2484*100)</f>
        <v>0.23057190400528046</v>
      </c>
    </row>
    <row r="68" spans="1:8" s="29" customFormat="1" ht="24" x14ac:dyDescent="0.2">
      <c r="A68" s="80" t="s">
        <v>263</v>
      </c>
      <c r="B68" s="81" t="s">
        <v>166</v>
      </c>
      <c r="C68" s="26">
        <f>IF(291499.02751="","-",291499.02751)</f>
        <v>291499.02750999999</v>
      </c>
      <c r="D68" s="26">
        <f>IF(OR(245262.25849="",291499.02751=""),"-",291499.02751/245262.25849*100)</f>
        <v>118.85197066383746</v>
      </c>
      <c r="E68" s="26">
        <f>IF(245262.25849="","-",245262.25849/3828107.2484*100)</f>
        <v>6.4068805437076009</v>
      </c>
      <c r="F68" s="26">
        <f>IF(291499.02751="","-",291499.02751/5111753.23542*100)</f>
        <v>5.7025254171145328</v>
      </c>
      <c r="G68" s="26">
        <f>IF(OR(2890255.78537="",143024.50851="",245262.25849=""),"-",(245262.25849-143024.50851)/2890255.78537*100)</f>
        <v>3.5373253293881697</v>
      </c>
      <c r="H68" s="26">
        <f>IF(OR(3828107.2484="",291499.02751="",245262.25849=""),"-",(291499.02751-245262.25849)/3828107.2484*100)</f>
        <v>1.2078232405668663</v>
      </c>
    </row>
    <row r="69" spans="1:8" s="29" customFormat="1" x14ac:dyDescent="0.2">
      <c r="A69" s="80" t="s">
        <v>264</v>
      </c>
      <c r="B69" s="81" t="s">
        <v>31</v>
      </c>
      <c r="C69" s="26">
        <f>IF(4873.46993="","-",4873.46993)</f>
        <v>4873.4699300000002</v>
      </c>
      <c r="D69" s="26" t="s">
        <v>347</v>
      </c>
      <c r="E69" s="26">
        <f>IF(1924.8029="","-",1924.8029/3828107.2484*100)</f>
        <v>5.028079871075955E-2</v>
      </c>
      <c r="F69" s="26">
        <f>IF(4873.46993="","-",4873.46993/5111753.23542*100)</f>
        <v>9.5338520964413864E-2</v>
      </c>
      <c r="G69" s="26">
        <f>IF(OR(2890255.78537="",51318.36692="",1924.8029=""),"-",(1924.8029-51318.36692)/2890255.78537*100)</f>
        <v>-1.7089686065164926</v>
      </c>
      <c r="H69" s="26">
        <f>IF(OR(3828107.2484="",4873.46993="",1924.8029=""),"-",(4873.46993-1924.8029)/3828107.2484*100)</f>
        <v>7.7026761233829816E-2</v>
      </c>
    </row>
    <row r="70" spans="1:8" s="29" customFormat="1" x14ac:dyDescent="0.2">
      <c r="A70" s="78" t="s">
        <v>265</v>
      </c>
      <c r="B70" s="79" t="s">
        <v>32</v>
      </c>
      <c r="C70" s="20">
        <f>IF(438869.15633="","-",438869.15633)</f>
        <v>438869.15633000003</v>
      </c>
      <c r="D70" s="20">
        <f>IF(446243.7518="","-",438869.15633/446243.7518*100)</f>
        <v>98.347406447652588</v>
      </c>
      <c r="E70" s="20">
        <f>IF(446243.7518="","-",446243.7518/3828107.2484*100)</f>
        <v>11.657033694301866</v>
      </c>
      <c r="F70" s="20">
        <f>IF(438869.15633="","-",438869.15633/5111753.23542*100)</f>
        <v>8.5854918286942894</v>
      </c>
      <c r="G70" s="20">
        <f>IF(2890255.78537="","-",(446243.7518-289096.9152)/2890255.78537*100)</f>
        <v>5.4371255788311714</v>
      </c>
      <c r="H70" s="20">
        <f>IF(3828107.2484="","-",(438869.15633-446243.7518)/3828107.2484*100)</f>
        <v>-0.19264338722699825</v>
      </c>
    </row>
    <row r="71" spans="1:8" ht="48" x14ac:dyDescent="0.2">
      <c r="A71" s="80" t="s">
        <v>266</v>
      </c>
      <c r="B71" s="81" t="s">
        <v>192</v>
      </c>
      <c r="C71" s="26">
        <f>IF(34524.64428="","-",34524.64428)</f>
        <v>34524.64428</v>
      </c>
      <c r="D71" s="26">
        <f>IF(OR(37051.88857="",34524.64428=""),"-",34524.64428/37051.88857*100)</f>
        <v>93.179175508893636</v>
      </c>
      <c r="E71" s="26">
        <f>IF(37051.88857="","-",37051.88857/3828107.2484*100)</f>
        <v>0.96789055702361138</v>
      </c>
      <c r="F71" s="26">
        <f>IF(34524.64428="","-",34524.64428/5111753.23542*100)</f>
        <v>0.67539731849288565</v>
      </c>
      <c r="G71" s="26">
        <f>IF(OR(2890255.78537="",23500.58275="",37051.88857=""),"-",(37051.88857-23500.58275)/2890255.78537*100)</f>
        <v>0.46886181799529592</v>
      </c>
      <c r="H71" s="26">
        <f>IF(OR(3828107.2484="",34524.64428="",37051.88857=""),"-",(34524.64428-37051.88857)/3828107.2484*100)</f>
        <v>-6.6018116160572363E-2</v>
      </c>
    </row>
    <row r="72" spans="1:8" x14ac:dyDescent="0.2">
      <c r="A72" s="80" t="s">
        <v>267</v>
      </c>
      <c r="B72" s="81" t="s">
        <v>167</v>
      </c>
      <c r="C72" s="26">
        <f>IF(41652.32801="","-",41652.32801)</f>
        <v>41652.328009999997</v>
      </c>
      <c r="D72" s="26">
        <f>IF(OR(39367.95251="",41652.32801=""),"-",41652.32801/39367.95251*100)</f>
        <v>105.8026271481092</v>
      </c>
      <c r="E72" s="26">
        <f>IF(39367.95251="","-",39367.95251/3828107.2484*100)</f>
        <v>1.028392099684623</v>
      </c>
      <c r="F72" s="26">
        <f>IF(41652.32801="","-",41652.32801/5111753.23542*100)</f>
        <v>0.81483448225523925</v>
      </c>
      <c r="G72" s="26">
        <f>IF(OR(2890255.78537="",26248.86407="",39367.95251=""),"-",(39367.95251-26248.86407)/2890255.78537*100)</f>
        <v>0.45390752287069785</v>
      </c>
      <c r="H72" s="26">
        <f>IF(OR(3828107.2484="",41652.32801="",39367.95251=""),"-",(41652.32801-39367.95251)/3828107.2484*100)</f>
        <v>5.9673759165310085E-2</v>
      </c>
    </row>
    <row r="73" spans="1:8" x14ac:dyDescent="0.2">
      <c r="A73" s="80" t="s">
        <v>268</v>
      </c>
      <c r="B73" s="81" t="s">
        <v>168</v>
      </c>
      <c r="C73" s="26">
        <f>IF(10200.21197="","-",10200.21197)</f>
        <v>10200.21197</v>
      </c>
      <c r="D73" s="26">
        <f>IF(OR(7133.09753="",10200.21197=""),"-",10200.21197/7133.09753*100)</f>
        <v>142.99835277872614</v>
      </c>
      <c r="E73" s="26">
        <f>IF(7133.09753="","-",7133.09753/3828107.2484*100)</f>
        <v>0.18633484035697687</v>
      </c>
      <c r="F73" s="26">
        <f>IF(10200.21197="","-",10200.21197/5111753.23542*100)</f>
        <v>0.19954429527860246</v>
      </c>
      <c r="G73" s="26">
        <f>IF(OR(2890255.78537="",4421.65181="",7133.09753=""),"-",(7133.09753-4421.65181)/2890255.78537*100)</f>
        <v>9.3813348068530547E-2</v>
      </c>
      <c r="H73" s="26">
        <f>IF(OR(3828107.2484="",10200.21197="",7133.09753=""),"-",(10200.21197-7133.09753)/3828107.2484*100)</f>
        <v>8.0120912006369074E-2</v>
      </c>
    </row>
    <row r="74" spans="1:8" x14ac:dyDescent="0.2">
      <c r="A74" s="80" t="s">
        <v>269</v>
      </c>
      <c r="B74" s="81" t="s">
        <v>169</v>
      </c>
      <c r="C74" s="26">
        <f>IF(106256.68499="","-",106256.68499)</f>
        <v>106256.68498999999</v>
      </c>
      <c r="D74" s="26">
        <f>IF(OR(103310.2768="",106256.68499=""),"-",106256.68499/103310.2768*100)</f>
        <v>102.8519991246408</v>
      </c>
      <c r="E74" s="26">
        <f>IF(103310.2768="","-",103310.2768/3828107.2484*100)</f>
        <v>2.6987299491982544</v>
      </c>
      <c r="F74" s="26">
        <f>IF(106256.68499="","-",106256.68499/5111753.23542*100)</f>
        <v>2.0786739910239342</v>
      </c>
      <c r="G74" s="26">
        <f>IF(OR(2890255.78537="",65241.44703="",103310.2768=""),"-",(103310.2768-65241.44703)/2890255.78537*100)</f>
        <v>1.3171439691496567</v>
      </c>
      <c r="H74" s="26">
        <f>IF(OR(3828107.2484="",106256.68499="",103310.2768=""),"-",(106256.68499-103310.2768)/3828107.2484*100)</f>
        <v>7.696775452755332E-2</v>
      </c>
    </row>
    <row r="75" spans="1:8" x14ac:dyDescent="0.2">
      <c r="A75" s="80" t="s">
        <v>270</v>
      </c>
      <c r="B75" s="81" t="s">
        <v>170</v>
      </c>
      <c r="C75" s="26">
        <f>IF(33377.25648="","-",33377.25648)</f>
        <v>33377.256479999996</v>
      </c>
      <c r="D75" s="26">
        <f>IF(OR(28327.4099="",33377.25648=""),"-",33377.25648/28327.4099*100)</f>
        <v>117.82671482435816</v>
      </c>
      <c r="E75" s="26">
        <f>IF(28327.4099="","-",28327.4099/3828107.2484*100)</f>
        <v>0.73998475125898722</v>
      </c>
      <c r="F75" s="26">
        <f>IF(33377.25648="","-",33377.25648/5111753.23542*100)</f>
        <v>0.65295124672147054</v>
      </c>
      <c r="G75" s="26">
        <f>IF(OR(2890255.78537="",20701.75344="",28327.4099=""),"-",(28327.4099-20701.75344)/2890255.78537*100)</f>
        <v>0.26384019361192246</v>
      </c>
      <c r="H75" s="26">
        <f>IF(OR(3828107.2484="",33377.25648="",28327.4099=""),"-",(33377.25648-28327.4099)/3828107.2484*100)</f>
        <v>0.13191497135067565</v>
      </c>
    </row>
    <row r="76" spans="1:8" ht="24" x14ac:dyDescent="0.2">
      <c r="A76" s="80" t="s">
        <v>271</v>
      </c>
      <c r="B76" s="81" t="s">
        <v>193</v>
      </c>
      <c r="C76" s="26">
        <f>IF(39755.78018="","-",39755.78018)</f>
        <v>39755.780180000002</v>
      </c>
      <c r="D76" s="26">
        <f>IF(OR(55114.06626="",39755.78018=""),"-",39755.78018/55114.06626*100)</f>
        <v>72.133636434032184</v>
      </c>
      <c r="E76" s="26">
        <f>IF(55114.06626="","-",55114.06626/3828107.2484*100)</f>
        <v>1.4397210601410277</v>
      </c>
      <c r="F76" s="26">
        <f>IF(39755.78018="","-",39755.78018/5111753.23542*100)</f>
        <v>0.77773277286796738</v>
      </c>
      <c r="G76" s="26">
        <f>IF(OR(2890255.78537="",29738.8401="",55114.06626=""),"-",(55114.06626-29738.8401)/2890255.78537*100)</f>
        <v>0.87795780181274008</v>
      </c>
      <c r="H76" s="26">
        <f>IF(OR(3828107.2484="",39755.78018="",55114.06626=""),"-",(39755.78018-55114.06626)/3828107.2484*100)</f>
        <v>-0.40119790495470486</v>
      </c>
    </row>
    <row r="77" spans="1:8" ht="24" x14ac:dyDescent="0.2">
      <c r="A77" s="80" t="s">
        <v>272</v>
      </c>
      <c r="B77" s="81" t="s">
        <v>171</v>
      </c>
      <c r="C77" s="26">
        <f>IF(8109.40543="","-",8109.40543)</f>
        <v>8109.4054299999998</v>
      </c>
      <c r="D77" s="26">
        <f>IF(OR(10307.87743="",8109.40543=""),"-",8109.40543/10307.87743*100)</f>
        <v>78.671923342805982</v>
      </c>
      <c r="E77" s="26">
        <f>IF(10307.87743="","-",10307.87743/3828107.2484*100)</f>
        <v>0.26926825089104522</v>
      </c>
      <c r="F77" s="26">
        <f>IF(8109.40543="","-",8109.40543/5111753.23542*100)</f>
        <v>0.15864234943519731</v>
      </c>
      <c r="G77" s="26">
        <f>IF(OR(2890255.78537="",5793.23429="",10307.87743=""),"-",(10307.87743-5793.23429)/2890255.78537*100)</f>
        <v>0.15620220060980008</v>
      </c>
      <c r="H77" s="26">
        <f>IF(OR(3828107.2484="",8109.40543="",10307.87743=""),"-",(8109.40543-10307.87743)/3828107.2484*100)</f>
        <v>-5.7429738963527641E-2</v>
      </c>
    </row>
    <row r="78" spans="1:8" x14ac:dyDescent="0.2">
      <c r="A78" s="80" t="s">
        <v>273</v>
      </c>
      <c r="B78" s="81" t="s">
        <v>33</v>
      </c>
      <c r="C78" s="26">
        <f>IF(164992.84499="","-",164992.84499)</f>
        <v>164992.84499000001</v>
      </c>
      <c r="D78" s="26">
        <f>IF(OR(165631.1828="",164992.84499=""),"-",164992.84499/165631.1828*100)</f>
        <v>99.614602878993637</v>
      </c>
      <c r="E78" s="26">
        <f>IF(165631.1828="","-",165631.1828/3828107.2484*100)</f>
        <v>4.3267121857473407</v>
      </c>
      <c r="F78" s="26">
        <f>IF(164992.84499="","-",164992.84499/5111753.23542*100)</f>
        <v>3.2277153726189916</v>
      </c>
      <c r="G78" s="26">
        <f>IF(OR(2890255.78537="",113450.54171="",165631.1828=""),"-",(165631.1828-113450.54171)/2890255.78537*100)</f>
        <v>1.8053987247125265</v>
      </c>
      <c r="H78" s="26">
        <f>IF(OR(3828107.2484="",164992.84499="",165631.1828=""),"-",(164992.84499-165631.1828)/3828107.2484*100)</f>
        <v>-1.6675024198102018E-2</v>
      </c>
    </row>
    <row r="79" spans="1:8" ht="24" x14ac:dyDescent="0.2">
      <c r="A79" s="78" t="s">
        <v>276</v>
      </c>
      <c r="B79" s="79" t="s">
        <v>172</v>
      </c>
      <c r="C79" s="20">
        <f>IF(13893.4167="","-",13893.4167)</f>
        <v>13893.4167</v>
      </c>
      <c r="D79" s="20" t="s">
        <v>398</v>
      </c>
      <c r="E79" s="20">
        <f>IF(89.22563="","-",89.22563/3828107.2484*100)</f>
        <v>2.3308027756352135E-3</v>
      </c>
      <c r="F79" s="20">
        <f>IF(13893.4167="","-",13893.4167/5111753.23542*100)</f>
        <v>0.27179357179706404</v>
      </c>
      <c r="G79" s="20">
        <f>IF(2890255.78537="","-",(89.22563-178.53625)/2890255.78537*100)</f>
        <v>-3.0900593799370866E-3</v>
      </c>
      <c r="H79" s="20">
        <f>IF(3828107.2484="","-",(13893.4167-89.22563)/3828107.2484*100)</f>
        <v>0.36060094909226004</v>
      </c>
    </row>
    <row r="80" spans="1:8" ht="24" x14ac:dyDescent="0.2">
      <c r="A80" s="80" t="s">
        <v>316</v>
      </c>
      <c r="B80" s="81" t="s">
        <v>317</v>
      </c>
      <c r="C80" s="26">
        <f>IF(333.24465="","-",333.24465)</f>
        <v>333.24464999999998</v>
      </c>
      <c r="D80" s="26" t="str">
        <f>IF(OR(""="",333.24465=""),"-",333.24465/""*100)</f>
        <v>-</v>
      </c>
      <c r="E80" s="26" t="str">
        <f>IF(""="","-",""/3828107.2484*100)</f>
        <v>-</v>
      </c>
      <c r="F80" s="26">
        <f>IF(333.24465="","-",333.24465/5111753.23542*100)</f>
        <v>6.5191849968598767E-3</v>
      </c>
      <c r="G80" s="26" t="str">
        <f>IF(OR(2890255.78537="",""="",""=""),"-",(""-"")/2890255.78537*100)</f>
        <v>-</v>
      </c>
      <c r="H80" s="26" t="str">
        <f>IF(OR(3828107.2484="",333.24465="",""=""),"-",(333.24465-"")/3828107.2484*100)</f>
        <v>-</v>
      </c>
    </row>
    <row r="81" spans="1:11" x14ac:dyDescent="0.2">
      <c r="A81" s="80" t="s">
        <v>307</v>
      </c>
      <c r="B81" s="81" t="s">
        <v>308</v>
      </c>
      <c r="C81" s="26">
        <f>IF(297.17118="","-",297.17118)</f>
        <v>297.17117999999999</v>
      </c>
      <c r="D81" s="26" t="s">
        <v>399</v>
      </c>
      <c r="E81" s="26">
        <f>IF(2.20336="","-",2.20336/3828107.2484*100)</f>
        <v>5.7557426086244552E-5</v>
      </c>
      <c r="F81" s="26">
        <f>IF(297.17118="","-",297.17118/5111753.23542*100)</f>
        <v>5.8134883730470875E-3</v>
      </c>
      <c r="G81" s="26" t="str">
        <f>IF(OR(2890255.78537="",""="",2.20336=""),"-",(2.20336-"")/2890255.78537*100)</f>
        <v>-</v>
      </c>
      <c r="H81" s="26">
        <f>IF(OR(3828107.2484="",297.17118="",2.20336=""),"-",(297.17118-2.20336)/3828107.2484*100)</f>
        <v>7.7053175593051922E-3</v>
      </c>
    </row>
    <row r="82" spans="1:11" ht="24" x14ac:dyDescent="0.2">
      <c r="A82" s="82" t="s">
        <v>309</v>
      </c>
      <c r="B82" s="83" t="s">
        <v>315</v>
      </c>
      <c r="C82" s="33">
        <f>IF(13263.00087="","-",13263.00087)</f>
        <v>13263.00087</v>
      </c>
      <c r="D82" s="33" t="s">
        <v>400</v>
      </c>
      <c r="E82" s="33">
        <f>IF(87.02227="","-",87.02227/3828107.2484*100)</f>
        <v>2.2732453495489689E-3</v>
      </c>
      <c r="F82" s="33">
        <f>IF(13263.00087="","-",13263.00087/5111753.23542*100)</f>
        <v>0.25946089842715703</v>
      </c>
      <c r="G82" s="33">
        <f>IF(OR(2890255.78537="",178.53625="",87.02227=""),"-",(87.02227-178.53625)/2890255.78537*100)</f>
        <v>-3.166293463133219E-3</v>
      </c>
      <c r="H82" s="33">
        <f>IF(OR(3828107.2484="",13263.00087="",87.02227=""),"-",(13263.00087-87.02227)/3828107.2484*100)</f>
        <v>0.34419042479823542</v>
      </c>
      <c r="I82" s="18"/>
      <c r="J82" s="18"/>
    </row>
    <row r="83" spans="1:11" x14ac:dyDescent="0.2">
      <c r="A83" s="34" t="s">
        <v>279</v>
      </c>
      <c r="B83" s="35"/>
      <c r="C83" s="84"/>
      <c r="D83" s="85"/>
      <c r="E83" s="85"/>
      <c r="F83" s="85"/>
      <c r="G83" s="85"/>
      <c r="H83" s="85"/>
      <c r="I83" s="18"/>
      <c r="J83" s="18"/>
      <c r="K83" s="18"/>
    </row>
    <row r="84" spans="1:11" ht="13.5" x14ac:dyDescent="0.2">
      <c r="A84" s="35" t="s">
        <v>405</v>
      </c>
      <c r="B84" s="35"/>
      <c r="C84" s="18"/>
      <c r="D84" s="18"/>
      <c r="E84" s="18"/>
      <c r="F84" s="18"/>
      <c r="G84" s="18"/>
      <c r="H84" s="18"/>
    </row>
  </sheetData>
  <mergeCells count="11"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6"/>
  <sheetViews>
    <sheetView zoomScale="99" zoomScaleNormal="99" workbookViewId="0">
      <selection sqref="A1:G1"/>
    </sheetView>
  </sheetViews>
  <sheetFormatPr defaultRowHeight="12" x14ac:dyDescent="0.2"/>
  <cols>
    <col min="1" max="1" width="7" style="3" customWidth="1"/>
    <col min="2" max="2" width="37.5" style="3" customWidth="1"/>
    <col min="3" max="3" width="13.25" style="3" customWidth="1"/>
    <col min="4" max="4" width="12.75" style="3" customWidth="1"/>
    <col min="5" max="5" width="16.125" style="3" customWidth="1"/>
    <col min="6" max="16384" width="9" style="3"/>
  </cols>
  <sheetData>
    <row r="1" spans="1:5" x14ac:dyDescent="0.2">
      <c r="B1" s="37" t="s">
        <v>406</v>
      </c>
      <c r="C1" s="37"/>
      <c r="D1" s="37"/>
      <c r="E1" s="37"/>
    </row>
    <row r="2" spans="1:5" x14ac:dyDescent="0.2">
      <c r="B2" s="37" t="s">
        <v>278</v>
      </c>
      <c r="C2" s="37"/>
      <c r="D2" s="37"/>
      <c r="E2" s="37"/>
    </row>
    <row r="3" spans="1:5" x14ac:dyDescent="0.2">
      <c r="B3" s="38"/>
    </row>
    <row r="4" spans="1:5" ht="24.75" customHeight="1" x14ac:dyDescent="0.2">
      <c r="A4" s="39" t="s">
        <v>277</v>
      </c>
      <c r="B4" s="39"/>
      <c r="C4" s="40" t="s">
        <v>369</v>
      </c>
      <c r="D4" s="41"/>
      <c r="E4" s="42" t="s">
        <v>371</v>
      </c>
    </row>
    <row r="5" spans="1:5" ht="22.5" customHeight="1" x14ac:dyDescent="0.2">
      <c r="A5" s="43"/>
      <c r="B5" s="43"/>
      <c r="C5" s="44" t="s">
        <v>300</v>
      </c>
      <c r="D5" s="45" t="s">
        <v>301</v>
      </c>
      <c r="E5" s="46"/>
    </row>
    <row r="6" spans="1:5" x14ac:dyDescent="0.2">
      <c r="A6" s="47"/>
      <c r="B6" s="48" t="s">
        <v>285</v>
      </c>
      <c r="C6" s="21">
        <f>IF(-2255884.01294="","-",-2255884.01294)</f>
        <v>-2255884.0129399998</v>
      </c>
      <c r="D6" s="21">
        <f>IF(-2482038.82519="","-",-2482038.82519)</f>
        <v>-2482038.8251899998</v>
      </c>
      <c r="E6" s="21">
        <f>IF(-2255884.01294="","-",-2482038.82519/-2255884.01294*100)</f>
        <v>110.0251081594954</v>
      </c>
    </row>
    <row r="7" spans="1:5" x14ac:dyDescent="0.2">
      <c r="A7" s="47"/>
      <c r="B7" s="49" t="s">
        <v>120</v>
      </c>
      <c r="C7" s="50"/>
      <c r="D7" s="50"/>
      <c r="E7" s="20"/>
    </row>
    <row r="8" spans="1:5" x14ac:dyDescent="0.2">
      <c r="A8" s="51" t="s">
        <v>205</v>
      </c>
      <c r="B8" s="52" t="s">
        <v>173</v>
      </c>
      <c r="C8" s="53">
        <v>-140266.60659000001</v>
      </c>
      <c r="D8" s="20">
        <f>IF(122656.09266="","-",122656.09266)</f>
        <v>122656.09265999999</v>
      </c>
      <c r="E8" s="20">
        <f>IF(-140266.60659="","-",122656.09266/-140266.60659*100)</f>
        <v>-87.444970433001473</v>
      </c>
    </row>
    <row r="9" spans="1:5" x14ac:dyDescent="0.2">
      <c r="A9" s="54" t="s">
        <v>206</v>
      </c>
      <c r="B9" s="55" t="s">
        <v>21</v>
      </c>
      <c r="C9" s="56">
        <v>3342.18181</v>
      </c>
      <c r="D9" s="26">
        <f>IF(OR(-1534.30512="",-1534.30512=0),"-",-1534.30512)</f>
        <v>-1534.30512</v>
      </c>
      <c r="E9" s="26" t="s">
        <v>20</v>
      </c>
    </row>
    <row r="10" spans="1:5" x14ac:dyDescent="0.2">
      <c r="A10" s="54" t="s">
        <v>207</v>
      </c>
      <c r="B10" s="55" t="s">
        <v>174</v>
      </c>
      <c r="C10" s="56">
        <v>-27497.814549999999</v>
      </c>
      <c r="D10" s="26">
        <f>IF(OR(-46686.94937="",-46686.94937=0),"-",-46686.94937)</f>
        <v>-46686.949370000002</v>
      </c>
      <c r="E10" s="26" t="s">
        <v>99</v>
      </c>
    </row>
    <row r="11" spans="1:5" x14ac:dyDescent="0.2">
      <c r="A11" s="54" t="s">
        <v>208</v>
      </c>
      <c r="B11" s="55" t="s">
        <v>175</v>
      </c>
      <c r="C11" s="56">
        <v>-45355.696089999998</v>
      </c>
      <c r="D11" s="26">
        <f>IF(OR(-59628.42634="",-59628.42634=0),"-",-59628.42634)</f>
        <v>-59628.426339999998</v>
      </c>
      <c r="E11" s="26">
        <f>IF(OR(-45355.69609="",-59628.42634="",-45355.69609=0,-59628.42634=0),"-",-59628.42634/-45355.69609*100)</f>
        <v>131.46844052768677</v>
      </c>
    </row>
    <row r="12" spans="1:5" x14ac:dyDescent="0.2">
      <c r="A12" s="54" t="s">
        <v>209</v>
      </c>
      <c r="B12" s="55" t="s">
        <v>176</v>
      </c>
      <c r="C12" s="56">
        <v>-39127.159290000003</v>
      </c>
      <c r="D12" s="26">
        <f>IF(OR(-43889.11288="",-43889.11288=0),"-",-43889.11288)</f>
        <v>-43889.112880000001</v>
      </c>
      <c r="E12" s="26">
        <f>IF(OR(-39127.15929="",-43889.11288="",-39127.15929=0,-43889.11288=0),"-",-43889.11288/-39127.15929*100)</f>
        <v>112.1704557049636</v>
      </c>
    </row>
    <row r="13" spans="1:5" x14ac:dyDescent="0.2">
      <c r="A13" s="54" t="s">
        <v>210</v>
      </c>
      <c r="B13" s="55" t="s">
        <v>177</v>
      </c>
      <c r="C13" s="56">
        <v>29799.87212</v>
      </c>
      <c r="D13" s="26">
        <f>IF(OR(269466.67941="",269466.67941=0),"-",269466.67941)</f>
        <v>269466.67940999998</v>
      </c>
      <c r="E13" s="26" t="s">
        <v>379</v>
      </c>
    </row>
    <row r="14" spans="1:5" x14ac:dyDescent="0.2">
      <c r="A14" s="54" t="s">
        <v>211</v>
      </c>
      <c r="B14" s="55" t="s">
        <v>178</v>
      </c>
      <c r="C14" s="56">
        <v>41873.599600000001</v>
      </c>
      <c r="D14" s="26">
        <f>IF(OR(96747.96975="",96747.96975=0),"-",96747.96975)</f>
        <v>96747.969750000004</v>
      </c>
      <c r="E14" s="26" t="s">
        <v>355</v>
      </c>
    </row>
    <row r="15" spans="1:5" x14ac:dyDescent="0.2">
      <c r="A15" s="54" t="s">
        <v>212</v>
      </c>
      <c r="B15" s="55" t="s">
        <v>136</v>
      </c>
      <c r="C15" s="56">
        <v>-2513.67452</v>
      </c>
      <c r="D15" s="26">
        <f>IF(OR(1892.77871="",1892.77871=0),"-",1892.77871)</f>
        <v>1892.77871</v>
      </c>
      <c r="E15" s="26" t="s">
        <v>20</v>
      </c>
    </row>
    <row r="16" spans="1:5" ht="17.25" customHeight="1" x14ac:dyDescent="0.2">
      <c r="A16" s="54" t="s">
        <v>213</v>
      </c>
      <c r="B16" s="55" t="s">
        <v>179</v>
      </c>
      <c r="C16" s="56">
        <v>-29392.083569999999</v>
      </c>
      <c r="D16" s="26">
        <f>IF(OR(-31705.01684="",-31705.01684=0),"-",-31705.01684)</f>
        <v>-31705.01684</v>
      </c>
      <c r="E16" s="26">
        <f>IF(OR(-29392.08357="",-31705.01684="",-29392.08357=0,-31705.01684=0),"-",-31705.01684/-29392.08357*100)</f>
        <v>107.8692388870341</v>
      </c>
    </row>
    <row r="17" spans="1:5" ht="24" x14ac:dyDescent="0.2">
      <c r="A17" s="54" t="s">
        <v>214</v>
      </c>
      <c r="B17" s="55" t="s">
        <v>137</v>
      </c>
      <c r="C17" s="56">
        <v>-17148.25201</v>
      </c>
      <c r="D17" s="26">
        <f>IF(OR(3753.63805="",3753.63805=0),"-",3753.63805)</f>
        <v>3753.63805</v>
      </c>
      <c r="E17" s="26" t="s">
        <v>20</v>
      </c>
    </row>
    <row r="18" spans="1:5" x14ac:dyDescent="0.2">
      <c r="A18" s="54" t="s">
        <v>215</v>
      </c>
      <c r="B18" s="55" t="s">
        <v>180</v>
      </c>
      <c r="C18" s="56">
        <v>-54247.580090000003</v>
      </c>
      <c r="D18" s="26">
        <f>IF(OR(-65761.16271="",-65761.16271=0),"-",-65761.16271)</f>
        <v>-65761.162710000004</v>
      </c>
      <c r="E18" s="26">
        <f>IF(OR(-54247.58009="",-65761.16271="",-54247.58009=0,-65761.16271=0),"-",-65761.16271/-54247.58009*100)</f>
        <v>121.22414050709409</v>
      </c>
    </row>
    <row r="19" spans="1:5" x14ac:dyDescent="0.2">
      <c r="A19" s="51" t="s">
        <v>216</v>
      </c>
      <c r="B19" s="52" t="s">
        <v>181</v>
      </c>
      <c r="C19" s="53">
        <v>45424.035340000002</v>
      </c>
      <c r="D19" s="20">
        <f>IF(23754.68887="","-",23754.68887)</f>
        <v>23754.688870000002</v>
      </c>
      <c r="E19" s="20">
        <f>IF(45424.03534="","-",23754.68887/45424.03534*100)</f>
        <v>52.295417375835463</v>
      </c>
    </row>
    <row r="20" spans="1:5" x14ac:dyDescent="0.2">
      <c r="A20" s="54" t="s">
        <v>217</v>
      </c>
      <c r="B20" s="55" t="s">
        <v>182</v>
      </c>
      <c r="C20" s="56">
        <v>65198.386449999998</v>
      </c>
      <c r="D20" s="26">
        <f>IF(OR(42072.15347="",42072.15347=0),"-",42072.15347)</f>
        <v>42072.153469999997</v>
      </c>
      <c r="E20" s="26">
        <f>IF(OR(65198.38645="",42072.15347="",65198.38645=0,42072.15347=0),"-",42072.15347/65198.38645*100)</f>
        <v>64.529439700574059</v>
      </c>
    </row>
    <row r="21" spans="1:5" x14ac:dyDescent="0.2">
      <c r="A21" s="54" t="s">
        <v>218</v>
      </c>
      <c r="B21" s="55" t="s">
        <v>183</v>
      </c>
      <c r="C21" s="56">
        <v>-19774.35111</v>
      </c>
      <c r="D21" s="26">
        <f>IF(OR(-18317.4646="",-18317.4646=0),"-",-18317.4646)</f>
        <v>-18317.464599999999</v>
      </c>
      <c r="E21" s="26">
        <f>IF(OR(-19774.35111="",-18317.4646="",-19774.35111=0,-18317.4646=0),"-",-18317.4646/-19774.35111*100)</f>
        <v>92.632443401577689</v>
      </c>
    </row>
    <row r="22" spans="1:5" ht="16.5" customHeight="1" x14ac:dyDescent="0.2">
      <c r="A22" s="51" t="s">
        <v>219</v>
      </c>
      <c r="B22" s="52" t="s">
        <v>22</v>
      </c>
      <c r="C22" s="53">
        <v>34658.25589</v>
      </c>
      <c r="D22" s="20">
        <f>IF(153413.77538="","-",153413.77538)</f>
        <v>153413.77538000001</v>
      </c>
      <c r="E22" s="20" t="s">
        <v>345</v>
      </c>
    </row>
    <row r="23" spans="1:5" x14ac:dyDescent="0.2">
      <c r="A23" s="54" t="s">
        <v>220</v>
      </c>
      <c r="B23" s="55" t="s">
        <v>190</v>
      </c>
      <c r="C23" s="56">
        <v>822.32689000000005</v>
      </c>
      <c r="D23" s="26">
        <f>IF(OR(847.87945="",847.87945=0),"-",847.87945)</f>
        <v>847.87945000000002</v>
      </c>
      <c r="E23" s="26">
        <f>IF(OR(822.32689="",847.87945="",822.32689=0,847.87945=0),"-",847.87945/822.32689*100)</f>
        <v>103.10734822255417</v>
      </c>
    </row>
    <row r="24" spans="1:5" x14ac:dyDescent="0.2">
      <c r="A24" s="54" t="s">
        <v>221</v>
      </c>
      <c r="B24" s="55" t="s">
        <v>184</v>
      </c>
      <c r="C24" s="56">
        <v>51710.536679999997</v>
      </c>
      <c r="D24" s="26">
        <f>IF(OR(178430.16439="",178430.16439=0),"-",178430.16439)</f>
        <v>178430.16438999999</v>
      </c>
      <c r="E24" s="26" t="s">
        <v>318</v>
      </c>
    </row>
    <row r="25" spans="1:5" ht="17.25" customHeight="1" x14ac:dyDescent="0.2">
      <c r="A25" s="54" t="s">
        <v>274</v>
      </c>
      <c r="B25" s="55" t="s">
        <v>185</v>
      </c>
      <c r="C25" s="56">
        <v>-1289.81647</v>
      </c>
      <c r="D25" s="26">
        <f>IF(OR(-2608.25061="",-2608.25061=0),"-",-2608.25061)</f>
        <v>-2608.2506100000001</v>
      </c>
      <c r="E25" s="26" t="s">
        <v>18</v>
      </c>
    </row>
    <row r="26" spans="1:5" x14ac:dyDescent="0.2">
      <c r="A26" s="54" t="s">
        <v>222</v>
      </c>
      <c r="B26" s="55" t="s">
        <v>186</v>
      </c>
      <c r="C26" s="56">
        <v>-24682.836350000001</v>
      </c>
      <c r="D26" s="26">
        <f>IF(OR(-32253.08401="",-32253.08401=0),"-",-32253.08401)</f>
        <v>-32253.084009999999</v>
      </c>
      <c r="E26" s="26">
        <f>IF(OR(-24682.83635="",-32253.08401="",-24682.83635=0,-32253.08401=0),"-",-32253.08401/-24682.83635*100)</f>
        <v>130.67008812380672</v>
      </c>
    </row>
    <row r="27" spans="1:5" x14ac:dyDescent="0.2">
      <c r="A27" s="54" t="s">
        <v>223</v>
      </c>
      <c r="B27" s="55" t="s">
        <v>138</v>
      </c>
      <c r="C27" s="56">
        <v>2564.7949699999999</v>
      </c>
      <c r="D27" s="26">
        <f>IF(OR(2845.63215="",2845.63215=0),"-",2845.63215)</f>
        <v>2845.6321499999999</v>
      </c>
      <c r="E27" s="26">
        <f>IF(OR(2564.79497="",2845.63215="",2564.79497=0,2845.63215=0),"-",2845.63215/2564.79497*100)</f>
        <v>110.94969318346722</v>
      </c>
    </row>
    <row r="28" spans="1:5" ht="36" x14ac:dyDescent="0.2">
      <c r="A28" s="54" t="s">
        <v>224</v>
      </c>
      <c r="B28" s="55" t="s">
        <v>139</v>
      </c>
      <c r="C28" s="56">
        <v>-5430.8829699999997</v>
      </c>
      <c r="D28" s="26">
        <f>IF(OR(-4478.05893="",-4478.05893=0),"-",-4478.05893)</f>
        <v>-4478.0589300000001</v>
      </c>
      <c r="E28" s="26">
        <f>IF(OR(-5430.88297="",-4478.05893="",-5430.88297=0,-4478.05893=0),"-",-4478.05893/-5430.88297*100)</f>
        <v>82.455448860464031</v>
      </c>
    </row>
    <row r="29" spans="1:5" ht="24" x14ac:dyDescent="0.2">
      <c r="A29" s="54" t="s">
        <v>225</v>
      </c>
      <c r="B29" s="55" t="s">
        <v>140</v>
      </c>
      <c r="C29" s="56">
        <v>-6628.72588</v>
      </c>
      <c r="D29" s="26">
        <f>IF(OR(-3739.37283="",-3739.37283=0),"-",-3739.37283)</f>
        <v>-3739.3728299999998</v>
      </c>
      <c r="E29" s="26">
        <f>IF(OR(-6628.72588="",-3739.37283="",-6628.72588=0,-3739.37283=0),"-",-3739.37283/-6628.72588*100)</f>
        <v>56.411637736934139</v>
      </c>
    </row>
    <row r="30" spans="1:5" x14ac:dyDescent="0.2">
      <c r="A30" s="54" t="s">
        <v>226</v>
      </c>
      <c r="B30" s="55" t="s">
        <v>141</v>
      </c>
      <c r="C30" s="56">
        <v>47638.184480000004</v>
      </c>
      <c r="D30" s="26">
        <f>IF(OR(41232.73622="",41232.73622=0),"-",41232.73622)</f>
        <v>41232.736219999999</v>
      </c>
      <c r="E30" s="26">
        <f>IF(OR(47638.18448="",41232.73622="",47638.18448=0,41232.73622=0),"-",41232.73622/47638.18448*100)</f>
        <v>86.553962268043165</v>
      </c>
    </row>
    <row r="31" spans="1:5" x14ac:dyDescent="0.2">
      <c r="A31" s="54" t="s">
        <v>227</v>
      </c>
      <c r="B31" s="55" t="s">
        <v>142</v>
      </c>
      <c r="C31" s="56">
        <v>-30045.32546</v>
      </c>
      <c r="D31" s="26">
        <f>IF(OR(-26863.87045="",-26863.87045=0),"-",-26863.87045)</f>
        <v>-26863.870449999999</v>
      </c>
      <c r="E31" s="26">
        <f>IF(OR(-30045.32546="",-26863.87045="",-30045.32546=0,-26863.87045=0),"-",-26863.87045/-30045.32546*100)</f>
        <v>89.411148119411976</v>
      </c>
    </row>
    <row r="32" spans="1:5" ht="15.75" customHeight="1" x14ac:dyDescent="0.2">
      <c r="A32" s="51" t="s">
        <v>228</v>
      </c>
      <c r="B32" s="52" t="s">
        <v>143</v>
      </c>
      <c r="C32" s="53">
        <v>-442996.62121000001</v>
      </c>
      <c r="D32" s="20">
        <f>IF(-1045519.97674="","-",-1045519.97674)</f>
        <v>-1045519.97674</v>
      </c>
      <c r="E32" s="20" t="s">
        <v>281</v>
      </c>
    </row>
    <row r="33" spans="1:5" x14ac:dyDescent="0.2">
      <c r="A33" s="54" t="s">
        <v>229</v>
      </c>
      <c r="B33" s="55" t="s">
        <v>187</v>
      </c>
      <c r="C33" s="56">
        <v>-7010.8239800000001</v>
      </c>
      <c r="D33" s="26">
        <f>IF(OR(-13917.27949="",-13917.27949=0),"-",-13917.27949)</f>
        <v>-13917.279490000001</v>
      </c>
      <c r="E33" s="26" t="s">
        <v>18</v>
      </c>
    </row>
    <row r="34" spans="1:5" x14ac:dyDescent="0.2">
      <c r="A34" s="54" t="s">
        <v>230</v>
      </c>
      <c r="B34" s="55" t="s">
        <v>144</v>
      </c>
      <c r="C34" s="56">
        <v>-289401.70941000001</v>
      </c>
      <c r="D34" s="26">
        <f>IF(OR(-550003.1188="",-550003.1188=0),"-",-550003.1188)</f>
        <v>-550003.11880000005</v>
      </c>
      <c r="E34" s="26" t="s">
        <v>101</v>
      </c>
    </row>
    <row r="35" spans="1:5" x14ac:dyDescent="0.2">
      <c r="A35" s="54" t="s">
        <v>275</v>
      </c>
      <c r="B35" s="55" t="s">
        <v>188</v>
      </c>
      <c r="C35" s="56">
        <v>-141159.83119999999</v>
      </c>
      <c r="D35" s="26">
        <f>IF(OR(-461226.4758="",-461226.4758=0),"-",-461226.4758)</f>
        <v>-461226.47580000001</v>
      </c>
      <c r="E35" s="26" t="s">
        <v>361</v>
      </c>
    </row>
    <row r="36" spans="1:5" x14ac:dyDescent="0.2">
      <c r="A36" s="54" t="s">
        <v>282</v>
      </c>
      <c r="B36" s="55" t="s">
        <v>284</v>
      </c>
      <c r="C36" s="56">
        <v>-5424.2566200000001</v>
      </c>
      <c r="D36" s="26">
        <f>IF(OR(-20373.10265="",-20373.10265=0),"-",-20373.10265)</f>
        <v>-20373.102650000001</v>
      </c>
      <c r="E36" s="26" t="s">
        <v>350</v>
      </c>
    </row>
    <row r="37" spans="1:5" ht="24" x14ac:dyDescent="0.2">
      <c r="A37" s="51" t="s">
        <v>231</v>
      </c>
      <c r="B37" s="52" t="s">
        <v>145</v>
      </c>
      <c r="C37" s="53">
        <v>36525.589939999998</v>
      </c>
      <c r="D37" s="20">
        <f>IF(210142.44594="","-",210142.44594)</f>
        <v>210142.44594000001</v>
      </c>
      <c r="E37" s="20" t="s">
        <v>349</v>
      </c>
    </row>
    <row r="38" spans="1:5" x14ac:dyDescent="0.2">
      <c r="A38" s="54" t="s">
        <v>232</v>
      </c>
      <c r="B38" s="55" t="s">
        <v>191</v>
      </c>
      <c r="C38" s="56">
        <v>-934.26241000000005</v>
      </c>
      <c r="D38" s="26">
        <f>IF(OR(-1351.7724="",-1351.7724=0),"-",-1351.7724)</f>
        <v>-1351.7724000000001</v>
      </c>
      <c r="E38" s="26">
        <f>IF(OR(-934.26241="",-1351.7724="",-934.26241=0,-1351.7724=0),"-",-1351.7724/-934.26241*100)</f>
        <v>144.68872829850875</v>
      </c>
    </row>
    <row r="39" spans="1:5" ht="14.25" customHeight="1" x14ac:dyDescent="0.2">
      <c r="A39" s="54" t="s">
        <v>233</v>
      </c>
      <c r="B39" s="55" t="s">
        <v>146</v>
      </c>
      <c r="C39" s="56">
        <v>38483.103790000001</v>
      </c>
      <c r="D39" s="26">
        <f>IF(OR(213304.5695="",213304.5695=0),"-",213304.5695)</f>
        <v>213304.56950000001</v>
      </c>
      <c r="E39" s="26" t="s">
        <v>363</v>
      </c>
    </row>
    <row r="40" spans="1:5" ht="40.5" customHeight="1" x14ac:dyDescent="0.2">
      <c r="A40" s="54" t="s">
        <v>234</v>
      </c>
      <c r="B40" s="55" t="s">
        <v>189</v>
      </c>
      <c r="C40" s="56">
        <v>-1023.25144</v>
      </c>
      <c r="D40" s="26">
        <f>IF(OR(-1810.35116="",-1810.35116=0),"-",-1810.35116)</f>
        <v>-1810.3511599999999</v>
      </c>
      <c r="E40" s="26" t="s">
        <v>195</v>
      </c>
    </row>
    <row r="41" spans="1:5" ht="15" customHeight="1" x14ac:dyDescent="0.2">
      <c r="A41" s="51" t="s">
        <v>235</v>
      </c>
      <c r="B41" s="52" t="s">
        <v>147</v>
      </c>
      <c r="C41" s="53">
        <v>-505987.87647000002</v>
      </c>
      <c r="D41" s="20">
        <f>IF(-569672.18195="","-",-569672.18195)</f>
        <v>-569672.18195</v>
      </c>
      <c r="E41" s="20">
        <f>IF(-505987.87647="","-",-569672.18195/-505987.87647*100)</f>
        <v>112.58613268054769</v>
      </c>
    </row>
    <row r="42" spans="1:5" x14ac:dyDescent="0.2">
      <c r="A42" s="54" t="s">
        <v>236</v>
      </c>
      <c r="B42" s="55" t="s">
        <v>23</v>
      </c>
      <c r="C42" s="56">
        <v>11298.30429</v>
      </c>
      <c r="D42" s="26">
        <f>IF(OR(18244.68639="",18244.68639=0),"-",18244.68639)</f>
        <v>18244.686389999999</v>
      </c>
      <c r="E42" s="26" t="s">
        <v>100</v>
      </c>
    </row>
    <row r="43" spans="1:5" x14ac:dyDescent="0.2">
      <c r="A43" s="54" t="s">
        <v>237</v>
      </c>
      <c r="B43" s="55" t="s">
        <v>24</v>
      </c>
      <c r="C43" s="56">
        <v>-8530.67173</v>
      </c>
      <c r="D43" s="26">
        <f>IF(OR(-13805.34373="",-13805.34373=0),"-",-13805.34373)</f>
        <v>-13805.343730000001</v>
      </c>
      <c r="E43" s="26" t="s">
        <v>100</v>
      </c>
    </row>
    <row r="44" spans="1:5" x14ac:dyDescent="0.2">
      <c r="A44" s="54" t="s">
        <v>238</v>
      </c>
      <c r="B44" s="55" t="s">
        <v>148</v>
      </c>
      <c r="C44" s="56">
        <v>-26476.277709999998</v>
      </c>
      <c r="D44" s="26">
        <f>IF(OR(-26143.90034="",-26143.90034=0),"-",-26143.90034)</f>
        <v>-26143.90034</v>
      </c>
      <c r="E44" s="26">
        <f>IF(OR(-26476.27771="",-26143.90034="",-26476.27771=0,-26143.90034=0),"-",-26143.90034/-26476.27771*100)</f>
        <v>98.744621983344501</v>
      </c>
    </row>
    <row r="45" spans="1:5" x14ac:dyDescent="0.2">
      <c r="A45" s="54" t="s">
        <v>239</v>
      </c>
      <c r="B45" s="55" t="s">
        <v>149</v>
      </c>
      <c r="C45" s="56">
        <v>-133241.66738999999</v>
      </c>
      <c r="D45" s="26">
        <f>IF(OR(-137068.69107="",-137068.69107=0),"-",-137068.69107)</f>
        <v>-137068.69107</v>
      </c>
      <c r="E45" s="26">
        <f>IF(OR(-133241.66739="",-137068.69107="",-133241.66739=0,-137068.69107=0),"-",-137068.69107/-133241.66739*100)</f>
        <v>102.8722424110757</v>
      </c>
    </row>
    <row r="46" spans="1:5" ht="28.5" customHeight="1" x14ac:dyDescent="0.2">
      <c r="A46" s="54" t="s">
        <v>240</v>
      </c>
      <c r="B46" s="55" t="s">
        <v>150</v>
      </c>
      <c r="C46" s="56">
        <v>-70877.801330000002</v>
      </c>
      <c r="D46" s="26">
        <f>IF(OR(-73461.86905="",-73461.86905=0),"-",-73461.86905)</f>
        <v>-73461.869049999994</v>
      </c>
      <c r="E46" s="26">
        <f>IF(OR(-70877.80133="",-73461.86905="",-70877.80133=0,-73461.86905=0),"-",-73461.86905/-70877.80133*100)</f>
        <v>103.6458068273998</v>
      </c>
    </row>
    <row r="47" spans="1:5" x14ac:dyDescent="0.2">
      <c r="A47" s="54" t="s">
        <v>241</v>
      </c>
      <c r="B47" s="55" t="s">
        <v>151</v>
      </c>
      <c r="C47" s="56">
        <v>-47555.766900000002</v>
      </c>
      <c r="D47" s="26">
        <f>IF(OR(-89404.77976="",-89404.77976=0),"-",-89404.77976)</f>
        <v>-89404.779760000005</v>
      </c>
      <c r="E47" s="26" t="s">
        <v>101</v>
      </c>
    </row>
    <row r="48" spans="1:5" x14ac:dyDescent="0.2">
      <c r="A48" s="54" t="s">
        <v>242</v>
      </c>
      <c r="B48" s="55" t="s">
        <v>25</v>
      </c>
      <c r="C48" s="56">
        <v>-37068.750540000001</v>
      </c>
      <c r="D48" s="26">
        <f>IF(OR(-42376.56455="",-42376.56455=0),"-",-42376.56455)</f>
        <v>-42376.564550000003</v>
      </c>
      <c r="E48" s="26">
        <f>IF(OR(-37068.75054="",-42376.56455="",-37068.75054=0,-42376.56455=0),"-",-42376.56455/-37068.75054*100)</f>
        <v>114.31883711395254</v>
      </c>
    </row>
    <row r="49" spans="1:5" x14ac:dyDescent="0.2">
      <c r="A49" s="54" t="s">
        <v>243</v>
      </c>
      <c r="B49" s="55" t="s">
        <v>26</v>
      </c>
      <c r="C49" s="56">
        <v>-85596.059989999994</v>
      </c>
      <c r="D49" s="26">
        <f>IF(OR(-82782.50199="",-82782.50199=0),"-",-82782.50199)</f>
        <v>-82782.501990000004</v>
      </c>
      <c r="E49" s="26">
        <f>IF(OR(-85596.05999="",-82782.50199="",-85596.05999=0,-82782.50199=0),"-",-82782.50199/-85596.05999*100)</f>
        <v>96.712981882193304</v>
      </c>
    </row>
    <row r="50" spans="1:5" x14ac:dyDescent="0.2">
      <c r="A50" s="54" t="s">
        <v>244</v>
      </c>
      <c r="B50" s="55" t="s">
        <v>152</v>
      </c>
      <c r="C50" s="56">
        <v>-107939.18517</v>
      </c>
      <c r="D50" s="26">
        <f>IF(OR(-122873.21785="",-122873.21785=0),"-",-122873.21785)</f>
        <v>-122873.21785</v>
      </c>
      <c r="E50" s="26">
        <f>IF(OR(-107939.18517="",-122873.21785="",-107939.18517=0,-122873.21785=0),"-",-122873.21785/-107939.18517*100)</f>
        <v>113.83559886660204</v>
      </c>
    </row>
    <row r="51" spans="1:5" ht="24" x14ac:dyDescent="0.2">
      <c r="A51" s="51" t="s">
        <v>245</v>
      </c>
      <c r="B51" s="52" t="s">
        <v>335</v>
      </c>
      <c r="C51" s="53">
        <v>-592464.94030000002</v>
      </c>
      <c r="D51" s="20">
        <f>IF(-582636.29732="","-",-582636.29732)</f>
        <v>-582636.29732000001</v>
      </c>
      <c r="E51" s="20">
        <f>IF(-592464.9403="","-",-582636.29732/-592464.9403*100)</f>
        <v>98.341059139293009</v>
      </c>
    </row>
    <row r="52" spans="1:5" x14ac:dyDescent="0.2">
      <c r="A52" s="54" t="s">
        <v>246</v>
      </c>
      <c r="B52" s="55" t="s">
        <v>153</v>
      </c>
      <c r="C52" s="56">
        <v>-32540.243880000002</v>
      </c>
      <c r="D52" s="26">
        <f>IF(OR(-31781.32718="",-31781.32718=0),"-",-31781.32718)</f>
        <v>-31781.32718</v>
      </c>
      <c r="E52" s="26">
        <f>IF(OR(-32540.24388="",-31781.32718="",-32540.24388=0,-31781.32718=0),"-",-31781.32718/-32540.24388*100)</f>
        <v>97.667759643109349</v>
      </c>
    </row>
    <row r="53" spans="1:5" x14ac:dyDescent="0.2">
      <c r="A53" s="54" t="s">
        <v>247</v>
      </c>
      <c r="B53" s="55" t="s">
        <v>27</v>
      </c>
      <c r="C53" s="56">
        <v>-35729.929819999998</v>
      </c>
      <c r="D53" s="26">
        <f>IF(OR(-46917.74028="",-46917.74028=0),"-",-46917.74028)</f>
        <v>-46917.740279999998</v>
      </c>
      <c r="E53" s="26">
        <f>IF(OR(-35729.92982="",-46917.74028="",-35729.92982=0,-46917.74028=0),"-",-46917.74028/-35729.92982*100)</f>
        <v>131.31215347010721</v>
      </c>
    </row>
    <row r="54" spans="1:5" x14ac:dyDescent="0.2">
      <c r="A54" s="54" t="s">
        <v>248</v>
      </c>
      <c r="B54" s="55" t="s">
        <v>154</v>
      </c>
      <c r="C54" s="56">
        <v>-44783.391530000001</v>
      </c>
      <c r="D54" s="26">
        <f>IF(OR(-42891.11178="",-42891.11178=0),"-",-42891.11178)</f>
        <v>-42891.111779999999</v>
      </c>
      <c r="E54" s="26">
        <f>IF(OR(-44783.39153="",-42891.11178="",-44783.39153=0,-42891.11178=0),"-",-42891.11178/-44783.39153*100)</f>
        <v>95.774594809925503</v>
      </c>
    </row>
    <row r="55" spans="1:5" ht="24" x14ac:dyDescent="0.2">
      <c r="A55" s="54" t="s">
        <v>249</v>
      </c>
      <c r="B55" s="55" t="s">
        <v>155</v>
      </c>
      <c r="C55" s="56">
        <v>-54499.625489999999</v>
      </c>
      <c r="D55" s="26">
        <f>IF(OR(-68524.28548="",-68524.28548=0),"-",-68524.28548)</f>
        <v>-68524.285480000006</v>
      </c>
      <c r="E55" s="26">
        <f>IF(OR(-54499.62549="",-68524.28548="",-54499.62549=0,-68524.28548=0),"-",-68524.28548/-54499.62549*100)</f>
        <v>125.73349791655606</v>
      </c>
    </row>
    <row r="56" spans="1:5" ht="24" x14ac:dyDescent="0.2">
      <c r="A56" s="54" t="s">
        <v>250</v>
      </c>
      <c r="B56" s="55" t="s">
        <v>156</v>
      </c>
      <c r="C56" s="56">
        <v>-139157.10709</v>
      </c>
      <c r="D56" s="26">
        <f>IF(OR(-138199.48639="",-138199.48639=0),"-",-138199.48639)</f>
        <v>-138199.48639000001</v>
      </c>
      <c r="E56" s="26">
        <f>IF(OR(-139157.10709="",-138199.48639="",-139157.10709=0,-138199.48639=0),"-",-138199.48639/-139157.10709*100)</f>
        <v>99.311842046715839</v>
      </c>
    </row>
    <row r="57" spans="1:5" x14ac:dyDescent="0.2">
      <c r="A57" s="54" t="s">
        <v>251</v>
      </c>
      <c r="B57" s="55" t="s">
        <v>28</v>
      </c>
      <c r="C57" s="56">
        <v>-55231.753299999997</v>
      </c>
      <c r="D57" s="26">
        <f>IF(OR(-39984.40009="",-39984.40009=0),"-",-39984.40009)</f>
        <v>-39984.400090000003</v>
      </c>
      <c r="E57" s="26">
        <f>IF(OR(-55231.7533="",-39984.40009="",-55231.7533=0,-39984.40009=0),"-",-39984.40009/-55231.7533*100)</f>
        <v>72.39386349518621</v>
      </c>
    </row>
    <row r="58" spans="1:5" x14ac:dyDescent="0.2">
      <c r="A58" s="54" t="s">
        <v>252</v>
      </c>
      <c r="B58" s="55" t="s">
        <v>157</v>
      </c>
      <c r="C58" s="56">
        <v>-90613.644220000002</v>
      </c>
      <c r="D58" s="26">
        <f>IF(OR(-105890.28934="",-105890.28934=0),"-",-105890.28934)</f>
        <v>-105890.28934</v>
      </c>
      <c r="E58" s="26">
        <f>IF(OR(-90613.64422="",-105890.28934="",-90613.64422=0,-105890.28934=0),"-",-105890.28934/-90613.64422*100)</f>
        <v>116.85910025085182</v>
      </c>
    </row>
    <row r="59" spans="1:5" x14ac:dyDescent="0.2">
      <c r="A59" s="54" t="s">
        <v>253</v>
      </c>
      <c r="B59" s="55" t="s">
        <v>29</v>
      </c>
      <c r="C59" s="56">
        <v>-45230.790430000001</v>
      </c>
      <c r="D59" s="26">
        <f>IF(OR(-18871.80912="",-18871.80912=0),"-",-18871.80912)</f>
        <v>-18871.809120000002</v>
      </c>
      <c r="E59" s="26">
        <f>IF(OR(-45230.79043="",-18871.80912="",-45230.79043=0,-18871.80912=0),"-",-18871.80912/-45230.79043*100)</f>
        <v>41.723367954858894</v>
      </c>
    </row>
    <row r="60" spans="1:5" x14ac:dyDescent="0.2">
      <c r="A60" s="54" t="s">
        <v>254</v>
      </c>
      <c r="B60" s="55" t="s">
        <v>30</v>
      </c>
      <c r="C60" s="56">
        <v>-94678.454540000006</v>
      </c>
      <c r="D60" s="26">
        <f>IF(OR(-89575.84766="",-89575.84766=0),"-",-89575.84766)</f>
        <v>-89575.847659999999</v>
      </c>
      <c r="E60" s="26">
        <f>IF(OR(-94678.45454="",-89575.84766="",-94678.45454=0,-89575.84766=0),"-",-89575.84766/-94678.45454*100)</f>
        <v>94.610593397630666</v>
      </c>
    </row>
    <row r="61" spans="1:5" x14ac:dyDescent="0.2">
      <c r="A61" s="51" t="s">
        <v>255</v>
      </c>
      <c r="B61" s="52" t="s">
        <v>158</v>
      </c>
      <c r="C61" s="53">
        <v>-589033.97368000005</v>
      </c>
      <c r="D61" s="20">
        <f>IF(-709990.21929="","-",-709990.21929)</f>
        <v>-709990.21929000004</v>
      </c>
      <c r="E61" s="20">
        <f>IF(-589033.97368="","-",-709990.21929/-589033.97368*100)</f>
        <v>120.53468068307227</v>
      </c>
    </row>
    <row r="62" spans="1:5" ht="16.5" customHeight="1" x14ac:dyDescent="0.2">
      <c r="A62" s="54" t="s">
        <v>256</v>
      </c>
      <c r="B62" s="55" t="s">
        <v>159</v>
      </c>
      <c r="C62" s="56">
        <v>-15701.16187</v>
      </c>
      <c r="D62" s="26">
        <f>IF(OR(-13502.50308="",-13502.50308=0),"-",-13502.50308)</f>
        <v>-13502.50308</v>
      </c>
      <c r="E62" s="26">
        <f>IF(OR(-15701.16187="",-13502.50308="",-15701.16187=0,-13502.50308=0),"-",-13502.50308/-15701.16187*100)</f>
        <v>85.996840181611361</v>
      </c>
    </row>
    <row r="63" spans="1:5" ht="24" x14ac:dyDescent="0.2">
      <c r="A63" s="54" t="s">
        <v>257</v>
      </c>
      <c r="B63" s="55" t="s">
        <v>160</v>
      </c>
      <c r="C63" s="56">
        <v>-113181.44907</v>
      </c>
      <c r="D63" s="26">
        <f>IF(OR(-183363.67391="",-183363.67391=0),"-",-183363.67391)</f>
        <v>-183363.67391000001</v>
      </c>
      <c r="E63" s="26" t="s">
        <v>401</v>
      </c>
    </row>
    <row r="64" spans="1:5" x14ac:dyDescent="0.2">
      <c r="A64" s="54" t="s">
        <v>258</v>
      </c>
      <c r="B64" s="55" t="s">
        <v>161</v>
      </c>
      <c r="C64" s="56">
        <v>-8315.8454199999996</v>
      </c>
      <c r="D64" s="26">
        <f>IF(OR(-4241.71938="",-4241.71938=0),"-",-4241.71938)</f>
        <v>-4241.7193799999995</v>
      </c>
      <c r="E64" s="26">
        <f>IF(OR(-8315.84542="",-4241.71938="",-8315.84542=0,-4241.71938=0),"-",-4241.71938/-8315.84542*100)</f>
        <v>51.007674695328809</v>
      </c>
    </row>
    <row r="65" spans="1:5" ht="24" x14ac:dyDescent="0.2">
      <c r="A65" s="54" t="s">
        <v>259</v>
      </c>
      <c r="B65" s="55" t="s">
        <v>162</v>
      </c>
      <c r="C65" s="56">
        <v>-125237.30650999999</v>
      </c>
      <c r="D65" s="26">
        <f>IF(OR(-124628.53207="",-124628.53207=0),"-",-124628.53207)</f>
        <v>-124628.53207</v>
      </c>
      <c r="E65" s="26">
        <f>IF(OR(-125237.30651="",-124628.53207="",-125237.30651=0,-124628.53207=0),"-",-124628.53207/-125237.30651*100)</f>
        <v>99.513903279330435</v>
      </c>
    </row>
    <row r="66" spans="1:5" ht="27.75" customHeight="1" x14ac:dyDescent="0.2">
      <c r="A66" s="54" t="s">
        <v>260</v>
      </c>
      <c r="B66" s="55" t="s">
        <v>163</v>
      </c>
      <c r="C66" s="56">
        <v>-41463.156609999998</v>
      </c>
      <c r="D66" s="26">
        <f>IF(OR(-46539.0223="",-46539.0223=0),"-",-46539.0223)</f>
        <v>-46539.022299999997</v>
      </c>
      <c r="E66" s="26">
        <f>IF(OR(-41463.15661="",-46539.0223="",-41463.15661=0,-46539.0223=0),"-",-46539.0223/-41463.15661*100)</f>
        <v>112.24186990330547</v>
      </c>
    </row>
    <row r="67" spans="1:5" ht="29.25" customHeight="1" x14ac:dyDescent="0.2">
      <c r="A67" s="54" t="s">
        <v>261</v>
      </c>
      <c r="B67" s="55" t="s">
        <v>164</v>
      </c>
      <c r="C67" s="56">
        <v>-99559.278510000004</v>
      </c>
      <c r="D67" s="26">
        <f>IF(OR(-97692.16712="",-97692.16712=0),"-",-97692.16712)</f>
        <v>-97692.167119999998</v>
      </c>
      <c r="E67" s="26">
        <f>IF(OR(-99559.27851="",-97692.16712="",-99559.27851=0,-97692.16712=0),"-",-97692.16712/-99559.27851*100)</f>
        <v>98.124623422404099</v>
      </c>
    </row>
    <row r="68" spans="1:5" ht="15" customHeight="1" x14ac:dyDescent="0.2">
      <c r="A68" s="54" t="s">
        <v>262</v>
      </c>
      <c r="B68" s="55" t="s">
        <v>165</v>
      </c>
      <c r="C68" s="56">
        <v>27575.620719999999</v>
      </c>
      <c r="D68" s="26">
        <f>IF(OR(3237.99411="",3237.99411=0),"-",3237.99411)</f>
        <v>3237.9941100000001</v>
      </c>
      <c r="E68" s="26">
        <f>IF(OR(27575.62072="",3237.99411="",27575.62072=0,3237.99411=0),"-",3237.99411/27575.62072*100)</f>
        <v>11.742234718406731</v>
      </c>
    </row>
    <row r="69" spans="1:5" x14ac:dyDescent="0.2">
      <c r="A69" s="54" t="s">
        <v>263</v>
      </c>
      <c r="B69" s="55" t="s">
        <v>166</v>
      </c>
      <c r="C69" s="56">
        <v>-212053.91428999999</v>
      </c>
      <c r="D69" s="26">
        <f>IF(OR(-239944.91561="",-239944.91561=0),"-",-239944.91561)</f>
        <v>-239944.91561</v>
      </c>
      <c r="E69" s="26">
        <f>IF(OR(-212053.91429="",-239944.91561="",-212053.91429=0,-239944.91561=0),"-",-239944.91561/-212053.91429*100)</f>
        <v>113.15278777728994</v>
      </c>
    </row>
    <row r="70" spans="1:5" x14ac:dyDescent="0.2">
      <c r="A70" s="54" t="s">
        <v>264</v>
      </c>
      <c r="B70" s="55" t="s">
        <v>31</v>
      </c>
      <c r="C70" s="56">
        <v>-1097.4821199999999</v>
      </c>
      <c r="D70" s="26">
        <f>IF(OR(-3315.67993="",-3315.67993=0),"-",-3315.67993)</f>
        <v>-3315.6799299999998</v>
      </c>
      <c r="E70" s="26" t="s">
        <v>351</v>
      </c>
    </row>
    <row r="71" spans="1:5" x14ac:dyDescent="0.2">
      <c r="A71" s="51" t="s">
        <v>265</v>
      </c>
      <c r="B71" s="52" t="s">
        <v>32</v>
      </c>
      <c r="C71" s="53">
        <v>-102041.82798</v>
      </c>
      <c r="D71" s="20">
        <f>IF(-72570.74204="","-",-72570.74204)</f>
        <v>-72570.742039999997</v>
      </c>
      <c r="E71" s="20">
        <f>IF(-102041.82798="","-",-72570.74204/-102041.82798*100)</f>
        <v>71.118622114672149</v>
      </c>
    </row>
    <row r="72" spans="1:5" ht="24" x14ac:dyDescent="0.2">
      <c r="A72" s="54" t="s">
        <v>266</v>
      </c>
      <c r="B72" s="55" t="s">
        <v>192</v>
      </c>
      <c r="C72" s="56">
        <v>-27272.622930000001</v>
      </c>
      <c r="D72" s="26">
        <f>IF(OR(-24391.21833="",-24391.21833=0),"-",-24391.21833)</f>
        <v>-24391.21833</v>
      </c>
      <c r="E72" s="26">
        <f>IF(OR(-27272.62293="",-24391.21833="",-27272.62293=0,-24391.21833=0),"-",-24391.21833/-27272.62293*100)</f>
        <v>89.434809378637198</v>
      </c>
    </row>
    <row r="73" spans="1:5" x14ac:dyDescent="0.2">
      <c r="A73" s="54" t="s">
        <v>267</v>
      </c>
      <c r="B73" s="55" t="s">
        <v>167</v>
      </c>
      <c r="C73" s="56">
        <v>54183.2546</v>
      </c>
      <c r="D73" s="26">
        <f>IF(OR(43858.90857="",43858.90857=0),"-",43858.90857)</f>
        <v>43858.90857</v>
      </c>
      <c r="E73" s="26">
        <f>IF(OR(54183.2546="",43858.90857="",54183.2546=0,43858.90857=0),"-",43858.90857/54183.2546*100)</f>
        <v>80.945504093067157</v>
      </c>
    </row>
    <row r="74" spans="1:5" x14ac:dyDescent="0.2">
      <c r="A74" s="54" t="s">
        <v>268</v>
      </c>
      <c r="B74" s="55" t="s">
        <v>168</v>
      </c>
      <c r="C74" s="56">
        <v>1877.2007000000001</v>
      </c>
      <c r="D74" s="26">
        <f>IF(OR(-906.28417="",-906.28417=0),"-",-906.28417)</f>
        <v>-906.28417000000002</v>
      </c>
      <c r="E74" s="26" t="s">
        <v>20</v>
      </c>
    </row>
    <row r="75" spans="1:5" x14ac:dyDescent="0.2">
      <c r="A75" s="54" t="s">
        <v>269</v>
      </c>
      <c r="B75" s="55" t="s">
        <v>169</v>
      </c>
      <c r="C75" s="56">
        <v>55629.303919999998</v>
      </c>
      <c r="D75" s="26">
        <f>IF(OR(69434.03615="",69434.03615=0),"-",69434.03615)</f>
        <v>69434.03615</v>
      </c>
      <c r="E75" s="26">
        <f>IF(OR(55629.30392="",69434.03615="",55629.30392=0,69434.03615=0),"-",69434.03615/55629.30392*100)</f>
        <v>124.81557606734117</v>
      </c>
    </row>
    <row r="76" spans="1:5" x14ac:dyDescent="0.2">
      <c r="A76" s="54" t="s">
        <v>270</v>
      </c>
      <c r="B76" s="55" t="s">
        <v>170</v>
      </c>
      <c r="C76" s="56">
        <v>-5349.13292</v>
      </c>
      <c r="D76" s="26">
        <f>IF(OR(-9539.56353="",-9539.56353=0),"-",-9539.56353)</f>
        <v>-9539.5635299999994</v>
      </c>
      <c r="E76" s="26" t="s">
        <v>195</v>
      </c>
    </row>
    <row r="77" spans="1:5" ht="24" x14ac:dyDescent="0.2">
      <c r="A77" s="54" t="s">
        <v>271</v>
      </c>
      <c r="B77" s="55" t="s">
        <v>193</v>
      </c>
      <c r="C77" s="56">
        <v>-41706.918720000001</v>
      </c>
      <c r="D77" s="26">
        <f>IF(OR(-28280.50369="",-28280.50369=0),"-",-28280.50369)</f>
        <v>-28280.503690000001</v>
      </c>
      <c r="E77" s="26">
        <f>IF(OR(-41706.91872="",-28280.50369="",-41706.91872=0,-28280.50369=0),"-",-28280.50369/-41706.91872*100)</f>
        <v>67.807703273074594</v>
      </c>
    </row>
    <row r="78" spans="1:5" ht="24" x14ac:dyDescent="0.2">
      <c r="A78" s="54" t="s">
        <v>272</v>
      </c>
      <c r="B78" s="55" t="s">
        <v>171</v>
      </c>
      <c r="C78" s="56">
        <v>-8289.1191999999992</v>
      </c>
      <c r="D78" s="26">
        <f>IF(OR(-5175.10352="",-5175.10352=0),"-",-5175.10352)</f>
        <v>-5175.1035199999997</v>
      </c>
      <c r="E78" s="26">
        <f>IF(OR(-8289.1192="",-5175.10352="",-8289.1192=0,-5175.10352=0),"-",-5175.10352/-8289.1192*100)</f>
        <v>62.432490052742885</v>
      </c>
    </row>
    <row r="79" spans="1:5" x14ac:dyDescent="0.2">
      <c r="A79" s="54" t="s">
        <v>273</v>
      </c>
      <c r="B79" s="55" t="s">
        <v>33</v>
      </c>
      <c r="C79" s="56">
        <v>-131113.79342999999</v>
      </c>
      <c r="D79" s="26">
        <f>IF(OR(-117571.01352="",-117571.01352=0),"-",-117571.01352)</f>
        <v>-117571.01351999999</v>
      </c>
      <c r="E79" s="26">
        <f>IF(OR(-131113.79343="",-117571.01352="",-131113.79343=0,-117571.01352=0),"-",-117571.01352/-131113.79343*100)</f>
        <v>89.670972400603816</v>
      </c>
    </row>
    <row r="80" spans="1:5" x14ac:dyDescent="0.2">
      <c r="A80" s="57" t="s">
        <v>276</v>
      </c>
      <c r="B80" s="58" t="s">
        <v>172</v>
      </c>
      <c r="C80" s="53">
        <v>299.95211999999998</v>
      </c>
      <c r="D80" s="20">
        <f>IF(-11616.4107="","-",-11616.4107)</f>
        <v>-11616.4107</v>
      </c>
      <c r="E80" s="20" t="s">
        <v>20</v>
      </c>
    </row>
    <row r="81" spans="1:5" ht="24" x14ac:dyDescent="0.2">
      <c r="A81" s="54" t="s">
        <v>316</v>
      </c>
      <c r="B81" s="55" t="s">
        <v>317</v>
      </c>
      <c r="C81" s="50" t="s">
        <v>280</v>
      </c>
      <c r="D81" s="26">
        <f>IF(OR(-333.24465="",-333.24465=0),"-",-333.24465)</f>
        <v>-333.24464999999998</v>
      </c>
      <c r="E81" s="26" t="str">
        <f>IF(OR(0="",-333.24465="",0=0,-333.24465=0),"-",-333.24465/0*100)</f>
        <v>-</v>
      </c>
    </row>
    <row r="82" spans="1:5" x14ac:dyDescent="0.2">
      <c r="A82" s="54" t="s">
        <v>307</v>
      </c>
      <c r="B82" s="55" t="s">
        <v>308</v>
      </c>
      <c r="C82" s="56">
        <v>386.97439000000003</v>
      </c>
      <c r="D82" s="26">
        <f>IF(OR(666.06434="",666.06434=0),"-",666.06434)</f>
        <v>666.06434000000002</v>
      </c>
      <c r="E82" s="26" t="s">
        <v>99</v>
      </c>
    </row>
    <row r="83" spans="1:5" x14ac:dyDescent="0.2">
      <c r="A83" s="59" t="s">
        <v>309</v>
      </c>
      <c r="B83" s="60" t="s">
        <v>315</v>
      </c>
      <c r="C83" s="61">
        <v>-87.022270000000006</v>
      </c>
      <c r="D83" s="33">
        <f>IF(OR(-11949.23039="",-11949.23039=0),"-",-11949.23039)</f>
        <v>-11949.230390000001</v>
      </c>
      <c r="E83" s="33" t="s">
        <v>402</v>
      </c>
    </row>
    <row r="84" spans="1:5" x14ac:dyDescent="0.2">
      <c r="A84" s="34" t="s">
        <v>279</v>
      </c>
      <c r="B84" s="35"/>
    </row>
    <row r="85" spans="1:5" x14ac:dyDescent="0.2">
      <c r="C85" s="62"/>
      <c r="D85" s="62"/>
      <c r="E85" s="63"/>
    </row>
    <row r="86" spans="1:5" x14ac:dyDescent="0.2">
      <c r="C86" s="62"/>
      <c r="D86" s="62"/>
      <c r="E86" s="63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Doina Cebotari</cp:lastModifiedBy>
  <cp:lastPrinted>2022-09-14T06:04:26Z</cp:lastPrinted>
  <dcterms:created xsi:type="dcterms:W3CDTF">2016-09-01T07:59:47Z</dcterms:created>
  <dcterms:modified xsi:type="dcterms:W3CDTF">2022-09-14T11:07:34Z</dcterms:modified>
</cp:coreProperties>
</file>