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D:\Doina Cebotari\Desktop\Comert\"/>
    </mc:Choice>
  </mc:AlternateContent>
  <xr:revisionPtr revIDLastSave="0" documentId="13_ncr:1_{6707847B-5F07-40DE-9271-53C1F9265FF1}" xr6:coauthVersionLast="47" xr6:coauthVersionMax="47" xr10:uidLastSave="{00000000-0000-0000-0000-000000000000}"/>
  <bookViews>
    <workbookView xWindow="-120" yWindow="-120" windowWidth="29040" windowHeight="15720" tabRatio="857" xr2:uid="{00000000-000D-0000-FFFF-FFFF00000000}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8" i="16" l="1"/>
  <c r="F48" i="16"/>
  <c r="E48" i="16"/>
  <c r="D48" i="16"/>
  <c r="C48" i="16"/>
  <c r="B48" i="16"/>
  <c r="G47" i="16"/>
  <c r="F47" i="16"/>
  <c r="E47" i="16"/>
  <c r="D47" i="16"/>
  <c r="C47" i="16"/>
  <c r="B47" i="16"/>
  <c r="G46" i="16"/>
  <c r="F46" i="16"/>
  <c r="E46" i="16"/>
  <c r="D46" i="16"/>
  <c r="C46" i="16"/>
  <c r="B46" i="16"/>
  <c r="G45" i="16"/>
  <c r="F45" i="16"/>
  <c r="E45" i="16"/>
  <c r="D45" i="16"/>
  <c r="C45" i="16"/>
  <c r="B45" i="16"/>
  <c r="G44" i="16"/>
  <c r="F44" i="16"/>
  <c r="E44" i="16"/>
  <c r="D44" i="16"/>
  <c r="C44" i="16"/>
  <c r="B44" i="16"/>
  <c r="G43" i="16"/>
  <c r="F43" i="16"/>
  <c r="E43" i="16"/>
  <c r="D43" i="16"/>
  <c r="C43" i="16"/>
  <c r="B43" i="16"/>
  <c r="G42" i="16"/>
  <c r="F42" i="16"/>
  <c r="E42" i="16"/>
  <c r="D42" i="16"/>
  <c r="C42" i="16"/>
  <c r="B42" i="16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G44" i="5"/>
  <c r="F44" i="5"/>
  <c r="E44" i="5"/>
  <c r="D44" i="5"/>
  <c r="C44" i="5"/>
  <c r="B44" i="5"/>
  <c r="G43" i="5"/>
  <c r="F43" i="5"/>
  <c r="E43" i="5"/>
  <c r="D43" i="5"/>
  <c r="C43" i="5"/>
  <c r="B43" i="5"/>
  <c r="G42" i="5"/>
  <c r="F42" i="5"/>
  <c r="E42" i="5"/>
  <c r="D42" i="5"/>
  <c r="C42" i="5"/>
  <c r="B42" i="5"/>
  <c r="G41" i="5"/>
  <c r="F41" i="5"/>
  <c r="E41" i="5"/>
  <c r="D41" i="5"/>
  <c r="C41" i="5"/>
  <c r="B41" i="5"/>
  <c r="G40" i="5"/>
  <c r="F40" i="5"/>
  <c r="E40" i="5"/>
  <c r="D40" i="5"/>
  <c r="C40" i="5"/>
  <c r="B40" i="5"/>
  <c r="G39" i="5"/>
  <c r="F39" i="5"/>
  <c r="E39" i="5"/>
  <c r="D39" i="5"/>
  <c r="C39" i="5"/>
  <c r="B39" i="5"/>
  <c r="G38" i="5"/>
  <c r="F38" i="5"/>
  <c r="E38" i="5"/>
  <c r="D38" i="5"/>
  <c r="C38" i="5"/>
  <c r="B38" i="5"/>
  <c r="G37" i="5"/>
  <c r="F37" i="5"/>
  <c r="E37" i="5"/>
  <c r="D37" i="5"/>
  <c r="C37" i="5"/>
  <c r="B37" i="5"/>
  <c r="G36" i="5"/>
  <c r="F36" i="5"/>
  <c r="E36" i="5"/>
  <c r="D36" i="5"/>
  <c r="C36" i="5"/>
  <c r="B36" i="5"/>
  <c r="G35" i="5"/>
  <c r="F35" i="5"/>
  <c r="E35" i="5"/>
  <c r="D35" i="5"/>
  <c r="C35" i="5"/>
  <c r="B35" i="5"/>
  <c r="G34" i="5"/>
  <c r="F34" i="5"/>
  <c r="E34" i="5"/>
  <c r="D34" i="5"/>
  <c r="C34" i="5"/>
  <c r="B34" i="5"/>
  <c r="G33" i="5"/>
  <c r="F33" i="5"/>
  <c r="E33" i="5"/>
  <c r="D33" i="5"/>
  <c r="C33" i="5"/>
  <c r="B33" i="5"/>
  <c r="G32" i="5"/>
  <c r="F32" i="5"/>
  <c r="E32" i="5"/>
  <c r="D32" i="5"/>
  <c r="C32" i="5"/>
  <c r="B32" i="5"/>
  <c r="G31" i="5"/>
  <c r="F31" i="5"/>
  <c r="E31" i="5"/>
  <c r="D31" i="5"/>
  <c r="C31" i="5"/>
  <c r="B31" i="5"/>
  <c r="G30" i="5"/>
  <c r="F30" i="5"/>
  <c r="E30" i="5"/>
  <c r="D30" i="5"/>
  <c r="C30" i="5"/>
  <c r="B30" i="5"/>
  <c r="G29" i="5"/>
  <c r="F29" i="5"/>
  <c r="E29" i="5"/>
  <c r="D29" i="5"/>
  <c r="C29" i="5"/>
  <c r="B29" i="5"/>
  <c r="G28" i="5"/>
  <c r="F28" i="5"/>
  <c r="E28" i="5"/>
  <c r="D28" i="5"/>
  <c r="C28" i="5"/>
  <c r="B28" i="5"/>
  <c r="G27" i="5"/>
  <c r="F27" i="5"/>
  <c r="E27" i="5"/>
  <c r="D27" i="5"/>
  <c r="C27" i="5"/>
  <c r="B27" i="5"/>
  <c r="G26" i="5"/>
  <c r="F26" i="5"/>
  <c r="E26" i="5"/>
  <c r="D26" i="5"/>
  <c r="C26" i="5"/>
  <c r="B26" i="5"/>
  <c r="G25" i="5"/>
  <c r="F25" i="5"/>
  <c r="E25" i="5"/>
  <c r="D25" i="5"/>
  <c r="C25" i="5"/>
  <c r="B25" i="5"/>
  <c r="G24" i="5"/>
  <c r="F24" i="5"/>
  <c r="E24" i="5"/>
  <c r="D24" i="5"/>
  <c r="C24" i="5"/>
  <c r="B24" i="5"/>
  <c r="AF26" i="8" l="1"/>
  <c r="AE26" i="8"/>
  <c r="AF25" i="2" l="1"/>
  <c r="AE25" i="2"/>
  <c r="AD26" i="8" l="1"/>
  <c r="AC26" i="8"/>
  <c r="AB26" i="8"/>
  <c r="AA26" i="8"/>
  <c r="Z26" i="8"/>
  <c r="X26" i="8"/>
  <c r="AA25" i="2"/>
  <c r="Y26" i="8" l="1"/>
  <c r="W26" i="8"/>
  <c r="V26" i="8"/>
  <c r="U26" i="8"/>
  <c r="T26" i="8"/>
  <c r="S26" i="8"/>
  <c r="R26" i="8"/>
  <c r="Q26" i="8"/>
  <c r="P26" i="8"/>
  <c r="O26" i="8"/>
  <c r="N26" i="8"/>
  <c r="AD25" i="2" l="1"/>
  <c r="AC25" i="2"/>
  <c r="AB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H25" i="2" l="1"/>
  <c r="M26" i="8" l="1"/>
  <c r="L26" i="8"/>
  <c r="K26" i="8"/>
  <c r="J26" i="8"/>
  <c r="I26" i="8"/>
  <c r="H26" i="8"/>
  <c r="G26" i="8"/>
  <c r="F26" i="8"/>
  <c r="E26" i="8"/>
  <c r="D26" i="8"/>
  <c r="C26" i="8"/>
  <c r="B26" i="8"/>
  <c r="M25" i="2" l="1"/>
  <c r="L25" i="2"/>
  <c r="K25" i="2"/>
  <c r="J25" i="2"/>
  <c r="I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<sst xmlns="http://schemas.openxmlformats.org/spreadsheetml/2006/main" count="291" uniqueCount="117">
  <si>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</si>
  <si>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</si>
  <si>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</si>
  <si>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</si>
  <si>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</si>
  <si>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</si>
  <si>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</si>
  <si>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</si>
  <si>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</si>
  <si>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</si>
  <si>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</si>
  <si>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</si>
  <si>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</si>
  <si>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</si>
  <si>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</si>
  <si>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</si>
  <si>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</si>
  <si>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</si>
  <si>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>VII</t>
  </si>
  <si>
    <t>IX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</si>
  <si>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</si>
  <si>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</si>
  <si>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</si>
  <si>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</si>
  <si>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</si>
  <si>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</si>
  <si>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</si>
  <si>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</si>
  <si>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</si>
  <si>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</si>
  <si>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</si>
  <si>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</si>
  <si>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</si>
  <si>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</si>
  <si>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</si>
  <si>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</si>
  <si>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</si>
  <si>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</si>
  <si>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</si>
  <si>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Belarus</t>
  </si>
  <si>
    <t>Ungaria</t>
  </si>
  <si>
    <t>Spania</t>
  </si>
  <si>
    <t>Bulgaria</t>
  </si>
  <si>
    <t xml:space="preserve">Regatul Unit </t>
  </si>
  <si>
    <t>%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</si>
  <si>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</si>
  <si>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</si>
  <si>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</si>
  <si>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</si>
  <si>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</si>
  <si>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</si>
  <si>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</si>
  <si>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</si>
  <si>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</si>
  <si>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</si>
  <si>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</si>
  <si>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</si>
  <si>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</si>
  <si>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</si>
  <si>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t>Grecia</t>
  </si>
  <si>
    <t>Federația Rusă</t>
  </si>
  <si>
    <t>Elveția</t>
  </si>
  <si>
    <t>Franța</t>
  </si>
  <si>
    <t>Cehia</t>
  </si>
  <si>
    <t>S.U.A.</t>
  </si>
  <si>
    <t>Coreea de Sud</t>
  </si>
  <si>
    <t>Cereale şi preparate pe bază de cereale</t>
  </si>
  <si>
    <t>Legume şi fructe</t>
  </si>
  <si>
    <t>Seminţe şi fructe oleaginoase</t>
  </si>
  <si>
    <t xml:space="preserve">Grăsimi şi uleiuri vegetale </t>
  </si>
  <si>
    <t>Produse medicinale şi farmaceutice</t>
  </si>
  <si>
    <t xml:space="preserve">Maşini şi aparate electrice </t>
  </si>
  <si>
    <t>Mobilă şi părţile ei</t>
  </si>
  <si>
    <t>Îmbrăcăminte şi accesorii</t>
  </si>
  <si>
    <t>Alte mărfuri</t>
  </si>
  <si>
    <t>Băuturi alcoolice şi nealcoolice</t>
  </si>
  <si>
    <t>India</t>
  </si>
  <si>
    <t>Gaz şi produse industriale obţinute din gaz</t>
  </si>
  <si>
    <t xml:space="preserve">Maşini şi aparate specializate </t>
  </si>
  <si>
    <t xml:space="preserve">Vehicule rutiere </t>
  </si>
  <si>
    <t>Liban</t>
  </si>
  <si>
    <t xml:space="preserve">Petrol şi produse petroliere </t>
  </si>
  <si>
    <t xml:space="preserve">Fire, tesături şi articole textile </t>
  </si>
  <si>
    <t xml:space="preserve">Maşini şi aparate industriale </t>
  </si>
  <si>
    <t>Portugalia</t>
  </si>
  <si>
    <t>Netherlands</t>
  </si>
  <si>
    <t>Vehicule rutiere</t>
  </si>
  <si>
    <t>Fier şi oţel</t>
  </si>
  <si>
    <t>Iran</t>
  </si>
  <si>
    <t>Japonia</t>
  </si>
  <si>
    <t>Articole prelucrate din metal</t>
  </si>
  <si>
    <t>Ianuarie-iulie 2022</t>
  </si>
  <si>
    <t>Ianuarie-iulie 2021</t>
  </si>
  <si>
    <t>Ianuarie-iulie 2020</t>
  </si>
  <si>
    <t>Ianuarie-iulie 2019</t>
  </si>
  <si>
    <t>Ianuarie-iulie 2018</t>
  </si>
  <si>
    <t>Ianuarie-iulie 2017</t>
  </si>
  <si>
    <t>Belgia</t>
  </si>
  <si>
    <t>Slovacia</t>
  </si>
  <si>
    <t>Articole din minerale nemetalice</t>
  </si>
  <si>
    <t>Ianuarie - iulie 2021</t>
  </si>
  <si>
    <t>Ianuarie - iulie 2022</t>
  </si>
  <si>
    <t>Regatul Unit</t>
  </si>
  <si>
    <r>
      <t xml:space="preserve">Figura 1. </t>
    </r>
    <r>
      <rPr>
        <b/>
        <i/>
        <sz val="9"/>
        <color theme="1"/>
        <rFont val="Arial"/>
        <family val="2"/>
      </rPr>
      <t>Evoluţia lunară a exporturilor de mărfuri,  în anii 2017-2022 (milioane dolari SUA)</t>
    </r>
  </si>
  <si>
    <r>
      <rPr>
        <b/>
        <sz val="9"/>
        <color rgb="FF000000"/>
        <rFont val="Arial"/>
        <family val="2"/>
      </rPr>
      <t>Figura 14.</t>
    </r>
    <r>
      <rPr>
        <b/>
        <i/>
        <sz val="9"/>
        <color indexed="8"/>
        <rFont val="Arial"/>
        <family val="2"/>
      </rPr>
      <t xml:space="preserve"> Tendinţele comerţului internaţional cu mărfuri, în ianuarie - iulie 2017-2022 (milioane dolari SUA)</t>
    </r>
  </si>
  <si>
    <r>
      <t xml:space="preserve">Figura 13. </t>
    </r>
    <r>
      <rPr>
        <b/>
        <i/>
        <sz val="9"/>
        <color indexed="8"/>
        <rFont val="Arial"/>
        <family val="2"/>
      </rPr>
      <t>Evoluţia lunară a balanţei comerciale, în anii 2017-2022 (milioane dolari SUA)</t>
    </r>
  </si>
  <si>
    <r>
      <t xml:space="preserve">Figura 12. </t>
    </r>
    <r>
      <rPr>
        <b/>
        <i/>
        <sz val="9"/>
        <color theme="1"/>
        <rFont val="Arial"/>
        <family val="2"/>
      </rPr>
      <t>Structura importurilor, pe grupe de mărfuri (%)</t>
    </r>
  </si>
  <si>
    <r>
      <t xml:space="preserve">Figura 11. </t>
    </r>
    <r>
      <rPr>
        <b/>
        <i/>
        <sz val="9"/>
        <color rgb="FF000000"/>
        <rFont val="Arial"/>
        <family val="2"/>
      </rPr>
      <t>Structura importurilor, în ianuarie - iulie 2017-2022, pe principalele ţări de origine a mărfurilor (%)</t>
    </r>
  </si>
  <si>
    <r>
      <t xml:space="preserve">    Figura 10. </t>
    </r>
    <r>
      <rPr>
        <b/>
        <i/>
        <sz val="9"/>
        <color theme="1"/>
        <rFont val="Arial"/>
        <family val="2"/>
      </rPr>
      <t>Structura importurilor de mărfuri, în ianuarie - iulie 2017-2022, pe grupe de ţări (%)</t>
    </r>
  </si>
  <si>
    <r>
      <t xml:space="preserve">Figura 9. </t>
    </r>
    <r>
      <rPr>
        <b/>
        <i/>
        <sz val="9"/>
        <color rgb="FF000000"/>
        <rFont val="Arial"/>
        <family val="2"/>
      </rPr>
      <t>Structura importurilor de mărfuri, în ianuarie - iulie 2017-2022, după modul de transport (%)</t>
    </r>
  </si>
  <si>
    <r>
      <t xml:space="preserve">Figura 8. </t>
    </r>
    <r>
      <rPr>
        <b/>
        <i/>
        <sz val="9"/>
        <color indexed="8"/>
        <rFont val="Arial"/>
        <family val="2"/>
      </rPr>
      <t>Evoluţia lunară a indicilor valorici ai importurilor de mărfuri, în anii 2020-2022 (%)</t>
    </r>
  </si>
  <si>
    <r>
      <rPr>
        <b/>
        <sz val="9"/>
        <color indexed="8"/>
        <rFont val="Arial"/>
        <family val="2"/>
      </rPr>
      <t>Figura 7.</t>
    </r>
    <r>
      <rPr>
        <b/>
        <i/>
        <sz val="9"/>
        <color indexed="8"/>
        <rFont val="Arial"/>
        <family val="2"/>
      </rPr>
      <t xml:space="preserve"> Evoluţia lunară a importurilor de mărfuri, în anii 2017-2022 (milioane dolari SUA)</t>
    </r>
  </si>
  <si>
    <r>
      <rPr>
        <b/>
        <sz val="9"/>
        <color theme="1"/>
        <rFont val="Arial"/>
        <family val="2"/>
      </rPr>
      <t xml:space="preserve">Figura 6. </t>
    </r>
    <r>
      <rPr>
        <b/>
        <i/>
        <sz val="9"/>
        <color theme="1"/>
        <rFont val="Arial"/>
        <family val="2"/>
      </rPr>
      <t>Structura exporturilor, pe grupe de mărfuri (%)</t>
    </r>
  </si>
  <si>
    <r>
      <rPr>
        <b/>
        <sz val="9"/>
        <color rgb="FF000000"/>
        <rFont val="Arial"/>
        <family val="2"/>
      </rPr>
      <t>Figura 5.</t>
    </r>
    <r>
      <rPr>
        <b/>
        <i/>
        <sz val="9"/>
        <color indexed="8"/>
        <rFont val="Arial"/>
        <family val="2"/>
      </rPr>
      <t xml:space="preserve"> Structura exporturilor, în ianuarie - iulie 2017-2022, pe principalele ţări de destinaţie a mărfurilor (%)</t>
    </r>
  </si>
  <si>
    <r>
      <rPr>
        <b/>
        <sz val="9"/>
        <color rgb="FF000000"/>
        <rFont val="Arial"/>
        <family val="2"/>
      </rPr>
      <t>Figura 4.</t>
    </r>
    <r>
      <rPr>
        <b/>
        <i/>
        <sz val="9"/>
        <color indexed="8"/>
        <rFont val="Arial"/>
        <family val="2"/>
      </rPr>
      <t xml:space="preserve"> Structura exporturilor de mărfuri, în ianuarie - iulie 2017-2022, pe grupe de ţări (%)</t>
    </r>
  </si>
  <si>
    <r>
      <rPr>
        <b/>
        <sz val="9"/>
        <color rgb="FF000000"/>
        <rFont val="Arial"/>
        <family val="2"/>
      </rPr>
      <t>Figura 3.</t>
    </r>
    <r>
      <rPr>
        <b/>
        <i/>
        <sz val="9"/>
        <color indexed="8"/>
        <rFont val="Arial"/>
        <family val="2"/>
      </rPr>
      <t xml:space="preserve"> Structura exporturilor de mărfuri, în ianuarie - iulie 2017-2022, după modul de transport (%)</t>
    </r>
  </si>
  <si>
    <r>
      <t xml:space="preserve">Figura 2. </t>
    </r>
    <r>
      <rPr>
        <b/>
        <i/>
        <sz val="9"/>
        <color indexed="8"/>
        <rFont val="Arial"/>
        <family val="2"/>
      </rPr>
      <t>Evoluţia lunară a indicilor valorici ai exporturilor de mărfuri, în anii 2020-2022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</si>
</sst>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2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11"/>
      <color rgb="FF008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theme="5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/>
  </cellStyleXfs>
  <cellXfs count="19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0" fontId="6" fillId="0" borderId="5" xfId="0" applyFont="1" applyBorder="1" applyAlignment="1">
      <alignment horizontal="left" wrapText="1" inden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164" fontId="4" fillId="0" borderId="0" xfId="0" applyNumberFormat="1" applyFont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justify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0" fontId="3" fillId="0" borderId="3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Border="1" applyAlignment="1">
      <alignment horizontal="center" vertical="top"/>
    </xf>
    <xf numFmtId="164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top"/>
    </xf>
    <xf numFmtId="164" fontId="14" fillId="0" borderId="0" xfId="0" applyNumberFormat="1" applyFont="1" applyFill="1" applyBorder="1" applyAlignment="1" applyProtection="1">
      <alignment horizontal="center" vertical="top"/>
    </xf>
    <xf numFmtId="165" fontId="14" fillId="0" borderId="0" xfId="1" applyNumberFormat="1" applyFont="1" applyFill="1" applyAlignment="1" applyProtection="1">
      <alignment horizontal="center" vertical="top"/>
    </xf>
    <xf numFmtId="164" fontId="15" fillId="0" borderId="0" xfId="0" applyNumberFormat="1" applyFont="1" applyFill="1" applyBorder="1" applyAlignment="1" applyProtection="1">
      <alignment horizontal="center" vertical="top"/>
    </xf>
    <xf numFmtId="164" fontId="12" fillId="0" borderId="0" xfId="0" applyNumberFormat="1" applyFont="1" applyFill="1" applyBorder="1" applyAlignment="1" applyProtection="1">
      <alignment horizontal="center" vertical="top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 vertical="center"/>
    </xf>
    <xf numFmtId="165" fontId="12" fillId="0" borderId="0" xfId="0" applyNumberFormat="1" applyFont="1" applyFill="1" applyAlignment="1" applyProtection="1">
      <alignment horizontal="center" vertical="center"/>
    </xf>
    <xf numFmtId="164" fontId="12" fillId="0" borderId="0" xfId="0" applyNumberFormat="1" applyFont="1" applyFill="1" applyBorder="1" applyAlignment="1" applyProtection="1">
      <alignment horizontal="center"/>
    </xf>
    <xf numFmtId="0" fontId="1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6" fontId="17" fillId="0" borderId="0" xfId="0" applyNumberFormat="1" applyFont="1" applyFill="1" applyAlignment="1" applyProtection="1">
      <alignment horizontal="center" vertical="top"/>
    </xf>
    <xf numFmtId="166" fontId="17" fillId="0" borderId="0" xfId="0" applyNumberFormat="1" applyFont="1" applyFill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18" fillId="0" borderId="0" xfId="0" applyNumberFormat="1" applyFont="1" applyFill="1" applyAlignment="1" applyProtection="1">
      <alignment horizontal="center" vertical="center"/>
    </xf>
    <xf numFmtId="166" fontId="18" fillId="0" borderId="0" xfId="0" applyNumberFormat="1" applyFont="1" applyFill="1" applyAlignment="1" applyProtection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165" fontId="4" fillId="0" borderId="0" xfId="0" applyNumberFormat="1" applyFont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2" xfId="0" applyNumberFormat="1" applyFont="1" applyFill="1" applyBorder="1" applyAlignment="1" applyProtection="1">
      <alignment horizontal="center" wrapText="1"/>
    </xf>
    <xf numFmtId="165" fontId="2" fillId="0" borderId="8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top"/>
    </xf>
    <xf numFmtId="165" fontId="4" fillId="0" borderId="4" xfId="0" applyNumberFormat="1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65" fontId="4" fillId="0" borderId="5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center" vertical="top"/>
    </xf>
    <xf numFmtId="165" fontId="4" fillId="0" borderId="6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165" fontId="2" fillId="0" borderId="0" xfId="0" applyNumberFormat="1" applyFont="1" applyAlignment="1">
      <alignment horizontal="center" vertical="center"/>
    </xf>
    <xf numFmtId="38" fontId="6" fillId="0" borderId="2" xfId="0" applyNumberFormat="1" applyFont="1" applyBorder="1" applyAlignment="1">
      <alignment horizontal="left" wrapText="1" indent="1"/>
    </xf>
    <xf numFmtId="38" fontId="6" fillId="0" borderId="0" xfId="0" applyNumberFormat="1" applyFont="1" applyBorder="1" applyAlignment="1">
      <alignment horizontal="left" wrapText="1" indent="1"/>
    </xf>
    <xf numFmtId="38" fontId="6" fillId="0" borderId="3" xfId="0" applyNumberFormat="1" applyFont="1" applyBorder="1" applyAlignment="1">
      <alignment horizontal="left" wrapText="1" indent="1"/>
    </xf>
    <xf numFmtId="38" fontId="4" fillId="0" borderId="4" xfId="0" applyNumberFormat="1" applyFont="1" applyBorder="1" applyAlignment="1">
      <alignment horizontal="left" wrapText="1" indent="1"/>
    </xf>
    <xf numFmtId="38" fontId="4" fillId="0" borderId="5" xfId="0" applyNumberFormat="1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1"/>
    </xf>
    <xf numFmtId="38" fontId="4" fillId="0" borderId="6" xfId="0" applyNumberFormat="1" applyFont="1" applyBorder="1" applyAlignment="1">
      <alignment horizontal="left" wrapText="1" indent="1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8" fontId="4" fillId="0" borderId="12" xfId="0" applyNumberFormat="1" applyFont="1" applyBorder="1" applyAlignment="1">
      <alignment horizontal="left" wrapText="1" indent="1"/>
    </xf>
    <xf numFmtId="38" fontId="4" fillId="0" borderId="13" xfId="0" applyNumberFormat="1" applyFont="1" applyBorder="1" applyAlignment="1">
      <alignment horizontal="left" wrapText="1" indent="1"/>
    </xf>
    <xf numFmtId="38" fontId="4" fillId="0" borderId="8" xfId="0" applyNumberFormat="1" applyFont="1" applyBorder="1" applyAlignment="1">
      <alignment horizontal="left" wrapText="1" indent="1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left" wrapText="1" indent="1"/>
    </xf>
    <xf numFmtId="38" fontId="4" fillId="0" borderId="11" xfId="0" applyNumberFormat="1" applyFont="1" applyBorder="1" applyAlignment="1">
      <alignment horizontal="left" wrapText="1" indent="1"/>
    </xf>
    <xf numFmtId="38" fontId="4" fillId="0" borderId="9" xfId="0" applyNumberFormat="1" applyFont="1" applyBorder="1" applyAlignment="1">
      <alignment horizontal="left" wrapText="1" indent="1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/>
    <xf numFmtId="0" fontId="22" fillId="0" borderId="0" xfId="0" applyFont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charset val="204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1'!$B$21:$B$26</c:f>
              <c:numCache>
                <c:formatCode>#,##0.0</c:formatCode>
                <c:ptCount val="6"/>
                <c:pt idx="0">
                  <c:v>139.5</c:v>
                </c:pt>
                <c:pt idx="1">
                  <c:v>220.3</c:v>
                </c:pt>
                <c:pt idx="2">
                  <c:v>234.3</c:v>
                </c:pt>
                <c:pt idx="3">
                  <c:v>219.5</c:v>
                </c:pt>
                <c:pt idx="4">
                  <c:v>198.4</c:v>
                </c:pt>
                <c:pt idx="5">
                  <c:v>330.4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1'!$C$21:$C$26</c:f>
              <c:numCache>
                <c:formatCode>#,##0.0</c:formatCode>
                <c:ptCount val="6"/>
                <c:pt idx="0">
                  <c:v>176.6</c:v>
                </c:pt>
                <c:pt idx="1">
                  <c:v>215.5</c:v>
                </c:pt>
                <c:pt idx="2">
                  <c:v>241.4</c:v>
                </c:pt>
                <c:pt idx="3">
                  <c:v>245.3</c:v>
                </c:pt>
                <c:pt idx="4">
                  <c:v>227</c:v>
                </c:pt>
                <c:pt idx="5">
                  <c:v>336.5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1'!$D$21:$D$26</c:f>
              <c:numCache>
                <c:formatCode>#,##0.0</c:formatCode>
                <c:ptCount val="6"/>
                <c:pt idx="0">
                  <c:v>212.1</c:v>
                </c:pt>
                <c:pt idx="1">
                  <c:v>242.1</c:v>
                </c:pt>
                <c:pt idx="2">
                  <c:v>257.2</c:v>
                </c:pt>
                <c:pt idx="3">
                  <c:v>210.2</c:v>
                </c:pt>
                <c:pt idx="4">
                  <c:v>259.3</c:v>
                </c:pt>
                <c:pt idx="5">
                  <c:v>395.8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1'!$E$21:$E$26</c:f>
              <c:numCache>
                <c:formatCode>#,##0.0</c:formatCode>
                <c:ptCount val="6"/>
                <c:pt idx="0">
                  <c:v>154.19999999999999</c:v>
                </c:pt>
                <c:pt idx="1">
                  <c:v>199.7</c:v>
                </c:pt>
                <c:pt idx="2">
                  <c:v>215.6</c:v>
                </c:pt>
                <c:pt idx="3">
                  <c:v>149.80000000000001</c:v>
                </c:pt>
                <c:pt idx="4">
                  <c:v>218.2</c:v>
                </c:pt>
                <c:pt idx="5">
                  <c:v>396.3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1'!$F$21:$F$26</c:f>
              <c:numCache>
                <c:formatCode>#,##0.0</c:formatCode>
                <c:ptCount val="6"/>
                <c:pt idx="0">
                  <c:v>174.7</c:v>
                </c:pt>
                <c:pt idx="1">
                  <c:v>223</c:v>
                </c:pt>
                <c:pt idx="2">
                  <c:v>210.5</c:v>
                </c:pt>
                <c:pt idx="3">
                  <c:v>155.69999999999999</c:v>
                </c:pt>
                <c:pt idx="4">
                  <c:v>201.7</c:v>
                </c:pt>
                <c:pt idx="5">
                  <c:v>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1'!$G$21:$G$26</c:f>
              <c:numCache>
                <c:formatCode>#,##0.0</c:formatCode>
                <c:ptCount val="6"/>
                <c:pt idx="0">
                  <c:v>171.1</c:v>
                </c:pt>
                <c:pt idx="1">
                  <c:v>214.1</c:v>
                </c:pt>
                <c:pt idx="2">
                  <c:v>202.2</c:v>
                </c:pt>
                <c:pt idx="3">
                  <c:v>189.6</c:v>
                </c:pt>
                <c:pt idx="4">
                  <c:v>226.8</c:v>
                </c:pt>
                <c:pt idx="5">
                  <c:v>416.4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1'!$H$21:$H$26</c:f>
              <c:numCache>
                <c:formatCode>#,##0.0</c:formatCode>
                <c:ptCount val="6"/>
                <c:pt idx="0">
                  <c:v>191.6</c:v>
                </c:pt>
                <c:pt idx="1">
                  <c:v>218.8</c:v>
                </c:pt>
                <c:pt idx="2">
                  <c:v>220.2</c:v>
                </c:pt>
                <c:pt idx="3">
                  <c:v>191.1</c:v>
                </c:pt>
                <c:pt idx="4">
                  <c:v>240.7</c:v>
                </c:pt>
                <c:pt idx="5">
                  <c:v>338.3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1'!$I$21:$I$26</c:f>
              <c:numCache>
                <c:formatCode>#,##0.0</c:formatCode>
                <c:ptCount val="6"/>
                <c:pt idx="0">
                  <c:v>207.9</c:v>
                </c:pt>
                <c:pt idx="1">
                  <c:v>218.6</c:v>
                </c:pt>
                <c:pt idx="2">
                  <c:v>205.8</c:v>
                </c:pt>
                <c:pt idx="3">
                  <c:v>163.9</c:v>
                </c:pt>
                <c:pt idx="4">
                  <c:v>236.3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1'!$J$21:$J$26</c:f>
              <c:numCache>
                <c:formatCode>#,##0.0</c:formatCode>
                <c:ptCount val="6"/>
                <c:pt idx="0">
                  <c:v>223.9</c:v>
                </c:pt>
                <c:pt idx="1">
                  <c:v>207.3</c:v>
                </c:pt>
                <c:pt idx="2">
                  <c:v>238.8</c:v>
                </c:pt>
                <c:pt idx="3">
                  <c:v>212.3</c:v>
                </c:pt>
                <c:pt idx="4">
                  <c:v>294.89999999999998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1'!$K$21:$K$26</c:f>
              <c:numCache>
                <c:formatCode>#,##0.0</c:formatCode>
                <c:ptCount val="6"/>
                <c:pt idx="0">
                  <c:v>268.2</c:v>
                </c:pt>
                <c:pt idx="1">
                  <c:v>259</c:v>
                </c:pt>
                <c:pt idx="2">
                  <c:v>268.3</c:v>
                </c:pt>
                <c:pt idx="3">
                  <c:v>249.4</c:v>
                </c:pt>
                <c:pt idx="4">
                  <c:v>352.2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1'!$L$21:$L$26</c:f>
              <c:numCache>
                <c:formatCode>#,##0.0</c:formatCode>
                <c:ptCount val="6"/>
                <c:pt idx="0">
                  <c:v>272.10000000000002</c:v>
                </c:pt>
                <c:pt idx="1">
                  <c:v>268.89999999999998</c:v>
                </c:pt>
                <c:pt idx="2">
                  <c:v>266.60000000000002</c:v>
                </c:pt>
                <c:pt idx="3">
                  <c:v>262</c:v>
                </c:pt>
                <c:pt idx="4">
                  <c:v>363.9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1'!$M$21:$M$26</c:f>
              <c:numCache>
                <c:formatCode>#,##0.0</c:formatCode>
                <c:ptCount val="6"/>
                <c:pt idx="0">
                  <c:v>233.1</c:v>
                </c:pt>
                <c:pt idx="1">
                  <c:v>218.8</c:v>
                </c:pt>
                <c:pt idx="2">
                  <c:v>218.3</c:v>
                </c:pt>
                <c:pt idx="3">
                  <c:v>218.3</c:v>
                </c:pt>
                <c:pt idx="4">
                  <c:v>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4834544"/>
        <c:axId val="244835104"/>
      </c:barChart>
      <c:catAx>
        <c:axId val="2448345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5104"/>
        <c:crosses val="autoZero"/>
        <c:auto val="0"/>
        <c:lblAlgn val="ctr"/>
        <c:lblOffset val="100"/>
        <c:tickLblSkip val="1"/>
        <c:noMultiLvlLbl val="0"/>
      </c:catAx>
      <c:valAx>
        <c:axId val="244835104"/>
        <c:scaling>
          <c:orientation val="minMax"/>
          <c:max val="45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454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Ianuarie-iulie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0.0</c:formatCode>
                <c:ptCount val="7"/>
                <c:pt idx="0">
                  <c:v>7.5</c:v>
                </c:pt>
                <c:pt idx="1">
                  <c:v>4.9000000000000004</c:v>
                </c:pt>
                <c:pt idx="2">
                  <c:v>76.400000000000006</c:v>
                </c:pt>
                <c:pt idx="3">
                  <c:v>1.6</c:v>
                </c:pt>
                <c:pt idx="4">
                  <c:v>0.1</c:v>
                </c:pt>
                <c:pt idx="5">
                  <c:v>9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Ianuarie-iulie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0.0</c:formatCode>
                <c:ptCount val="7"/>
                <c:pt idx="0">
                  <c:v>2.2999999999999998</c:v>
                </c:pt>
                <c:pt idx="1">
                  <c:v>4.7</c:v>
                </c:pt>
                <c:pt idx="2">
                  <c:v>86.5</c:v>
                </c:pt>
                <c:pt idx="3">
                  <c:v>2.4</c:v>
                </c:pt>
                <c:pt idx="4">
                  <c:v>0.2</c:v>
                </c:pt>
                <c:pt idx="5">
                  <c:v>3.3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Ianuarie-iulie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0.0</c:formatCode>
                <c:ptCount val="7"/>
                <c:pt idx="0">
                  <c:v>1.6</c:v>
                </c:pt>
                <c:pt idx="1">
                  <c:v>5.5</c:v>
                </c:pt>
                <c:pt idx="2">
                  <c:v>85.9</c:v>
                </c:pt>
                <c:pt idx="3">
                  <c:v>2.2000000000000002</c:v>
                </c:pt>
                <c:pt idx="4">
                  <c:v>0.3</c:v>
                </c:pt>
                <c:pt idx="5">
                  <c:v>4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Ianuarie-iulie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0.0</c:formatCode>
                <c:ptCount val="7"/>
                <c:pt idx="0">
                  <c:v>2</c:v>
                </c:pt>
                <c:pt idx="1">
                  <c:v>4.7</c:v>
                </c:pt>
                <c:pt idx="2">
                  <c:v>84.4</c:v>
                </c:pt>
                <c:pt idx="3">
                  <c:v>2.6</c:v>
                </c:pt>
                <c:pt idx="4">
                  <c:v>0.2</c:v>
                </c:pt>
                <c:pt idx="5">
                  <c:v>5.4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Ianuarie-iulie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0.0</c:formatCode>
                <c:ptCount val="7"/>
                <c:pt idx="0">
                  <c:v>2.9</c:v>
                </c:pt>
                <c:pt idx="1">
                  <c:v>5.4</c:v>
                </c:pt>
                <c:pt idx="2">
                  <c:v>83.4</c:v>
                </c:pt>
                <c:pt idx="3">
                  <c:v>2.5</c:v>
                </c:pt>
                <c:pt idx="4">
                  <c:v>0.3</c:v>
                </c:pt>
                <c:pt idx="5">
                  <c:v>4.8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Ianuarie-iulie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0.0</c:formatCode>
                <c:ptCount val="7"/>
                <c:pt idx="0">
                  <c:v>2.5</c:v>
                </c:pt>
                <c:pt idx="1">
                  <c:v>5.5</c:v>
                </c:pt>
                <c:pt idx="2">
                  <c:v>83.3</c:v>
                </c:pt>
                <c:pt idx="3">
                  <c:v>2.7</c:v>
                </c:pt>
                <c:pt idx="4">
                  <c:v>0.3</c:v>
                </c:pt>
                <c:pt idx="5">
                  <c:v>5.0999999999999996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8075968"/>
        <c:axId val="248076528"/>
      </c:barChart>
      <c:catAx>
        <c:axId val="24807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6528"/>
        <c:crossesAt val="0"/>
        <c:auto val="1"/>
        <c:lblAlgn val="ctr"/>
        <c:lblOffset val="100"/>
        <c:noMultiLvlLbl val="0"/>
      </c:catAx>
      <c:valAx>
        <c:axId val="2480765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07596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7914477336076257"/>
          <c:y val="0.91065886860605449"/>
          <c:w val="0.82029692916493668"/>
          <c:h val="8.7722780633128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Ianuarie-iulie 2017</c:v>
                </c:pt>
                <c:pt idx="1">
                  <c:v>Ianuarie-iulie 2018</c:v>
                </c:pt>
                <c:pt idx="2">
                  <c:v>Ianuarie-iulie 2019</c:v>
                </c:pt>
                <c:pt idx="3">
                  <c:v>Ianuarie-iulie 2020</c:v>
                </c:pt>
                <c:pt idx="4">
                  <c:v>Ianuarie-iulie 2021</c:v>
                </c:pt>
                <c:pt idx="5">
                  <c:v>Ianuarie-iulie 2022</c:v>
                </c:pt>
              </c:strCache>
            </c:strRef>
          </c:cat>
          <c:val>
            <c:numRef>
              <c:f>'Figura 10'!$B$23:$G$23</c:f>
              <c:numCache>
                <c:formatCode>0.0</c:formatCode>
                <c:ptCount val="6"/>
                <c:pt idx="0" formatCode="General">
                  <c:v>48.4</c:v>
                </c:pt>
                <c:pt idx="1">
                  <c:v>50</c:v>
                </c:pt>
                <c:pt idx="2" formatCode="General">
                  <c:v>49.2</c:v>
                </c:pt>
                <c:pt idx="3" formatCode="General">
                  <c:v>45.9</c:v>
                </c:pt>
                <c:pt idx="4" formatCode="General">
                  <c:v>47.2</c:v>
                </c:pt>
                <c:pt idx="5" formatCode="General">
                  <c:v>46.2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Ianuarie-iulie 2017</c:v>
                </c:pt>
                <c:pt idx="1">
                  <c:v>Ianuarie-iulie 2018</c:v>
                </c:pt>
                <c:pt idx="2">
                  <c:v>Ianuarie-iulie 2019</c:v>
                </c:pt>
                <c:pt idx="3">
                  <c:v>Ianuarie-iulie 2020</c:v>
                </c:pt>
                <c:pt idx="4">
                  <c:v>Ianuarie-iulie 2021</c:v>
                </c:pt>
                <c:pt idx="5">
                  <c:v>Ianuarie-iulie 2022</c:v>
                </c:pt>
              </c:strCache>
            </c:strRef>
          </c:cat>
          <c:val>
            <c:numRef>
              <c:f>'Figura 10'!$B$24:$G$24</c:f>
              <c:numCache>
                <c:formatCode>0.0</c:formatCode>
                <c:ptCount val="6"/>
                <c:pt idx="0" formatCode="General">
                  <c:v>24.7</c:v>
                </c:pt>
                <c:pt idx="1">
                  <c:v>23.6</c:v>
                </c:pt>
                <c:pt idx="2" formatCode="General">
                  <c:v>24.5</c:v>
                </c:pt>
                <c:pt idx="3" formatCode="General">
                  <c:v>25.4</c:v>
                </c:pt>
                <c:pt idx="4" formatCode="General">
                  <c:v>23.1</c:v>
                </c:pt>
                <c:pt idx="5" formatCode="General">
                  <c:v>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Ianuarie-iulie 2017</c:v>
                </c:pt>
                <c:pt idx="1">
                  <c:v>Ianuarie-iulie 2018</c:v>
                </c:pt>
                <c:pt idx="2">
                  <c:v>Ianuarie-iulie 2019</c:v>
                </c:pt>
                <c:pt idx="3">
                  <c:v>Ianuarie-iulie 2020</c:v>
                </c:pt>
                <c:pt idx="4">
                  <c:v>Ianuarie-iulie 2021</c:v>
                </c:pt>
                <c:pt idx="5">
                  <c:v>Ianuarie-iulie 2022</c:v>
                </c:pt>
              </c:strCache>
            </c:strRef>
          </c:cat>
          <c:val>
            <c:numRef>
              <c:f>'Figura 10'!$B$25:$G$25</c:f>
              <c:numCache>
                <c:formatCode>0.0</c:formatCode>
                <c:ptCount val="6"/>
                <c:pt idx="0" formatCode="General">
                  <c:v>26.9</c:v>
                </c:pt>
                <c:pt idx="1">
                  <c:v>26.4</c:v>
                </c:pt>
                <c:pt idx="2" formatCode="General">
                  <c:v>26.3</c:v>
                </c:pt>
                <c:pt idx="3" formatCode="General">
                  <c:v>28.7</c:v>
                </c:pt>
                <c:pt idx="4" formatCode="General">
                  <c:v>29.7</c:v>
                </c:pt>
                <c:pt idx="5" formatCode="General">
                  <c:v>27.9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8552080"/>
        <c:axId val="248552640"/>
      </c:barChart>
      <c:catAx>
        <c:axId val="24855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640"/>
        <c:crosses val="autoZero"/>
        <c:auto val="0"/>
        <c:lblAlgn val="ctr"/>
        <c:lblOffset val="100"/>
        <c:noMultiLvlLbl val="0"/>
      </c:catAx>
      <c:valAx>
        <c:axId val="248552640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552080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3.7397860259691489E-2"/>
          <c:y val="0.88875314479330003"/>
          <c:w val="0.93105796047794498"/>
          <c:h val="8.13711001325983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1.6874330448623957E-2"/>
          <c:w val="0.91068898658274244"/>
          <c:h val="0.6641597778117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Ianuarie-iulie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11'!$B$25:$B$48</c:f>
              <c:numCache>
                <c:formatCode>#,##0.0</c:formatCode>
                <c:ptCount val="24"/>
                <c:pt idx="0">
                  <c:v>13.964845739983952</c:v>
                </c:pt>
                <c:pt idx="1">
                  <c:v>11.553836849794893</c:v>
                </c:pt>
                <c:pt idx="2">
                  <c:v>10.065046230274847</c:v>
                </c:pt>
                <c:pt idx="3">
                  <c:v>10.510248895676822</c:v>
                </c:pt>
                <c:pt idx="4">
                  <c:v>6.4826587146873731</c:v>
                </c:pt>
                <c:pt idx="5">
                  <c:v>7.9981415172507315</c:v>
                </c:pt>
                <c:pt idx="6">
                  <c:v>7.386844241677208</c:v>
                </c:pt>
                <c:pt idx="7">
                  <c:v>3.2533980754008796</c:v>
                </c:pt>
                <c:pt idx="8">
                  <c:v>0.61245737055141469</c:v>
                </c:pt>
                <c:pt idx="9">
                  <c:v>2.5988410509362789</c:v>
                </c:pt>
                <c:pt idx="10">
                  <c:v>2.0667453067318453</c:v>
                </c:pt>
                <c:pt idx="11">
                  <c:v>1.7619309720552652</c:v>
                </c:pt>
                <c:pt idx="12">
                  <c:v>1.3928065877643427</c:v>
                </c:pt>
                <c:pt idx="13">
                  <c:v>1.5086874033110727</c:v>
                </c:pt>
                <c:pt idx="14">
                  <c:v>2.4400884841435948</c:v>
                </c:pt>
                <c:pt idx="15">
                  <c:v>1.3051806615398418</c:v>
                </c:pt>
                <c:pt idx="16">
                  <c:v>1.0079526701696813</c:v>
                </c:pt>
                <c:pt idx="17">
                  <c:v>1.6801618743253546</c:v>
                </c:pt>
                <c:pt idx="18">
                  <c:v>1.2817047887077277</c:v>
                </c:pt>
                <c:pt idx="19">
                  <c:v>0.71168970175601087</c:v>
                </c:pt>
                <c:pt idx="20">
                  <c:v>0.5055214563394731</c:v>
                </c:pt>
                <c:pt idx="21">
                  <c:v>0.53523625795374452</c:v>
                </c:pt>
                <c:pt idx="22">
                  <c:v>0.8242379851259809</c:v>
                </c:pt>
                <c:pt idx="23">
                  <c:v>0.47968252804288097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Ianuarie-iulie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11'!$C$25:$C$48</c:f>
              <c:numCache>
                <c:formatCode>#,##0.0</c:formatCode>
                <c:ptCount val="24"/>
                <c:pt idx="0">
                  <c:v>14.287121650067162</c:v>
                </c:pt>
                <c:pt idx="1">
                  <c:v>11.640655162538781</c:v>
                </c:pt>
                <c:pt idx="2">
                  <c:v>10.415899500067567</c:v>
                </c:pt>
                <c:pt idx="3">
                  <c:v>9.5983531645156521</c:v>
                </c:pt>
                <c:pt idx="4">
                  <c:v>5.8237058917391007</c:v>
                </c:pt>
                <c:pt idx="5">
                  <c:v>8.5471728443421568</c:v>
                </c:pt>
                <c:pt idx="6">
                  <c:v>7.3589005141033406</c:v>
                </c:pt>
                <c:pt idx="7">
                  <c:v>3.5305100357122878</c:v>
                </c:pt>
                <c:pt idx="8">
                  <c:v>0.52731519152465589</c:v>
                </c:pt>
                <c:pt idx="9">
                  <c:v>2.703385969764545</c:v>
                </c:pt>
                <c:pt idx="10">
                  <c:v>2.1507409514307589</c:v>
                </c:pt>
                <c:pt idx="11">
                  <c:v>1.3329679420312015</c:v>
                </c:pt>
                <c:pt idx="12">
                  <c:v>1.4816942963468016</c:v>
                </c:pt>
                <c:pt idx="13">
                  <c:v>1.1692743013370692</c:v>
                </c:pt>
                <c:pt idx="14">
                  <c:v>1.9254824276236537</c:v>
                </c:pt>
                <c:pt idx="15">
                  <c:v>1.4282645424430909</c:v>
                </c:pt>
                <c:pt idx="16">
                  <c:v>1.0861542886823092</c:v>
                </c:pt>
                <c:pt idx="17">
                  <c:v>1.9901003414393781</c:v>
                </c:pt>
                <c:pt idx="18">
                  <c:v>1.0624611311753636</c:v>
                </c:pt>
                <c:pt idx="19">
                  <c:v>0.99827001499227519</c:v>
                </c:pt>
                <c:pt idx="20">
                  <c:v>0.44796655059210583</c:v>
                </c:pt>
                <c:pt idx="21">
                  <c:v>0.64187107315689607</c:v>
                </c:pt>
                <c:pt idx="22">
                  <c:v>0.88554290486498444</c:v>
                </c:pt>
                <c:pt idx="23">
                  <c:v>0.5320667352508831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Ianuarie-iulie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11'!$D$25:$D$48</c:f>
              <c:numCache>
                <c:formatCode>#,##0.0</c:formatCode>
                <c:ptCount val="24"/>
                <c:pt idx="0">
                  <c:v>14.295966603459323</c:v>
                </c:pt>
                <c:pt idx="1">
                  <c:v>12.008515794089734</c:v>
                </c:pt>
                <c:pt idx="2">
                  <c:v>9.9646774785183325</c:v>
                </c:pt>
                <c:pt idx="3">
                  <c:v>9.8040546275903715</c:v>
                </c:pt>
                <c:pt idx="4">
                  <c:v>6.4301923613616614</c:v>
                </c:pt>
                <c:pt idx="5">
                  <c:v>8.4711032146935157</c:v>
                </c:pt>
                <c:pt idx="6">
                  <c:v>7.2663232333062044</c:v>
                </c:pt>
                <c:pt idx="7">
                  <c:v>3.3356883815199292</c:v>
                </c:pt>
                <c:pt idx="8">
                  <c:v>0.63222503953720344</c:v>
                </c:pt>
                <c:pt idx="9">
                  <c:v>2.6590652311560858</c:v>
                </c:pt>
                <c:pt idx="10">
                  <c:v>2.013943739097857</c:v>
                </c:pt>
                <c:pt idx="11">
                  <c:v>1.2532500226581258</c:v>
                </c:pt>
                <c:pt idx="12">
                  <c:v>1.9159882227839338</c:v>
                </c:pt>
                <c:pt idx="13">
                  <c:v>0.84695383961151327</c:v>
                </c:pt>
                <c:pt idx="14">
                  <c:v>2.2524353467636051</c:v>
                </c:pt>
                <c:pt idx="15">
                  <c:v>1.4771322979981414</c:v>
                </c:pt>
                <c:pt idx="16">
                  <c:v>1.0535487876004399</c:v>
                </c:pt>
                <c:pt idx="17">
                  <c:v>1.6985994515721965</c:v>
                </c:pt>
                <c:pt idx="18">
                  <c:v>1.0081984605517884</c:v>
                </c:pt>
                <c:pt idx="19">
                  <c:v>0.81948282872594835</c:v>
                </c:pt>
                <c:pt idx="20">
                  <c:v>0.41310396020151735</c:v>
                </c:pt>
                <c:pt idx="21">
                  <c:v>0.62561399977686871</c:v>
                </c:pt>
                <c:pt idx="22">
                  <c:v>0.76948017011328451</c:v>
                </c:pt>
                <c:pt idx="23">
                  <c:v>0.59437410721032746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Ianuarie-iulie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11'!$E$25:$E$48</c:f>
              <c:numCache>
                <c:formatCode>#,##0.0</c:formatCode>
                <c:ptCount val="24"/>
                <c:pt idx="0">
                  <c:v>12.081443319221611</c:v>
                </c:pt>
                <c:pt idx="1">
                  <c:v>11.686773502185341</c:v>
                </c:pt>
                <c:pt idx="2">
                  <c:v>11.111011012434986</c:v>
                </c:pt>
                <c:pt idx="3">
                  <c:v>9.5635838613022539</c:v>
                </c:pt>
                <c:pt idx="4">
                  <c:v>6.7543212548230924</c:v>
                </c:pt>
                <c:pt idx="5">
                  <c:v>8.1911151157748776</c:v>
                </c:pt>
                <c:pt idx="6">
                  <c:v>6.6697761366239003</c:v>
                </c:pt>
                <c:pt idx="7">
                  <c:v>3.8664111856693086</c:v>
                </c:pt>
                <c:pt idx="8">
                  <c:v>0.79622858698140975</c:v>
                </c:pt>
                <c:pt idx="9">
                  <c:v>2.5533319629893128</c:v>
                </c:pt>
                <c:pt idx="10">
                  <c:v>1.9682359830556491</c:v>
                </c:pt>
                <c:pt idx="11">
                  <c:v>1.3308349366412879</c:v>
                </c:pt>
                <c:pt idx="12">
                  <c:v>1.626596817415646</c:v>
                </c:pt>
                <c:pt idx="13">
                  <c:v>1.0712472874104595</c:v>
                </c:pt>
                <c:pt idx="14">
                  <c:v>1.9565253721224145</c:v>
                </c:pt>
                <c:pt idx="15">
                  <c:v>1.4866406322061709</c:v>
                </c:pt>
                <c:pt idx="16">
                  <c:v>1.0624503407427288</c:v>
                </c:pt>
                <c:pt idx="17">
                  <c:v>1.1196552604030952</c:v>
                </c:pt>
                <c:pt idx="18">
                  <c:v>0.91419325977121035</c:v>
                </c:pt>
                <c:pt idx="19">
                  <c:v>1.0190300581382483</c:v>
                </c:pt>
                <c:pt idx="20">
                  <c:v>0.49884141580065333</c:v>
                </c:pt>
                <c:pt idx="21">
                  <c:v>0.75555636565240669</c:v>
                </c:pt>
                <c:pt idx="22">
                  <c:v>0.76151096630993886</c:v>
                </c:pt>
                <c:pt idx="23">
                  <c:v>0.50537870537053864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Ianuarie-iulie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11'!$F$25:$F$48</c:f>
              <c:numCache>
                <c:formatCode>#,##0.0</c:formatCode>
                <c:ptCount val="24"/>
                <c:pt idx="0">
                  <c:v>12.595324757986475</c:v>
                </c:pt>
                <c:pt idx="1">
                  <c:v>11.631806815655672</c:v>
                </c:pt>
                <c:pt idx="2">
                  <c:v>11.654319053011617</c:v>
                </c:pt>
                <c:pt idx="3">
                  <c:v>9.1847948807326851</c:v>
                </c:pt>
                <c:pt idx="4">
                  <c:v>7.0813827776978329</c:v>
                </c:pt>
                <c:pt idx="5">
                  <c:v>8.293314029085602</c:v>
                </c:pt>
                <c:pt idx="6">
                  <c:v>6.7882494114712175</c:v>
                </c:pt>
                <c:pt idx="7">
                  <c:v>3.8308333673591135</c:v>
                </c:pt>
                <c:pt idx="8">
                  <c:v>0.68226916241482805</c:v>
                </c:pt>
                <c:pt idx="9">
                  <c:v>2.5795579619999658</c:v>
                </c:pt>
                <c:pt idx="10">
                  <c:v>1.9043463656999042</c:v>
                </c:pt>
                <c:pt idx="11">
                  <c:v>1.6089896364775</c:v>
                </c:pt>
                <c:pt idx="12">
                  <c:v>1.758977757432048</c:v>
                </c:pt>
                <c:pt idx="13">
                  <c:v>1.1986444977260842</c:v>
                </c:pt>
                <c:pt idx="14">
                  <c:v>1.8259345889333418</c:v>
                </c:pt>
                <c:pt idx="15">
                  <c:v>1.3941197136602146</c:v>
                </c:pt>
                <c:pt idx="16">
                  <c:v>1.0552376242040711</c:v>
                </c:pt>
                <c:pt idx="17">
                  <c:v>1.5425548898788266</c:v>
                </c:pt>
                <c:pt idx="18">
                  <c:v>0.97261980514161184</c:v>
                </c:pt>
                <c:pt idx="19">
                  <c:v>0.97880653280184116</c:v>
                </c:pt>
                <c:pt idx="20">
                  <c:v>0.45076986641929423</c:v>
                </c:pt>
                <c:pt idx="21">
                  <c:v>0.69526690484244591</c:v>
                </c:pt>
                <c:pt idx="22">
                  <c:v>0.70125366239987297</c:v>
                </c:pt>
                <c:pt idx="23">
                  <c:v>0.57909981830487101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Ianuarie-iulie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11'!$A$25:$A$48</c:f>
              <c:strCache>
                <c:ptCount val="24"/>
                <c:pt idx="0">
                  <c:v>România</c:v>
                </c:pt>
                <c:pt idx="1">
                  <c:v>Federația Rusă</c:v>
                </c:pt>
                <c:pt idx="2">
                  <c:v>China</c:v>
                </c:pt>
                <c:pt idx="3">
                  <c:v>Ucraina</c:v>
                </c:pt>
                <c:pt idx="4">
                  <c:v>Turcia</c:v>
                </c:pt>
                <c:pt idx="5">
                  <c:v>Germania</c:v>
                </c:pt>
                <c:pt idx="6">
                  <c:v>Italia</c:v>
                </c:pt>
                <c:pt idx="7">
                  <c:v>Polonia</c:v>
                </c:pt>
                <c:pt idx="8">
                  <c:v>India</c:v>
                </c:pt>
                <c:pt idx="9">
                  <c:v>Franța</c:v>
                </c:pt>
                <c:pt idx="10">
                  <c:v>Ungaria</c:v>
                </c:pt>
                <c:pt idx="11">
                  <c:v>S.U.A.</c:v>
                </c:pt>
                <c:pt idx="12">
                  <c:v>Cehia</c:v>
                </c:pt>
                <c:pt idx="13">
                  <c:v>Bulgaria</c:v>
                </c:pt>
                <c:pt idx="14">
                  <c:v>Belarus</c:v>
                </c:pt>
                <c:pt idx="15">
                  <c:v>Spania</c:v>
                </c:pt>
                <c:pt idx="16">
                  <c:v>Netherlands</c:v>
                </c:pt>
                <c:pt idx="17">
                  <c:v>Austria</c:v>
                </c:pt>
                <c:pt idx="18">
                  <c:v>Regatul Unit</c:v>
                </c:pt>
                <c:pt idx="19">
                  <c:v>Japonia</c:v>
                </c:pt>
                <c:pt idx="20">
                  <c:v>Grecia</c:v>
                </c:pt>
                <c:pt idx="21">
                  <c:v>Coreea de Sud</c:v>
                </c:pt>
                <c:pt idx="22">
                  <c:v>Belgia</c:v>
                </c:pt>
                <c:pt idx="23">
                  <c:v>Slovacia</c:v>
                </c:pt>
              </c:strCache>
            </c:strRef>
          </c:cat>
          <c:val>
            <c:numRef>
              <c:f>'Figura 11'!$G$25:$G$48</c:f>
              <c:numCache>
                <c:formatCode>#,##0.0</c:formatCode>
                <c:ptCount val="24"/>
                <c:pt idx="0">
                  <c:v>16.627212168041318</c:v>
                </c:pt>
                <c:pt idx="1">
                  <c:v>14.258854494178511</c:v>
                </c:pt>
                <c:pt idx="2">
                  <c:v>9.6302375077296354</c:v>
                </c:pt>
                <c:pt idx="3">
                  <c:v>9.4182435025239126</c:v>
                </c:pt>
                <c:pt idx="4">
                  <c:v>6.9473538751684512</c:v>
                </c:pt>
                <c:pt idx="5">
                  <c:v>6.5368112352267209</c:v>
                </c:pt>
                <c:pt idx="6">
                  <c:v>5.1644555071780438</c:v>
                </c:pt>
                <c:pt idx="7">
                  <c:v>3.3596782589191116</c:v>
                </c:pt>
                <c:pt idx="8">
                  <c:v>2.8101701599098665</c:v>
                </c:pt>
                <c:pt idx="9">
                  <c:v>2.2299015987346351</c:v>
                </c:pt>
                <c:pt idx="10">
                  <c:v>2.0767203388149817</c:v>
                </c:pt>
                <c:pt idx="11">
                  <c:v>1.5734916582566867</c:v>
                </c:pt>
                <c:pt idx="12">
                  <c:v>1.4974558032183782</c:v>
                </c:pt>
                <c:pt idx="13">
                  <c:v>1.4759782723314674</c:v>
                </c:pt>
                <c:pt idx="14">
                  <c:v>1.237292880097397</c:v>
                </c:pt>
                <c:pt idx="15">
                  <c:v>1.2142323764754313</c:v>
                </c:pt>
                <c:pt idx="16">
                  <c:v>1.0031352977817762</c:v>
                </c:pt>
                <c:pt idx="17">
                  <c:v>0.93641681289153722</c:v>
                </c:pt>
                <c:pt idx="18">
                  <c:v>0.82111560040028642</c:v>
                </c:pt>
                <c:pt idx="19">
                  <c:v>0.75267178144288449</c:v>
                </c:pt>
                <c:pt idx="20">
                  <c:v>0.70732913278098053</c:v>
                </c:pt>
                <c:pt idx="21">
                  <c:v>0.69853852104161951</c:v>
                </c:pt>
                <c:pt idx="22">
                  <c:v>0.60464739623645936</c:v>
                </c:pt>
                <c:pt idx="23">
                  <c:v>0.5708340437447289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629776"/>
        <c:axId val="248630336"/>
      </c:barChart>
      <c:catAx>
        <c:axId val="24862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30336"/>
        <c:crosses val="autoZero"/>
        <c:auto val="1"/>
        <c:lblAlgn val="ctr"/>
        <c:lblOffset val="100"/>
        <c:noMultiLvlLbl val="0"/>
      </c:catAx>
      <c:valAx>
        <c:axId val="24863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62977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5.3515825311754785E-2"/>
          <c:y val="0.85010035600372502"/>
          <c:w val="0.9347308990222376"/>
          <c:h val="8.2424187446237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 - </a:t>
            </a:r>
            <a:r>
              <a:rPr lang="ro-RO" sz="800" b="1" baseline="0">
                <a:solidFill>
                  <a:sysClr val="windowText" lastClr="000000"/>
                </a:solidFill>
              </a:rPr>
              <a:t>iulie</a:t>
            </a:r>
            <a:r>
              <a:rPr lang="en-US" sz="800" b="1" baseline="0">
                <a:solidFill>
                  <a:sysClr val="windowText" lastClr="000000"/>
                </a:solidFill>
              </a:rPr>
              <a:t>  2021</a:t>
            </a:r>
          </a:p>
        </c:rich>
      </c:tx>
      <c:layout>
        <c:manualLayout>
          <c:xMode val="edge"/>
          <c:yMode val="edge"/>
          <c:x val="0.31216729056408932"/>
          <c:y val="1.48678760287707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12'!$B$24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sx="1000" sy="1000" algn="ctr" rotWithShape="0">
                <a:schemeClr val="bg1"/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0EF1-414D-94DA-30AF092260C4}"/>
              </c:ext>
            </c:extLst>
          </c:dPt>
          <c:dPt>
            <c:idx val="9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0EF1-414D-94DA-30AF092260C4}"/>
              </c:ext>
            </c:extLst>
          </c:dPt>
          <c:dPt>
            <c:idx val="10"/>
            <c:bubble3D val="0"/>
            <c:spPr>
              <a:solidFill>
                <a:schemeClr val="accent1">
                  <a:shade val="5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0EF1-414D-94DA-30AF092260C4}"/>
              </c:ext>
            </c:extLst>
          </c:dPt>
          <c:dPt>
            <c:idx val="11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A78A-4588-BE1A-3F21F157C1F5}"/>
              </c:ext>
            </c:extLst>
          </c:dPt>
          <c:dPt>
            <c:idx val="12"/>
            <c:bubble3D val="0"/>
            <c:spPr>
              <a:solidFill>
                <a:schemeClr val="accent1">
                  <a:shade val="40000"/>
                </a:schemeClr>
              </a:solidFill>
              <a:ln>
                <a:noFill/>
              </a:ln>
              <a:effectLst>
                <a:outerShdw sx="1000" sy="1000" algn="ctr" rotWithShape="0">
                  <a:schemeClr val="bg1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94E6-4E28-8EB4-641B9F745DCF}"/>
              </c:ext>
            </c:extLst>
          </c:dPt>
          <c:dLbls>
            <c:dLbl>
              <c:idx val="0"/>
              <c:layout>
                <c:manualLayout>
                  <c:x val="-0.17954698285665111"/>
                  <c:y val="3.933201703261422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39186904915574"/>
                      <c:h val="0.155988200589970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631-4CA1-BC5D-E5ED86221948}"/>
                </c:ext>
              </c:extLst>
            </c:dLbl>
            <c:dLbl>
              <c:idx val="1"/>
              <c:layout>
                <c:manualLayout>
                  <c:x val="-5.7767369242779192E-2"/>
                  <c:y val="6.23260461022432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53317720530836"/>
                      <c:h val="0.2002984672233191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631-4CA1-BC5D-E5ED86221948}"/>
                </c:ext>
              </c:extLst>
            </c:dLbl>
            <c:dLbl>
              <c:idx val="2"/>
              <c:layout>
                <c:manualLayout>
                  <c:x val="-4.6838407494145199E-3"/>
                  <c:y val="3.222573764382171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96318697867684"/>
                      <c:h val="0.1597583081570996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631-4CA1-BC5D-E5ED86221948}"/>
                </c:ext>
              </c:extLst>
            </c:dLbl>
            <c:dLbl>
              <c:idx val="3"/>
              <c:layout>
                <c:manualLayout>
                  <c:x val="-1.873536299765808E-2"/>
                  <c:y val="1.06883618399663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32396565183451"/>
                      <c:h val="0.15052114060963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631-4CA1-BC5D-E5ED86221948}"/>
                </c:ext>
              </c:extLst>
            </c:dLbl>
            <c:dLbl>
              <c:idx val="4"/>
              <c:layout>
                <c:manualLayout>
                  <c:x val="9.3676814988290398E-3"/>
                  <c:y val="1.05932075711079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81120802522635"/>
                      <c:h val="0.131622573726956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631-4CA1-BC5D-E5ED86221948}"/>
                </c:ext>
              </c:extLst>
            </c:dLbl>
            <c:dLbl>
              <c:idx val="5"/>
              <c:layout>
                <c:manualLayout>
                  <c:x val="-5.1522125308106979E-2"/>
                  <c:y val="5.21768917858077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34738485558154"/>
                      <c:h val="0.17587109768378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631-4CA1-BC5D-E5ED86221948}"/>
                </c:ext>
              </c:extLst>
            </c:dLbl>
            <c:dLbl>
              <c:idx val="6"/>
              <c:layout>
                <c:manualLayout>
                  <c:x val="-0.13739266198282593"/>
                  <c:y val="9.2743694047307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31-4CA1-BC5D-E5ED86221948}"/>
                </c:ext>
              </c:extLst>
            </c:dLbl>
            <c:dLbl>
              <c:idx val="7"/>
              <c:layout>
                <c:manualLayout>
                  <c:x val="-0.21545667447306796"/>
                  <c:y val="4.78629144166646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31-4CA1-BC5D-E5ED86221948}"/>
                </c:ext>
              </c:extLst>
            </c:dLbl>
            <c:dLbl>
              <c:idx val="8"/>
              <c:layout>
                <c:manualLayout>
                  <c:x val="-0.29799307873401071"/>
                  <c:y val="3.552743218275963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EF1-414D-94DA-30AF092260C4}"/>
                </c:ext>
              </c:extLst>
            </c:dLbl>
            <c:dLbl>
              <c:idx val="9"/>
              <c:layout>
                <c:manualLayout>
                  <c:x val="-0.33826710185816938"/>
                  <c:y val="-0.14381299014360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20843091334891"/>
                      <c:h val="0.162412477896456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0EF1-414D-94DA-30AF092260C4}"/>
                </c:ext>
              </c:extLst>
            </c:dLbl>
            <c:dLbl>
              <c:idx val="10"/>
              <c:layout>
                <c:manualLayout>
                  <c:x val="-0.31334157000866697"/>
                  <c:y val="-0.2497482376636455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EF1-414D-94DA-30AF092260C4}"/>
                </c:ext>
              </c:extLst>
            </c:dLbl>
            <c:dLbl>
              <c:idx val="11"/>
              <c:layout>
                <c:manualLayout>
                  <c:x val="-0.24512099921935987"/>
                  <c:y val="-0.4108761329305136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55281614388364"/>
                      <c:h val="0.166253687315634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A78A-4588-BE1A-3F21F157C1F5}"/>
                </c:ext>
              </c:extLst>
            </c:dLbl>
            <c:dLbl>
              <c:idx val="12"/>
              <c:layout>
                <c:manualLayout>
                  <c:x val="9.0554254488680722E-2"/>
                  <c:y val="-0.210422812192723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571440864973845"/>
                      <c:h val="0.150521140609636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8-94E6-4E28-8EB4-641B9F745DC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12'!$A$25:$A$37</c:f>
              <c:strCache>
                <c:ptCount val="13"/>
                <c:pt idx="0">
                  <c:v>Petrol şi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Fire, tesături şi articole textile </c:v>
                </c:pt>
                <c:pt idx="5">
                  <c:v>Maşini şi aparate specializate </c:v>
                </c:pt>
                <c:pt idx="6">
                  <c:v>Produse medicinale şi farmaceutice</c:v>
                </c:pt>
                <c:pt idx="7">
                  <c:v>Maşini şi aparate industriale </c:v>
                </c:pt>
                <c:pt idx="8">
                  <c:v>Legume şi fructe</c:v>
                </c:pt>
                <c:pt idx="9">
                  <c:v>Articole prelucrate din metal</c:v>
                </c:pt>
                <c:pt idx="10">
                  <c:v>Fier şi oţel</c:v>
                </c:pt>
                <c:pt idx="11">
                  <c:v>Îmbrăcăminte şi accesorii</c:v>
                </c:pt>
                <c:pt idx="12">
                  <c:v>Alte mărfuri</c:v>
                </c:pt>
              </c:strCache>
            </c:strRef>
          </c:cat>
          <c:val>
            <c:numRef>
              <c:f>'Figura 12'!$B$25:$B$37</c:f>
              <c:numCache>
                <c:formatCode>0.0</c:formatCode>
                <c:ptCount val="13"/>
                <c:pt idx="0">
                  <c:v>7.9</c:v>
                </c:pt>
                <c:pt idx="1">
                  <c:v>3.7</c:v>
                </c:pt>
                <c:pt idx="2">
                  <c:v>8</c:v>
                </c:pt>
                <c:pt idx="3">
                  <c:v>6.4</c:v>
                </c:pt>
                <c:pt idx="4">
                  <c:v>4.9000000000000004</c:v>
                </c:pt>
                <c:pt idx="5">
                  <c:v>3.2</c:v>
                </c:pt>
                <c:pt idx="6">
                  <c:v>4.5999999999999996</c:v>
                </c:pt>
                <c:pt idx="7">
                  <c:v>3.7</c:v>
                </c:pt>
                <c:pt idx="8">
                  <c:v>2.9</c:v>
                </c:pt>
                <c:pt idx="9">
                  <c:v>3.1</c:v>
                </c:pt>
                <c:pt idx="10">
                  <c:v>2.5</c:v>
                </c:pt>
                <c:pt idx="11">
                  <c:v>2.7</c:v>
                </c:pt>
                <c:pt idx="12" formatCode="#,##0.0">
                  <c:v>46.4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ro-RO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iulie</a:t>
            </a:r>
            <a:r>
              <a:rPr lang="en-US" sz="8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2022</a:t>
            </a:r>
          </a:p>
        </c:rich>
      </c:tx>
      <c:layout>
        <c:manualLayout>
          <c:xMode val="edge"/>
          <c:yMode val="edge"/>
          <c:x val="0.41357830271216106"/>
          <c:y val="2.4873178599132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77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7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7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CD-4C13-890E-399C32D1EBED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3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3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3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FCD-4C13-890E-399C32D1EBED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FCD-4C13-890E-399C32D1EBED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1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1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1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B027-44E0-9897-C542FAFF950C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28B-4A15-95E9-C59FB398DFD6}"/>
              </c:ext>
            </c:extLst>
          </c:dPt>
          <c:dLbls>
            <c:dLbl>
              <c:idx val="0"/>
              <c:layout>
                <c:manualLayout>
                  <c:x val="-0.20201970976198355"/>
                  <c:y val="-5.199412713466715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5936679338357269"/>
                      <c:h val="0.1563869651068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3D3-4FE3-A741-BA04960B8052}"/>
                </c:ext>
              </c:extLst>
            </c:dLbl>
            <c:dLbl>
              <c:idx val="1"/>
              <c:layout>
                <c:manualLayout>
                  <c:x val="-1.6528776229358371E-2"/>
                  <c:y val="-9.72870166080969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753945538724233"/>
                      <c:h val="0.178315785902242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3D3-4FE3-A741-BA04960B8052}"/>
                </c:ext>
              </c:extLst>
            </c:dLbl>
            <c:dLbl>
              <c:idx val="2"/>
              <c:layout>
                <c:manualLayout>
                  <c:x val="-2.0971773288569796E-2"/>
                  <c:y val="-8.14376741046265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46605830211682"/>
                      <c:h val="0.163286653635059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B3D3-4FE3-A741-BA04960B8052}"/>
                </c:ext>
              </c:extLst>
            </c:dLbl>
            <c:dLbl>
              <c:idx val="3"/>
              <c:layout>
                <c:manualLayout>
                  <c:x val="2.5711943858934563E-2"/>
                  <c:y val="-5.50619534799160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544827937260093"/>
                      <c:h val="0.1255435393199984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B3D3-4FE3-A741-BA04960B8052}"/>
                </c:ext>
              </c:extLst>
            </c:dLbl>
            <c:dLbl>
              <c:idx val="4"/>
              <c:layout>
                <c:manualLayout>
                  <c:x val="4.0404028718385367E-2"/>
                  <c:y val="-3.28415379430056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778499156639"/>
                      <c:h val="0.15660235453024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3D3-4FE3-A741-BA04960B8052}"/>
                </c:ext>
              </c:extLst>
            </c:dLbl>
            <c:dLbl>
              <c:idx val="5"/>
              <c:layout>
                <c:manualLayout>
                  <c:x val="-1.8365467599266144E-2"/>
                  <c:y val="2.55063777947562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D3-4FE3-A741-BA04960B8052}"/>
                </c:ext>
              </c:extLst>
            </c:dLbl>
            <c:dLbl>
              <c:idx val="6"/>
              <c:layout>
                <c:manualLayout>
                  <c:x val="-0.13501973637022013"/>
                  <c:y val="1.514948311551067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D3-4FE3-A741-BA04960B8052}"/>
                </c:ext>
              </c:extLst>
            </c:dLbl>
            <c:dLbl>
              <c:idx val="7"/>
              <c:layout>
                <c:manualLayout>
                  <c:x val="-0.20055206306383436"/>
                  <c:y val="-1.21951258546590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D3-4FE3-A741-BA04960B8052}"/>
                </c:ext>
              </c:extLst>
            </c:dLbl>
            <c:dLbl>
              <c:idx val="8"/>
              <c:layout>
                <c:manualLayout>
                  <c:x val="-0.24635553925640391"/>
                  <c:y val="-9.38221284879740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CD-4C13-890E-399C32D1EBED}"/>
                </c:ext>
              </c:extLst>
            </c:dLbl>
            <c:dLbl>
              <c:idx val="9"/>
              <c:layout>
                <c:manualLayout>
                  <c:x val="-0.2408574677751118"/>
                  <c:y val="-0.23983747514162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CD-4C13-890E-399C32D1EBED}"/>
                </c:ext>
              </c:extLst>
            </c:dLbl>
            <c:dLbl>
              <c:idx val="10"/>
              <c:layout>
                <c:manualLayout>
                  <c:x val="-0.19467395655222039"/>
                  <c:y val="-0.315630342369356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CD-4C13-890E-399C32D1EBED}"/>
                </c:ext>
              </c:extLst>
            </c:dLbl>
            <c:dLbl>
              <c:idx val="11"/>
              <c:layout>
                <c:manualLayout>
                  <c:x val="-0.12304863291508271"/>
                  <c:y val="-0.44258848428029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37301739715917"/>
                      <c:h val="0.142685760771131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7-B027-44E0-9897-C542FAFF950C}"/>
                </c:ext>
              </c:extLst>
            </c:dLbl>
            <c:dLbl>
              <c:idx val="12"/>
              <c:layout>
                <c:manualLayout>
                  <c:x val="6.6115683357357874E-2"/>
                  <c:y val="-0.154471594159014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28B-4A15-95E9-C59FB398DFD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12'!$A$40:$A$52</c:f>
              <c:strCache>
                <c:ptCount val="13"/>
                <c:pt idx="0">
                  <c:v>Petrol şi produse petroliere </c:v>
                </c:pt>
                <c:pt idx="1">
                  <c:v>Gaz şi produse industriale obţinute din gaz</c:v>
                </c:pt>
                <c:pt idx="2">
                  <c:v>Maşini şi aparate electrice </c:v>
                </c:pt>
                <c:pt idx="3">
                  <c:v>Vehicule rutiere </c:v>
                </c:pt>
                <c:pt idx="4">
                  <c:v>Fire, tesături şi articole textile </c:v>
                </c:pt>
                <c:pt idx="5">
                  <c:v>Maşini şi aparate specializate </c:v>
                </c:pt>
                <c:pt idx="6">
                  <c:v>Produse medicinale şi farmaceutice</c:v>
                </c:pt>
                <c:pt idx="7">
                  <c:v>Maşini şi aparate industriale </c:v>
                </c:pt>
                <c:pt idx="8">
                  <c:v>Legume şi fructe</c:v>
                </c:pt>
                <c:pt idx="9">
                  <c:v>Articole prelucrate din metal</c:v>
                </c:pt>
                <c:pt idx="10">
                  <c:v>Fier şi oţel</c:v>
                </c:pt>
                <c:pt idx="11">
                  <c:v>Îmbrăcăminte şi accesorii</c:v>
                </c:pt>
                <c:pt idx="12">
                  <c:v>Alte mărfuri</c:v>
                </c:pt>
              </c:strCache>
            </c:strRef>
          </c:cat>
          <c:val>
            <c:numRef>
              <c:f>'Figura 12'!$B$40:$B$52</c:f>
              <c:numCache>
                <c:formatCode>0.0</c:formatCode>
                <c:ptCount val="13"/>
                <c:pt idx="0">
                  <c:v>15.9</c:v>
                </c:pt>
                <c:pt idx="1">
                  <c:v>9.1</c:v>
                </c:pt>
                <c:pt idx="2">
                  <c:v>6.1</c:v>
                </c:pt>
                <c:pt idx="3">
                  <c:v>5.7</c:v>
                </c:pt>
                <c:pt idx="4">
                  <c:v>3.8</c:v>
                </c:pt>
                <c:pt idx="5">
                  <c:v>3.7</c:v>
                </c:pt>
                <c:pt idx="6">
                  <c:v>3.2</c:v>
                </c:pt>
                <c:pt idx="7">
                  <c:v>2.7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2.1</c:v>
                </c:pt>
                <c:pt idx="12" formatCode="#,##0.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13'!$B$23:$B$28</c:f>
              <c:numCache>
                <c:formatCode>#,##0.0</c:formatCode>
                <c:ptCount val="6"/>
                <c:pt idx="0">
                  <c:v>-127.3</c:v>
                </c:pt>
                <c:pt idx="1">
                  <c:v>-154</c:v>
                </c:pt>
                <c:pt idx="2">
                  <c:v>-138.30000000000001</c:v>
                </c:pt>
                <c:pt idx="3">
                  <c:v>-160.30000000000001</c:v>
                </c:pt>
                <c:pt idx="4">
                  <c:v>-201</c:v>
                </c:pt>
                <c:pt idx="5">
                  <c:v>-291.3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13'!$C$23:$C$28</c:f>
              <c:numCache>
                <c:formatCode>#,##0.0</c:formatCode>
                <c:ptCount val="6"/>
                <c:pt idx="0">
                  <c:v>-156.1</c:v>
                </c:pt>
                <c:pt idx="1">
                  <c:v>-212.1</c:v>
                </c:pt>
                <c:pt idx="2">
                  <c:v>-217.9</c:v>
                </c:pt>
                <c:pt idx="3">
                  <c:v>-239.5</c:v>
                </c:pt>
                <c:pt idx="4">
                  <c:v>-294.39999999999998</c:v>
                </c:pt>
                <c:pt idx="5">
                  <c:v>-332.6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13'!$D$23:$D$28</c:f>
              <c:numCache>
                <c:formatCode>#,##0.0</c:formatCode>
                <c:ptCount val="6"/>
                <c:pt idx="0">
                  <c:v>-219.1</c:v>
                </c:pt>
                <c:pt idx="1">
                  <c:v>-282</c:v>
                </c:pt>
                <c:pt idx="2">
                  <c:v>-276.60000000000002</c:v>
                </c:pt>
                <c:pt idx="3">
                  <c:v>-290.3</c:v>
                </c:pt>
                <c:pt idx="4">
                  <c:v>-370.8</c:v>
                </c:pt>
                <c:pt idx="5">
                  <c:v>-352.5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13'!$E$23:$E$28</c:f>
              <c:numCache>
                <c:formatCode>#,##0.0</c:formatCode>
                <c:ptCount val="6"/>
                <c:pt idx="0">
                  <c:v>-207.3</c:v>
                </c:pt>
                <c:pt idx="1">
                  <c:v>-244.9</c:v>
                </c:pt>
                <c:pt idx="2">
                  <c:v>-300</c:v>
                </c:pt>
                <c:pt idx="3">
                  <c:v>-135.80000000000001</c:v>
                </c:pt>
                <c:pt idx="4">
                  <c:v>-344</c:v>
                </c:pt>
                <c:pt idx="5">
                  <c:v>-374.2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13'!$F$23:$F$28</c:f>
              <c:numCache>
                <c:formatCode>#,##0.0</c:formatCode>
                <c:ptCount val="6"/>
                <c:pt idx="0">
                  <c:v>-225.7</c:v>
                </c:pt>
                <c:pt idx="1">
                  <c:v>-282.60000000000002</c:v>
                </c:pt>
                <c:pt idx="2">
                  <c:v>-271.10000000000002</c:v>
                </c:pt>
                <c:pt idx="3">
                  <c:v>-173.7</c:v>
                </c:pt>
                <c:pt idx="4">
                  <c:v>-361.7</c:v>
                </c:pt>
                <c:pt idx="5">
                  <c:v>-356.7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13'!$G$23:$G$28</c:f>
              <c:numCache>
                <c:formatCode>#,##0.0</c:formatCode>
                <c:ptCount val="6"/>
                <c:pt idx="0">
                  <c:v>-217.7</c:v>
                </c:pt>
                <c:pt idx="1">
                  <c:v>-244.6</c:v>
                </c:pt>
                <c:pt idx="2">
                  <c:v>-243.2</c:v>
                </c:pt>
                <c:pt idx="3">
                  <c:v>-223.9</c:v>
                </c:pt>
                <c:pt idx="4">
                  <c:v>-362.8</c:v>
                </c:pt>
                <c:pt idx="5">
                  <c:v>-351.9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13'!$H$23:$H$28</c:f>
              <c:numCache>
                <c:formatCode>#,##0.0</c:formatCode>
                <c:ptCount val="6"/>
                <c:pt idx="0">
                  <c:v>-205.3</c:v>
                </c:pt>
                <c:pt idx="1">
                  <c:v>-269.2</c:v>
                </c:pt>
                <c:pt idx="2">
                  <c:v>-278.89999999999998</c:v>
                </c:pt>
                <c:pt idx="3">
                  <c:v>-305.5</c:v>
                </c:pt>
                <c:pt idx="4">
                  <c:v>-321.3</c:v>
                </c:pt>
                <c:pt idx="5">
                  <c:v>-422.9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13'!$I$23:$I$28</c:f>
              <c:numCache>
                <c:formatCode>#,##0.0</c:formatCode>
                <c:ptCount val="6"/>
                <c:pt idx="0">
                  <c:v>-221.8</c:v>
                </c:pt>
                <c:pt idx="1">
                  <c:v>-262.10000000000002</c:v>
                </c:pt>
                <c:pt idx="2">
                  <c:v>-258.5</c:v>
                </c:pt>
                <c:pt idx="3">
                  <c:v>-269.7</c:v>
                </c:pt>
                <c:pt idx="4">
                  <c:v>-338.6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13'!$J$23:$J$28</c:f>
              <c:numCache>
                <c:formatCode>#,##0.0</c:formatCode>
                <c:ptCount val="6"/>
                <c:pt idx="0">
                  <c:v>-206.9</c:v>
                </c:pt>
                <c:pt idx="1">
                  <c:v>-266.7</c:v>
                </c:pt>
                <c:pt idx="2">
                  <c:v>-262.89999999999998</c:v>
                </c:pt>
                <c:pt idx="3">
                  <c:v>-296</c:v>
                </c:pt>
                <c:pt idx="4">
                  <c:v>-376.3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13'!$K$23:$K$28</c:f>
              <c:numCache>
                <c:formatCode>#,##0.0</c:formatCode>
                <c:ptCount val="6"/>
                <c:pt idx="0">
                  <c:v>-197.7</c:v>
                </c:pt>
                <c:pt idx="1">
                  <c:v>-281.60000000000002</c:v>
                </c:pt>
                <c:pt idx="2">
                  <c:v>-257</c:v>
                </c:pt>
                <c:pt idx="3">
                  <c:v>-244.2</c:v>
                </c:pt>
                <c:pt idx="4">
                  <c:v>-294.60000000000002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13'!$L$23:$L$28</c:f>
              <c:numCache>
                <c:formatCode>#,##0.0</c:formatCode>
                <c:ptCount val="6"/>
                <c:pt idx="0">
                  <c:v>-183.2</c:v>
                </c:pt>
                <c:pt idx="1">
                  <c:v>-253.70000000000005</c:v>
                </c:pt>
                <c:pt idx="2">
                  <c:v>-237.5</c:v>
                </c:pt>
                <c:pt idx="3">
                  <c:v>-260.89999999999998</c:v>
                </c:pt>
                <c:pt idx="4">
                  <c:v>-337.6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13'!$M$23:$M$28</c:f>
              <c:numCache>
                <c:formatCode>#,##0.0</c:formatCode>
                <c:ptCount val="6"/>
                <c:pt idx="0">
                  <c:v>-238.3</c:v>
                </c:pt>
                <c:pt idx="1">
                  <c:v>-300.49999999999994</c:v>
                </c:pt>
                <c:pt idx="2">
                  <c:v>-321.39999999999998</c:v>
                </c:pt>
                <c:pt idx="3">
                  <c:v>-349</c:v>
                </c:pt>
                <c:pt idx="4">
                  <c:v>-429.2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9016032"/>
        <c:axId val="249016592"/>
      </c:barChart>
      <c:catAx>
        <c:axId val="24901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9016592"/>
        <c:scaling>
          <c:orientation val="minMax"/>
          <c:min val="-4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901603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79256750942955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9084676830592919E-2"/>
                  <c:y val="1.286169091102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13-450B-8629-87951D3C5A06}"/>
                </c:ext>
              </c:extLst>
            </c:dLbl>
            <c:dLbl>
              <c:idx val="1"/>
              <c:layout>
                <c:manualLayout>
                  <c:x val="-1.8787287811933725E-2"/>
                  <c:y val="8.78422025276465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13-450B-8629-87951D3C5A06}"/>
                </c:ext>
              </c:extLst>
            </c:dLbl>
            <c:dLbl>
              <c:idx val="2"/>
              <c:layout>
                <c:manualLayout>
                  <c:x val="-1.4421873301340364E-2"/>
                  <c:y val="4.55424577066763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13-450B-8629-87951D3C5A06}"/>
                </c:ext>
              </c:extLst>
            </c:dLbl>
            <c:dLbl>
              <c:idx val="3"/>
              <c:layout>
                <c:manualLayout>
                  <c:x val="-1.4134246532792941E-2"/>
                  <c:y val="8.57456762757984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13-450B-8629-87951D3C5A06}"/>
                </c:ext>
              </c:extLst>
            </c:dLbl>
            <c:dLbl>
              <c:idx val="4"/>
              <c:layout>
                <c:manualLayout>
                  <c:x val="-1.4030049649366584E-2"/>
                  <c:y val="8.15494131652851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13-450B-8629-87951D3C5A06}"/>
                </c:ext>
              </c:extLst>
            </c:dLbl>
            <c:dLbl>
              <c:idx val="5"/>
              <c:layout>
                <c:manualLayout>
                  <c:x val="-1.6289867791293891E-2"/>
                  <c:y val="4.28712328344902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Ianuarie-iulie 2017</c:v>
                </c:pt>
                <c:pt idx="1">
                  <c:v>Ianuarie-iulie 2018</c:v>
                </c:pt>
                <c:pt idx="2">
                  <c:v>Ianuarie-iulie 2019</c:v>
                </c:pt>
                <c:pt idx="3">
                  <c:v>Ianuarie-iulie 2020</c:v>
                </c:pt>
                <c:pt idx="4">
                  <c:v>Ianuarie-iulie 2021</c:v>
                </c:pt>
                <c:pt idx="5">
                  <c:v>Ianuarie-iulie 2022</c:v>
                </c:pt>
              </c:strCache>
            </c:strRef>
          </c:cat>
          <c:val>
            <c:numRef>
              <c:f>'Figura 14'!$B$25:$B$30</c:f>
              <c:numCache>
                <c:formatCode>#,##0.0</c:formatCode>
                <c:ptCount val="6"/>
                <c:pt idx="0">
                  <c:v>1219.8</c:v>
                </c:pt>
                <c:pt idx="1">
                  <c:v>1533.6</c:v>
                </c:pt>
                <c:pt idx="2">
                  <c:v>1581.4</c:v>
                </c:pt>
                <c:pt idx="3">
                  <c:v>1361.3</c:v>
                </c:pt>
                <c:pt idx="4">
                  <c:v>1572.2</c:v>
                </c:pt>
                <c:pt idx="5">
                  <c:v>2629.7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2C-4A3E-9B06-2ADBC8010143}"/>
                </c:ext>
              </c:extLst>
            </c:dLbl>
            <c:dLbl>
              <c:idx val="1"/>
              <c:layout>
                <c:manualLayout>
                  <c:x val="2.6707724999212147E-3"/>
                  <c:y val="6.7770500650035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D2C-4A3E-9B06-2ADBC8010143}"/>
                </c:ext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2C-4A3E-9B06-2ADBC8010143}"/>
                </c:ext>
              </c:extLst>
            </c:dLbl>
            <c:dLbl>
              <c:idx val="3"/>
              <c:layout>
                <c:manualLayout>
                  <c:x val="2.5473295128049822E-3"/>
                  <c:y val="8.36459394171332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13-450B-8629-87951D3C5A06}"/>
                </c:ext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13-450B-8629-87951D3C5A06}"/>
                </c:ext>
              </c:extLst>
            </c:dLbl>
            <c:dLbl>
              <c:idx val="5"/>
              <c:layout>
                <c:manualLayout>
                  <c:x val="2.2598290136545966E-3"/>
                  <c:y val="4.5543372498998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Ianuarie-iulie 2017</c:v>
                </c:pt>
                <c:pt idx="1">
                  <c:v>Ianuarie-iulie 2018</c:v>
                </c:pt>
                <c:pt idx="2">
                  <c:v>Ianuarie-iulie 2019</c:v>
                </c:pt>
                <c:pt idx="3">
                  <c:v>Ianuarie-iulie 2020</c:v>
                </c:pt>
                <c:pt idx="4">
                  <c:v>Ianuarie-iulie 2021</c:v>
                </c:pt>
                <c:pt idx="5">
                  <c:v>Ianuarie-iulie 2022</c:v>
                </c:pt>
              </c:strCache>
            </c:strRef>
          </c:cat>
          <c:val>
            <c:numRef>
              <c:f>'Figura 14'!$C$25:$C$30</c:f>
              <c:numCache>
                <c:formatCode>#,##0.0</c:formatCode>
                <c:ptCount val="6"/>
                <c:pt idx="0">
                  <c:v>2578.3000000000002</c:v>
                </c:pt>
                <c:pt idx="1">
                  <c:v>3222.9</c:v>
                </c:pt>
                <c:pt idx="2">
                  <c:v>3307.4</c:v>
                </c:pt>
                <c:pt idx="3">
                  <c:v>2890.3</c:v>
                </c:pt>
                <c:pt idx="4">
                  <c:v>3828.1</c:v>
                </c:pt>
                <c:pt idx="5">
                  <c:v>5111.8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48762544"/>
        <c:axId val="248763104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939023101988433E-2"/>
                  <c:y val="-2.55939943673113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2C-4A3E-9B06-2ADBC8010143}"/>
                </c:ext>
              </c:extLst>
            </c:dLbl>
            <c:dLbl>
              <c:idx val="1"/>
              <c:layout>
                <c:manualLayout>
                  <c:x val="-3.9225490300822299E-2"/>
                  <c:y val="-3.15304063729261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D2C-4A3E-9B06-2ADBC8010143}"/>
                </c:ext>
              </c:extLst>
            </c:dLbl>
            <c:dLbl>
              <c:idx val="2"/>
              <c:layout>
                <c:manualLayout>
                  <c:x val="-4.6674857637367922E-2"/>
                  <c:y val="3.1556412288148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D2C-4A3E-9B06-2ADBC8010143}"/>
                </c:ext>
              </c:extLst>
            </c:dLbl>
            <c:dLbl>
              <c:idx val="3"/>
              <c:layout>
                <c:manualLayout>
                  <c:x val="-3.9693871373269594E-2"/>
                  <c:y val="-3.5311859082614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D2C-4A3E-9B06-2ADBC8010143}"/>
                </c:ext>
              </c:extLst>
            </c:dLbl>
            <c:dLbl>
              <c:idx val="4"/>
              <c:layout>
                <c:manualLayout>
                  <c:x val="-3.9005712521228961E-2"/>
                  <c:y val="-3.4431510693247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13-450B-8629-87951D3C5A06}"/>
                </c:ext>
              </c:extLst>
            </c:dLbl>
            <c:dLbl>
              <c:idx val="5"/>
              <c:layout>
                <c:manualLayout>
                  <c:x val="-4.9162918407247942E-3"/>
                  <c:y val="-1.7454463963506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13-450B-8629-87951D3C5A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Ianuarie-iulie 2017</c:v>
                </c:pt>
                <c:pt idx="1">
                  <c:v>Ianuarie-iulie 2018</c:v>
                </c:pt>
                <c:pt idx="2">
                  <c:v>Ianuarie-iulie 2019</c:v>
                </c:pt>
                <c:pt idx="3">
                  <c:v>Ianuarie-iulie 2020</c:v>
                </c:pt>
                <c:pt idx="4">
                  <c:v>Ianuarie-iulie 2021</c:v>
                </c:pt>
                <c:pt idx="5">
                  <c:v>Ianuarie-iulie 2022</c:v>
                </c:pt>
              </c:strCache>
            </c:strRef>
          </c:cat>
          <c:val>
            <c:numRef>
              <c:f>'Figura 14'!$D$25:$D$30</c:f>
              <c:numCache>
                <c:formatCode>#,##0.0</c:formatCode>
                <c:ptCount val="6"/>
                <c:pt idx="0">
                  <c:v>-1358.5</c:v>
                </c:pt>
                <c:pt idx="1">
                  <c:v>-1689.3</c:v>
                </c:pt>
                <c:pt idx="2">
                  <c:v>-1726</c:v>
                </c:pt>
                <c:pt idx="3">
                  <c:v>-1529</c:v>
                </c:pt>
                <c:pt idx="4">
                  <c:v>-2255.9</c:v>
                </c:pt>
                <c:pt idx="5">
                  <c:v>-2482.1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762544"/>
        <c:axId val="248763104"/>
      </c:lineChart>
      <c:catAx>
        <c:axId val="24876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3104"/>
        <c:crosses val="autoZero"/>
        <c:auto val="1"/>
        <c:lblAlgn val="ctr"/>
        <c:lblOffset val="100"/>
        <c:noMultiLvlLbl val="0"/>
      </c:catAx>
      <c:valAx>
        <c:axId val="248763104"/>
        <c:scaling>
          <c:orientation val="minMax"/>
          <c:min val="-25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876254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4803953926507922"/>
          <c:w val="0.92503281730217912"/>
          <c:h val="4.76730163907899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96203918396242E-2"/>
          <c:y val="4.0517540941185162E-2"/>
          <c:w val="0.91638609803213111"/>
          <c:h val="0.72318734360739945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87699258040691E-2"/>
                  <c:y val="-3.60102029499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9D-446E-B46D-AAA2B51203E9}"/>
                </c:ext>
              </c:extLst>
            </c:dLbl>
            <c:dLbl>
              <c:idx val="1"/>
              <c:layout>
                <c:manualLayout>
                  <c:x val="-1.9216546193687113E-2"/>
                  <c:y val="-2.752696757975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9D-446E-B46D-AAA2B51203E9}"/>
                </c:ext>
              </c:extLst>
            </c:dLbl>
            <c:dLbl>
              <c:idx val="2"/>
              <c:layout>
                <c:manualLayout>
                  <c:x val="-1.1548061811594483E-2"/>
                  <c:y val="-2.8295885549517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9D-446E-B46D-AAA2B51203E9}"/>
                </c:ext>
              </c:extLst>
            </c:dLbl>
            <c:dLbl>
              <c:idx val="3"/>
              <c:layout>
                <c:manualLayout>
                  <c:x val="-1.4229340851139071E-2"/>
                  <c:y val="-3.2020405899966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9D-446E-B46D-AAA2B51203E9}"/>
                </c:ext>
              </c:extLst>
            </c:dLbl>
            <c:dLbl>
              <c:idx val="4"/>
              <c:layout>
                <c:manualLayout>
                  <c:x val="-3.1553737355602962E-2"/>
                  <c:y val="-2.5039517947580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9D-446E-B46D-AAA2B51203E9}"/>
                </c:ext>
              </c:extLst>
            </c:dLbl>
            <c:dLbl>
              <c:idx val="5"/>
              <c:layout>
                <c:manualLayout>
                  <c:x val="-2.0434344495648016E-2"/>
                  <c:y val="-3.2020405899966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9D-446E-B46D-AAA2B51203E9}"/>
                </c:ext>
              </c:extLst>
            </c:dLbl>
            <c:dLbl>
              <c:idx val="6"/>
              <c:layout>
                <c:manualLayout>
                  <c:x val="-1.0894609064200868E-2"/>
                  <c:y val="-3.22856825995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9D-446E-B46D-AAA2B51203E9}"/>
                </c:ext>
              </c:extLst>
            </c:dLbl>
            <c:dLbl>
              <c:idx val="7"/>
              <c:layout>
                <c:manualLayout>
                  <c:x val="-1.5191007397542644E-2"/>
                  <c:y val="3.129436989390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9D-446E-B46D-AAA2B51203E9}"/>
                </c:ext>
              </c:extLst>
            </c:dLbl>
            <c:dLbl>
              <c:idx val="8"/>
              <c:layout>
                <c:manualLayout>
                  <c:x val="-1.9380361910138977E-2"/>
                  <c:y val="-3.2020405899966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9D-446E-B46D-AAA2B51203E9}"/>
                </c:ext>
              </c:extLst>
            </c:dLbl>
            <c:dLbl>
              <c:idx val="9"/>
              <c:layout>
                <c:manualLayout>
                  <c:x val="-1.7457028817331983E-2"/>
                  <c:y val="-2.82958855495175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9D-446E-B46D-AAA2B51203E9}"/>
                </c:ext>
              </c:extLst>
            </c:dLbl>
            <c:dLbl>
              <c:idx val="10"/>
              <c:layout>
                <c:manualLayout>
                  <c:x val="-1.5972731717989148E-2"/>
                  <c:y val="-3.24048648848471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9D-446E-B46D-AAA2B51203E9}"/>
                </c:ext>
              </c:extLst>
            </c:dLbl>
            <c:dLbl>
              <c:idx val="11"/>
              <c:layout>
                <c:manualLayout>
                  <c:x val="-1.8325803377861972E-2"/>
                  <c:y val="3.50185945066724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A9D-446E-B46D-AAA2B51203E9}"/>
                </c:ext>
              </c:extLst>
            </c:dLbl>
            <c:dLbl>
              <c:idx val="12"/>
              <c:layout>
                <c:manualLayout>
                  <c:x val="-1.6328337708197634E-2"/>
                  <c:y val="-2.8264537355365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A9D-446E-B46D-AAA2B51203E9}"/>
                </c:ext>
              </c:extLst>
            </c:dLbl>
            <c:dLbl>
              <c:idx val="13"/>
              <c:layout>
                <c:manualLayout>
                  <c:x val="-3.2188266137761039E-2"/>
                  <c:y val="-2.5304794647148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A9D-446E-B46D-AAA2B51203E9}"/>
                </c:ext>
              </c:extLst>
            </c:dLbl>
            <c:dLbl>
              <c:idx val="14"/>
              <c:layout>
                <c:manualLayout>
                  <c:x val="-4.039443796687324E-3"/>
                  <c:y val="1.4990943033529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A9D-446E-B46D-AAA2B51203E9}"/>
                </c:ext>
              </c:extLst>
            </c:dLbl>
            <c:dLbl>
              <c:idx val="15"/>
              <c:layout>
                <c:manualLayout>
                  <c:x val="-1.6988125870039585E-2"/>
                  <c:y val="2.777242985471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A9D-446E-B46D-AAA2B51203E9}"/>
                </c:ext>
              </c:extLst>
            </c:dLbl>
            <c:dLbl>
              <c:idx val="16"/>
              <c:layout>
                <c:manualLayout>
                  <c:x val="-7.0749300985749348E-3"/>
                  <c:y val="2.1814498539795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A9D-446E-B46D-AAA2B51203E9}"/>
                </c:ext>
              </c:extLst>
            </c:dLbl>
            <c:dLbl>
              <c:idx val="17"/>
              <c:layout>
                <c:manualLayout>
                  <c:x val="-1.5407645660434456E-2"/>
                  <c:y val="2.89666186092935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A9D-446E-B46D-AAA2B51203E9}"/>
                </c:ext>
              </c:extLst>
            </c:dLbl>
            <c:dLbl>
              <c:idx val="18"/>
              <c:layout>
                <c:manualLayout>
                  <c:x val="-1.6493634430624373E-2"/>
                  <c:y val="3.0446489963402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A9D-446E-B46D-AAA2B51203E9}"/>
                </c:ext>
              </c:extLst>
            </c:dLbl>
            <c:dLbl>
              <c:idx val="19"/>
              <c:layout>
                <c:manualLayout>
                  <c:x val="-1.6581425173695336E-2"/>
                  <c:y val="3.06470001109016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A9D-446E-B46D-AAA2B51203E9}"/>
                </c:ext>
              </c:extLst>
            </c:dLbl>
            <c:dLbl>
              <c:idx val="20"/>
              <c:layout>
                <c:manualLayout>
                  <c:x val="-1.4044461938598974E-2"/>
                  <c:y val="3.5791948541643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A9D-446E-B46D-AAA2B51203E9}"/>
                </c:ext>
              </c:extLst>
            </c:dLbl>
            <c:dLbl>
              <c:idx val="21"/>
              <c:layout>
                <c:manualLayout>
                  <c:x val="-5.496138731826113E-3"/>
                  <c:y val="-1.0737939447709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A9D-446E-B46D-AAA2B51203E9}"/>
                </c:ext>
              </c:extLst>
            </c:dLbl>
            <c:dLbl>
              <c:idx val="22"/>
              <c:layout>
                <c:manualLayout>
                  <c:x val="-4.0472519892995676E-2"/>
                  <c:y val="2.90300543417988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2302229189677085E-2"/>
                      <c:h val="5.53198033344423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2A9D-446E-B46D-AAA2B51203E9}"/>
                </c:ext>
              </c:extLst>
            </c:dLbl>
            <c:dLbl>
              <c:idx val="23"/>
              <c:layout>
                <c:manualLayout>
                  <c:x val="-1.877463046638277E-2"/>
                  <c:y val="3.795556541347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A9D-446E-B46D-AAA2B51203E9}"/>
                </c:ext>
              </c:extLst>
            </c:dLbl>
            <c:dLbl>
              <c:idx val="24"/>
              <c:layout>
                <c:manualLayout>
                  <c:x val="-1.6253464628352813E-2"/>
                  <c:y val="-2.85351373331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A9D-446E-B46D-AAA2B51203E9}"/>
                </c:ext>
              </c:extLst>
            </c:dLbl>
            <c:dLbl>
              <c:idx val="25"/>
              <c:layout>
                <c:manualLayout>
                  <c:x val="-1.8887680589137749E-2"/>
                  <c:y val="3.1558759380429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A9D-446E-B46D-AAA2B51203E9}"/>
                </c:ext>
              </c:extLst>
            </c:dLbl>
            <c:dLbl>
              <c:idx val="26"/>
              <c:layout>
                <c:manualLayout>
                  <c:x val="-2.0367452392445848E-2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A9D-446E-B46D-AAA2B51203E9}"/>
                </c:ext>
              </c:extLst>
            </c:dLbl>
            <c:dLbl>
              <c:idx val="27"/>
              <c:layout>
                <c:manualLayout>
                  <c:x val="-2.0977544576017353E-2"/>
                  <c:y val="2.7802890835828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A9D-446E-B46D-AAA2B51203E9}"/>
                </c:ext>
              </c:extLst>
            </c:dLbl>
            <c:dLbl>
              <c:idx val="28"/>
              <c:layout>
                <c:manualLayout>
                  <c:x val="-1.7498250150301691E-2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A9D-446E-B46D-AAA2B51203E9}"/>
                </c:ext>
              </c:extLst>
            </c:dLbl>
            <c:dLbl>
              <c:idx val="29"/>
              <c:layout>
                <c:manualLayout>
                  <c:x val="-2.5078367842555242E-2"/>
                  <c:y val="3.9070496469631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A9D-446E-B46D-AAA2B51203E9}"/>
                </c:ext>
              </c:extLst>
            </c:dLbl>
            <c:dLbl>
              <c:idx val="30"/>
              <c:layout>
                <c:manualLayout>
                  <c:x val="-8.8475296943756471E-3"/>
                  <c:y val="3.5314627925030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A6-4A4A-A002-4C403F899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2'!$B$22:$AF$23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2'!$B$24:$AF$24</c:f>
              <c:numCache>
                <c:formatCode>#,##0.0</c:formatCode>
                <c:ptCount val="31"/>
                <c:pt idx="0">
                  <c:v>100.54069338788538</c:v>
                </c:pt>
                <c:pt idx="1">
                  <c:v>111.77933359663091</c:v>
                </c:pt>
                <c:pt idx="2">
                  <c:v>85.694935103741471</c:v>
                </c:pt>
                <c:pt idx="3">
                  <c:v>71.283537880135214</c:v>
                </c:pt>
                <c:pt idx="4">
                  <c:v>103.90424682350312</c:v>
                </c:pt>
                <c:pt idx="5">
                  <c:v>121.75061963317823</c:v>
                </c:pt>
                <c:pt idx="6">
                  <c:v>100.8184202333199</c:v>
                </c:pt>
                <c:pt idx="7">
                  <c:v>78.376764810035453</c:v>
                </c:pt>
                <c:pt idx="8">
                  <c:v>129.49769232961904</c:v>
                </c:pt>
                <c:pt idx="9">
                  <c:v>117.47585360993436</c:v>
                </c:pt>
                <c:pt idx="10">
                  <c:v>105.08585699580438</c:v>
                </c:pt>
                <c:pt idx="11">
                  <c:v>83.287463510424814</c:v>
                </c:pt>
                <c:pt idx="12">
                  <c:v>90.925213233797848</c:v>
                </c:pt>
                <c:pt idx="13">
                  <c:v>114.41147354263464</c:v>
                </c:pt>
                <c:pt idx="14">
                  <c:v>114.20579997969134</c:v>
                </c:pt>
                <c:pt idx="15">
                  <c:v>84.167356355788357</c:v>
                </c:pt>
                <c:pt idx="16">
                  <c:v>92.421884276527052</c:v>
                </c:pt>
                <c:pt idx="17">
                  <c:v>112.45124175218632</c:v>
                </c:pt>
                <c:pt idx="18">
                  <c:v>106.13290668113962</c:v>
                </c:pt>
                <c:pt idx="19">
                  <c:v>98.163759117159898</c:v>
                </c:pt>
                <c:pt idx="20">
                  <c:v>124.79747973247373</c:v>
                </c:pt>
                <c:pt idx="21">
                  <c:v>119.44752327758337</c:v>
                </c:pt>
                <c:pt idx="22">
                  <c:v>103.29810746017232</c:v>
                </c:pt>
                <c:pt idx="23">
                  <c:v>89.310814590947814</c:v>
                </c:pt>
                <c:pt idx="24">
                  <c:v>101.65548055101389</c:v>
                </c:pt>
                <c:pt idx="25">
                  <c:v>101.84864374682041</c:v>
                </c:pt>
                <c:pt idx="26">
                  <c:v>117.60123789264428</c:v>
                </c:pt>
                <c:pt idx="27">
                  <c:v>100.1282722557787</c:v>
                </c:pt>
                <c:pt idx="28">
                  <c:v>104.98638136927103</c:v>
                </c:pt>
                <c:pt idx="29" formatCode="0.0">
                  <c:v>100.09588370255183</c:v>
                </c:pt>
                <c:pt idx="30" formatCode="0.0">
                  <c:v>81.226926265770544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921998706423596E-2"/>
                  <c:y val="3.1294369893904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A9D-446E-B46D-AAA2B51203E9}"/>
                </c:ext>
              </c:extLst>
            </c:dLbl>
            <c:dLbl>
              <c:idx val="1"/>
              <c:layout>
                <c:manualLayout>
                  <c:x val="-2.3708437315722735E-2"/>
                  <c:y val="3.62308232597685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A9D-446E-B46D-AAA2B51203E9}"/>
                </c:ext>
              </c:extLst>
            </c:dLbl>
            <c:dLbl>
              <c:idx val="2"/>
              <c:layout>
                <c:manualLayout>
                  <c:x val="-2.3007839211459762E-2"/>
                  <c:y val="2.7803778048870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A9D-446E-B46D-AAA2B51203E9}"/>
                </c:ext>
              </c:extLst>
            </c:dLbl>
            <c:dLbl>
              <c:idx val="3"/>
              <c:layout>
                <c:manualLayout>
                  <c:x val="-1.6612032630510979E-2"/>
                  <c:y val="2.381398099885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A9D-446E-B46D-AAA2B51203E9}"/>
                </c:ext>
              </c:extLst>
            </c:dLbl>
            <c:dLbl>
              <c:idx val="4"/>
              <c:layout>
                <c:manualLayout>
                  <c:x val="-1.6109682712391847E-2"/>
                  <c:y val="2.7367617434777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A9D-446E-B46D-AAA2B51203E9}"/>
                </c:ext>
              </c:extLst>
            </c:dLbl>
            <c:dLbl>
              <c:idx val="5"/>
              <c:layout>
                <c:manualLayout>
                  <c:x val="-1.8042108455548551E-2"/>
                  <c:y val="-3.24184688181583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A9D-446E-B46D-AAA2B51203E9}"/>
                </c:ext>
              </c:extLst>
            </c:dLbl>
            <c:dLbl>
              <c:idx val="6"/>
              <c:layout>
                <c:manualLayout>
                  <c:x val="-1.6776424293730878E-2"/>
                  <c:y val="2.77724298547187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A9D-446E-B46D-AAA2B51203E9}"/>
                </c:ext>
              </c:extLst>
            </c:dLbl>
            <c:dLbl>
              <c:idx val="7"/>
              <c:layout>
                <c:manualLayout>
                  <c:x val="-1.7656964623950781E-2"/>
                  <c:y val="-3.19574137739825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A9D-446E-B46D-AAA2B51203E9}"/>
                </c:ext>
              </c:extLst>
            </c:dLbl>
            <c:dLbl>
              <c:idx val="8"/>
              <c:layout>
                <c:manualLayout>
                  <c:x val="-1.5733631531143825E-2"/>
                  <c:y val="3.5081586632656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A9D-446E-B46D-AAA2B51203E9}"/>
                </c:ext>
              </c:extLst>
            </c:dLbl>
            <c:dLbl>
              <c:idx val="9"/>
              <c:layout>
                <c:manualLayout>
                  <c:x val="-1.968001878573801E-2"/>
                  <c:y val="-2.8295885549517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A9D-446E-B46D-AAA2B51203E9}"/>
                </c:ext>
              </c:extLst>
            </c:dLbl>
            <c:dLbl>
              <c:idx val="10"/>
              <c:layout>
                <c:manualLayout>
                  <c:x val="-1.4898179605050263E-2"/>
                  <c:y val="2.7569849543454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A9D-446E-B46D-AAA2B51203E9}"/>
                </c:ext>
              </c:extLst>
            </c:dLbl>
            <c:dLbl>
              <c:idx val="11"/>
              <c:layout>
                <c:manualLayout>
                  <c:x val="-1.4902046676207164E-2"/>
                  <c:y val="-3.5838970832871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A9D-446E-B46D-AAA2B51203E9}"/>
                </c:ext>
              </c:extLst>
            </c:dLbl>
            <c:dLbl>
              <c:idx val="12"/>
              <c:layout>
                <c:manualLayout>
                  <c:x val="-1.8418201695077237E-2"/>
                  <c:y val="2.7569849543454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A9D-446E-B46D-AAA2B51203E9}"/>
                </c:ext>
              </c:extLst>
            </c:dLbl>
            <c:dLbl>
              <c:idx val="13"/>
              <c:layout>
                <c:manualLayout>
                  <c:x val="-1.2682090831191088E-2"/>
                  <c:y val="3.5018685019227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A9D-446E-B46D-AAA2B51203E9}"/>
                </c:ext>
              </c:extLst>
            </c:dLbl>
            <c:dLbl>
              <c:idx val="14"/>
              <c:layout>
                <c:manualLayout>
                  <c:x val="-2.8944369383953349E-2"/>
                  <c:y val="-2.3995859672470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A9D-446E-B46D-AAA2B51203E9}"/>
                </c:ext>
              </c:extLst>
            </c:dLbl>
            <c:dLbl>
              <c:idx val="15"/>
              <c:layout>
                <c:manualLayout>
                  <c:x val="-2.1732693067024401E-2"/>
                  <c:y val="-3.2285682599534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2A9D-446E-B46D-AAA2B51203E9}"/>
                </c:ext>
              </c:extLst>
            </c:dLbl>
            <c:dLbl>
              <c:idx val="16"/>
              <c:layout>
                <c:manualLayout>
                  <c:x val="-2.41775870973443E-2"/>
                  <c:y val="3.1197367934641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2A9D-446E-B46D-AAA2B51203E9}"/>
                </c:ext>
              </c:extLst>
            </c:dLbl>
            <c:dLbl>
              <c:idx val="17"/>
              <c:layout>
                <c:manualLayout>
                  <c:x val="-1.8319221129084552E-2"/>
                  <c:y val="-2.9825440833980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2A9D-446E-B46D-AAA2B51203E9}"/>
                </c:ext>
              </c:extLst>
            </c:dLbl>
            <c:dLbl>
              <c:idx val="18"/>
              <c:layout>
                <c:manualLayout>
                  <c:x val="-7.8237431751336465E-3"/>
                  <c:y val="2.14992421721932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2A9D-446E-B46D-AAA2B51203E9}"/>
                </c:ext>
              </c:extLst>
            </c:dLbl>
            <c:dLbl>
              <c:idx val="19"/>
              <c:layout>
                <c:manualLayout>
                  <c:x val="-1.959461410784907E-2"/>
                  <c:y val="-3.2153487856271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2A9D-446E-B46D-AAA2B51203E9}"/>
                </c:ext>
              </c:extLst>
            </c:dLbl>
            <c:dLbl>
              <c:idx val="20"/>
              <c:layout>
                <c:manualLayout>
                  <c:x val="-2.0069934747699525E-2"/>
                  <c:y val="-2.9384495952090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2A9D-446E-B46D-AAA2B51203E9}"/>
                </c:ext>
              </c:extLst>
            </c:dLbl>
            <c:dLbl>
              <c:idx val="21"/>
              <c:layout>
                <c:manualLayout>
                  <c:x val="-1.902804704431935E-2"/>
                  <c:y val="-2.390388525377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2A9D-446E-B46D-AAA2B51203E9}"/>
                </c:ext>
              </c:extLst>
            </c:dLbl>
            <c:dLbl>
              <c:idx val="22"/>
              <c:layout>
                <c:manualLayout>
                  <c:x val="-5.0178117352256447E-3"/>
                  <c:y val="2.29986322132268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960029178013369E-2"/>
                      <c:h val="5.15639347898414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A-2A9D-446E-B46D-AAA2B51203E9}"/>
                </c:ext>
              </c:extLst>
            </c:dLbl>
            <c:dLbl>
              <c:idx val="23"/>
              <c:layout>
                <c:manualLayout>
                  <c:x val="-2.1581712735688732E-2"/>
                  <c:y val="-3.8662082732616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2A9D-446E-B46D-AAA2B51203E9}"/>
                </c:ext>
              </c:extLst>
            </c:dLbl>
            <c:dLbl>
              <c:idx val="24"/>
              <c:layout>
                <c:manualLayout>
                  <c:x val="-1.9747651391927579E-2"/>
                  <c:y val="-3.51117518760859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2A9D-446E-B46D-AAA2B51203E9}"/>
                </c:ext>
              </c:extLst>
            </c:dLbl>
            <c:dLbl>
              <c:idx val="25"/>
              <c:layout>
                <c:manualLayout>
                  <c:x val="-2.3677395486496486E-2"/>
                  <c:y val="2.4047022291227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2A9D-446E-B46D-AAA2B51203E9}"/>
                </c:ext>
              </c:extLst>
            </c:dLbl>
            <c:dLbl>
              <c:idx val="26"/>
              <c:layout>
                <c:manualLayout>
                  <c:x val="-2.5163032017456781E-2"/>
                  <c:y val="-3.60468744223873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2A9D-446E-B46D-AAA2B51203E9}"/>
                </c:ext>
              </c:extLst>
            </c:dLbl>
            <c:dLbl>
              <c:idx val="27"/>
              <c:layout>
                <c:manualLayout>
                  <c:x val="-2.9766080865723687E-2"/>
                  <c:y val="-3.2291005877786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2A9D-446E-B46D-AAA2B51203E9}"/>
                </c:ext>
              </c:extLst>
            </c:dLbl>
            <c:dLbl>
              <c:idx val="28"/>
              <c:layout>
                <c:manualLayout>
                  <c:x val="-1.967862005787293E-2"/>
                  <c:y val="-2.853513733318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2A9D-446E-B46D-AAA2B51203E9}"/>
                </c:ext>
              </c:extLst>
            </c:dLbl>
            <c:dLbl>
              <c:idx val="29"/>
              <c:layout>
                <c:manualLayout>
                  <c:x val="-5.2246599671990088E-3"/>
                  <c:y val="-1.3511663154781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2A9D-446E-B46D-AAA2B51203E9}"/>
                </c:ext>
              </c:extLst>
            </c:dLbl>
            <c:dLbl>
              <c:idx val="30"/>
              <c:layout>
                <c:manualLayout>
                  <c:x val="-5.0409572817570634E-3"/>
                  <c:y val="3.343684152157036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519840384240025E-2"/>
                      <c:h val="5.707057040405159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DA6-4A4A-A002-4C403F899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2'!$B$22:$AF$23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2'!$B$25:$AF$25</c:f>
              <c:numCache>
                <c:formatCode>#,##0.0</c:formatCode>
                <c:ptCount val="31"/>
                <c:pt idx="0">
                  <c:v>93.68976480021378</c:v>
                </c:pt>
                <c:pt idx="1">
                  <c:v>101.62156394157972</c:v>
                </c:pt>
                <c:pt idx="2">
                  <c:v>81.728010071364707</c:v>
                </c:pt>
                <c:pt idx="3">
                  <c:v>69.517656214361068</c:v>
                </c:pt>
                <c:pt idx="4">
                  <c:v>73.959803043393492</c:v>
                </c:pt>
                <c:pt idx="5">
                  <c:v>93.752330261178145</c:v>
                </c:pt>
                <c:pt idx="6">
                  <c:v>86.811663105059509</c:v>
                </c:pt>
                <c:pt idx="7">
                  <c:v>79.643812518387932</c:v>
                </c:pt>
                <c:pt idx="8">
                  <c:v>88.887920831852767</c:v>
                </c:pt>
                <c:pt idx="9">
                  <c:v>92.923464078044901</c:v>
                </c:pt>
                <c:pt idx="10">
                  <c:v>98.30519698859753</c:v>
                </c:pt>
                <c:pt idx="11">
                  <c:v>99.977310656379856</c:v>
                </c:pt>
                <c:pt idx="12">
                  <c:v>90.415711128050958</c:v>
                </c:pt>
                <c:pt idx="13">
                  <c:v>92.544788099159774</c:v>
                </c:pt>
                <c:pt idx="14">
                  <c:v>123.33461185332185</c:v>
                </c:pt>
                <c:pt idx="15">
                  <c:v>145.62616468779689</c:v>
                </c:pt>
                <c:pt idx="16">
                  <c:v>129.53315145310887</c:v>
                </c:pt>
                <c:pt idx="17">
                  <c:v>119.63933960141166</c:v>
                </c:pt>
                <c:pt idx="18">
                  <c:v>125.94594158412818</c:v>
                </c:pt>
                <c:pt idx="19">
                  <c:v>144.1652577242715</c:v>
                </c:pt>
                <c:pt idx="20">
                  <c:v>138.93267521074247</c:v>
                </c:pt>
                <c:pt idx="21">
                  <c:v>141.26446794210585</c:v>
                </c:pt>
                <c:pt idx="22">
                  <c:v>138.86123791492062</c:v>
                </c:pt>
                <c:pt idx="23">
                  <c:v>148.90368550768355</c:v>
                </c:pt>
                <c:pt idx="24">
                  <c:v>166.47364542706634</c:v>
                </c:pt>
                <c:pt idx="25" formatCode="0.0">
                  <c:v>148.19932435921535</c:v>
                </c:pt>
                <c:pt idx="26">
                  <c:v>152.66035698218914</c:v>
                </c:pt>
                <c:pt idx="27">
                  <c:v>181.60981243888315</c:v>
                </c:pt>
                <c:pt idx="28">
                  <c:v>206.29915943030915</c:v>
                </c:pt>
                <c:pt idx="29" formatCode="0.0">
                  <c:v>183.60387022221354</c:v>
                </c:pt>
                <c:pt idx="30" formatCode="0.0">
                  <c:v>140.517945800311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38464"/>
        <c:axId val="244839024"/>
      </c:lineChart>
      <c:catAx>
        <c:axId val="2448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9024"/>
        <c:crossesAt val="30"/>
        <c:auto val="0"/>
        <c:lblAlgn val="ctr"/>
        <c:lblOffset val="100"/>
        <c:noMultiLvlLbl val="0"/>
      </c:catAx>
      <c:valAx>
        <c:axId val="244839024"/>
        <c:scaling>
          <c:orientation val="minMax"/>
          <c:max val="24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483846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Ianuarie-iulie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3'!$B$23:$B$28</c:f>
              <c:numCache>
                <c:formatCode>0.0</c:formatCode>
                <c:ptCount val="6"/>
                <c:pt idx="0">
                  <c:v>15.9</c:v>
                </c:pt>
                <c:pt idx="1">
                  <c:v>9.1</c:v>
                </c:pt>
                <c:pt idx="2">
                  <c:v>74</c:v>
                </c:pt>
                <c:pt idx="3">
                  <c:v>0.8</c:v>
                </c:pt>
                <c:pt idx="4">
                  <c:v>0</c:v>
                </c:pt>
                <c:pt idx="5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Ianuarie-iulie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3'!$C$23:$C$28</c:f>
              <c:numCache>
                <c:formatCode>0.0</c:formatCode>
                <c:ptCount val="6"/>
                <c:pt idx="0">
                  <c:v>6.1</c:v>
                </c:pt>
                <c:pt idx="1">
                  <c:v>1.3</c:v>
                </c:pt>
                <c:pt idx="2">
                  <c:v>91.4</c:v>
                </c:pt>
                <c:pt idx="3">
                  <c:v>1.1000000000000001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Ianuarie-iulie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3'!$D$23:$D$28</c:f>
              <c:numCache>
                <c:formatCode>0.0</c:formatCode>
                <c:ptCount val="6"/>
                <c:pt idx="0">
                  <c:v>8.6999999999999993</c:v>
                </c:pt>
                <c:pt idx="1">
                  <c:v>3.7</c:v>
                </c:pt>
                <c:pt idx="2">
                  <c:v>86.4</c:v>
                </c:pt>
                <c:pt idx="3">
                  <c:v>1.1000000000000001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Ianuarie-iulie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3'!$E$23:$E$28</c:f>
              <c:numCache>
                <c:formatCode>0.0</c:formatCode>
                <c:ptCount val="6"/>
                <c:pt idx="0">
                  <c:v>7</c:v>
                </c:pt>
                <c:pt idx="1">
                  <c:v>4.4000000000000004</c:v>
                </c:pt>
                <c:pt idx="2">
                  <c:v>86.9</c:v>
                </c:pt>
                <c:pt idx="3">
                  <c:v>1.6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Ianuarie-iulie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3'!$F$23:$F$28</c:f>
              <c:numCache>
                <c:formatCode>0.0</c:formatCode>
                <c:ptCount val="6"/>
                <c:pt idx="0">
                  <c:v>7.1</c:v>
                </c:pt>
                <c:pt idx="1">
                  <c:v>3.2</c:v>
                </c:pt>
                <c:pt idx="2">
                  <c:v>87.4</c:v>
                </c:pt>
                <c:pt idx="3">
                  <c:v>2.2000000000000002</c:v>
                </c:pt>
                <c:pt idx="4">
                  <c:v>0.1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Ianuarie-iulie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3'!$A$23:$A$28</c:f>
              <c:strCache>
                <c:ptCount val="6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</c:strCache>
            </c:strRef>
          </c:cat>
          <c:val>
            <c:numRef>
              <c:f>'Figura 3'!$G$23:$G$28</c:f>
              <c:numCache>
                <c:formatCode>0.0</c:formatCode>
                <c:ptCount val="6"/>
                <c:pt idx="0">
                  <c:v>7</c:v>
                </c:pt>
                <c:pt idx="1">
                  <c:v>1.9</c:v>
                </c:pt>
                <c:pt idx="2">
                  <c:v>88.3</c:v>
                </c:pt>
                <c:pt idx="3">
                  <c:v>2.8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45861504"/>
        <c:axId val="245862064"/>
      </c:barChart>
      <c:catAx>
        <c:axId val="245861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2064"/>
        <c:crossesAt val="0"/>
        <c:auto val="1"/>
        <c:lblAlgn val="ctr"/>
        <c:lblOffset val="100"/>
        <c:noMultiLvlLbl val="0"/>
      </c:catAx>
      <c:valAx>
        <c:axId val="245862064"/>
        <c:scaling>
          <c:orientation val="minMax"/>
        </c:scaling>
        <c:delete val="0"/>
        <c:axPos val="b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150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15367679212229254"/>
          <c:y val="0.91334309527098589"/>
          <c:w val="0.84632320787770732"/>
          <c:h val="8.6656904729014134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Ianuarie-iulie 2017</c:v>
                </c:pt>
                <c:pt idx="1">
                  <c:v>Ianuarie-iulie 2018</c:v>
                </c:pt>
                <c:pt idx="2">
                  <c:v>Ianuarie-iulie 2019</c:v>
                </c:pt>
                <c:pt idx="3">
                  <c:v>Ianuarie-iulie 2020</c:v>
                </c:pt>
                <c:pt idx="4">
                  <c:v>Ianuarie-iulie 2021</c:v>
                </c:pt>
                <c:pt idx="5">
                  <c:v>Ianuarie-iulie 2022</c:v>
                </c:pt>
              </c:strCache>
            </c:strRef>
          </c:cat>
          <c:val>
            <c:numRef>
              <c:f>'Figura 4'!$B$21:$G$21</c:f>
              <c:numCache>
                <c:formatCode>General</c:formatCode>
                <c:ptCount val="6"/>
                <c:pt idx="0">
                  <c:v>57.7</c:v>
                </c:pt>
                <c:pt idx="1">
                  <c:v>65.400000000000006</c:v>
                </c:pt>
                <c:pt idx="2" formatCode="0.0">
                  <c:v>63.3</c:v>
                </c:pt>
                <c:pt idx="3">
                  <c:v>64.3</c:v>
                </c:pt>
                <c:pt idx="4">
                  <c:v>64.2</c:v>
                </c:pt>
                <c:pt idx="5" formatCode="0.0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Ianuarie-iulie 2017</c:v>
                </c:pt>
                <c:pt idx="1">
                  <c:v>Ianuarie-iulie 2018</c:v>
                </c:pt>
                <c:pt idx="2">
                  <c:v>Ianuarie-iulie 2019</c:v>
                </c:pt>
                <c:pt idx="3">
                  <c:v>Ianuarie-iulie 2020</c:v>
                </c:pt>
                <c:pt idx="4">
                  <c:v>Ianuarie-iulie 2021</c:v>
                </c:pt>
                <c:pt idx="5">
                  <c:v>Ianuarie-iulie 2022</c:v>
                </c:pt>
              </c:strCache>
            </c:strRef>
          </c:cat>
          <c:val>
            <c:numRef>
              <c:f>'Figura 4'!$B$22:$G$22</c:f>
              <c:numCache>
                <c:formatCode>0.0</c:formatCode>
                <c:ptCount val="6"/>
                <c:pt idx="0">
                  <c:v>20.9</c:v>
                </c:pt>
                <c:pt idx="1">
                  <c:v>16</c:v>
                </c:pt>
                <c:pt idx="2">
                  <c:v>14.7</c:v>
                </c:pt>
                <c:pt idx="3">
                  <c:v>16.2</c:v>
                </c:pt>
                <c:pt idx="4">
                  <c:v>15.5</c:v>
                </c:pt>
                <c:pt idx="5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Ianuarie-iulie 2017</c:v>
                </c:pt>
                <c:pt idx="1">
                  <c:v>Ianuarie-iulie 2018</c:v>
                </c:pt>
                <c:pt idx="2">
                  <c:v>Ianuarie-iulie 2019</c:v>
                </c:pt>
                <c:pt idx="3">
                  <c:v>Ianuarie-iulie 2020</c:v>
                </c:pt>
                <c:pt idx="4">
                  <c:v>Ianuarie-iulie 2021</c:v>
                </c:pt>
                <c:pt idx="5">
                  <c:v>Ianuarie-iulie 2022</c:v>
                </c:pt>
              </c:strCache>
            </c:strRef>
          </c:cat>
          <c:val>
            <c:numRef>
              <c:f>'Figura 4'!$B$23:$G$23</c:f>
              <c:numCache>
                <c:formatCode>General</c:formatCode>
                <c:ptCount val="6"/>
                <c:pt idx="0">
                  <c:v>21.4</c:v>
                </c:pt>
                <c:pt idx="1">
                  <c:v>18.600000000000001</c:v>
                </c:pt>
                <c:pt idx="2" formatCode="0.0">
                  <c:v>22</c:v>
                </c:pt>
                <c:pt idx="3">
                  <c:v>19.5</c:v>
                </c:pt>
                <c:pt idx="4">
                  <c:v>20.3</c:v>
                </c:pt>
                <c:pt idx="5" formatCode="0.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865984"/>
        <c:axId val="245866544"/>
      </c:barChart>
      <c:catAx>
        <c:axId val="2458659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6544"/>
        <c:crosses val="autoZero"/>
        <c:auto val="1"/>
        <c:lblAlgn val="ctr"/>
        <c:lblOffset val="100"/>
        <c:noMultiLvlLbl val="0"/>
      </c:catAx>
      <c:valAx>
        <c:axId val="245866544"/>
        <c:scaling>
          <c:orientation val="minMax"/>
          <c:max val="100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865984"/>
        <c:crosses val="autoZero"/>
        <c:crossBetween val="between"/>
        <c:majorUnit val="1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86790182943549965"/>
          <c:w val="1"/>
          <c:h val="9.22971755396247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2.2640470912009786E-2"/>
          <c:w val="0.94076377536801559"/>
          <c:h val="0.65084082936234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Ianuarie-iulie 2017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5'!$A$24:$A$44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Spania</c:v>
                </c:pt>
                <c:pt idx="17">
                  <c:v>S.U.A.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</c:strCache>
            </c:strRef>
          </c:cat>
          <c:val>
            <c:numRef>
              <c:f>'Figura 5'!$B$24:$B$44</c:f>
              <c:numCache>
                <c:formatCode>#,##0.0</c:formatCode>
                <c:ptCount val="21"/>
                <c:pt idx="0">
                  <c:v>24.593059714697837</c:v>
                </c:pt>
                <c:pt idx="1">
                  <c:v>2.890039830446312</c:v>
                </c:pt>
                <c:pt idx="2">
                  <c:v>4.5064032153334024</c:v>
                </c:pt>
                <c:pt idx="3">
                  <c:v>9.079220333179574</c:v>
                </c:pt>
                <c:pt idx="4">
                  <c:v>6.7149111760081563</c:v>
                </c:pt>
                <c:pt idx="5">
                  <c:v>11.338758240070655</c:v>
                </c:pt>
                <c:pt idx="6">
                  <c:v>3.6770557316007189</c:v>
                </c:pt>
                <c:pt idx="7">
                  <c:v>3.2336284520844067</c:v>
                </c:pt>
                <c:pt idx="8">
                  <c:v>1.4050213588881337</c:v>
                </c:pt>
                <c:pt idx="9">
                  <c:v>1.1972309986003613</c:v>
                </c:pt>
                <c:pt idx="10">
                  <c:v>7.766904096393517E-5</c:v>
                </c:pt>
                <c:pt idx="11">
                  <c:v>1.0664403400410252</c:v>
                </c:pt>
                <c:pt idx="12">
                  <c:v>6.0838670956571441</c:v>
                </c:pt>
                <c:pt idx="13">
                  <c:v>5.3348342174997123</c:v>
                </c:pt>
                <c:pt idx="14">
                  <c:v>0.37841280440429026</c:v>
                </c:pt>
                <c:pt idx="15">
                  <c:v>1.6638582657765533</c:v>
                </c:pt>
                <c:pt idx="16">
                  <c:v>0.94924280153306562</c:v>
                </c:pt>
                <c:pt idx="17">
                  <c:v>0.82517844014502828</c:v>
                </c:pt>
                <c:pt idx="18">
                  <c:v>1.0710374848232875</c:v>
                </c:pt>
                <c:pt idx="19">
                  <c:v>0.44709870262495272</c:v>
                </c:pt>
                <c:pt idx="20">
                  <c:v>5.4744147143814016E-3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Ianuarie-iulie 2018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5'!$A$24:$A$44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Spania</c:v>
                </c:pt>
                <c:pt idx="17">
                  <c:v>S.U.A.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</c:strCache>
            </c:strRef>
          </c:cat>
          <c:val>
            <c:numRef>
              <c:f>'Figura 5'!$C$24:$C$44</c:f>
              <c:numCache>
                <c:formatCode>#,##0.0</c:formatCode>
                <c:ptCount val="21"/>
                <c:pt idx="0">
                  <c:v>26.872472305547735</c:v>
                </c:pt>
                <c:pt idx="1">
                  <c:v>3.0735407676657283</c:v>
                </c:pt>
                <c:pt idx="2">
                  <c:v>3.5662386274862437</c:v>
                </c:pt>
                <c:pt idx="3">
                  <c:v>11.536351449623568</c:v>
                </c:pt>
                <c:pt idx="4">
                  <c:v>8.4398803376368043</c:v>
                </c:pt>
                <c:pt idx="5">
                  <c:v>8.2933839290962847</c:v>
                </c:pt>
                <c:pt idx="6">
                  <c:v>2.0870532105770465</c:v>
                </c:pt>
                <c:pt idx="7">
                  <c:v>3.451664982715779</c:v>
                </c:pt>
                <c:pt idx="8">
                  <c:v>1.5593609099476284</c:v>
                </c:pt>
                <c:pt idx="9">
                  <c:v>1.9648246088416306</c:v>
                </c:pt>
                <c:pt idx="10">
                  <c:v>1.2286305842004066E-2</c:v>
                </c:pt>
                <c:pt idx="11">
                  <c:v>1.4730003630817594</c:v>
                </c:pt>
                <c:pt idx="12">
                  <c:v>3.2968740497763953</c:v>
                </c:pt>
                <c:pt idx="13">
                  <c:v>3.6303885236853968</c:v>
                </c:pt>
                <c:pt idx="14">
                  <c:v>0.28077341132540828</c:v>
                </c:pt>
                <c:pt idx="15">
                  <c:v>2.2034246484580611</c:v>
                </c:pt>
                <c:pt idx="16">
                  <c:v>1.1965791577408476</c:v>
                </c:pt>
                <c:pt idx="17">
                  <c:v>0.84462515125905036</c:v>
                </c:pt>
                <c:pt idx="18">
                  <c:v>1.3936418987589878</c:v>
                </c:pt>
                <c:pt idx="19">
                  <c:v>0.65552336011553913</c:v>
                </c:pt>
                <c:pt idx="20">
                  <c:v>0.60824558419361452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Ianuarie-iulie 2019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5'!$A$24:$A$44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Spania</c:v>
                </c:pt>
                <c:pt idx="17">
                  <c:v>S.U.A.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</c:strCache>
            </c:strRef>
          </c:cat>
          <c:val>
            <c:numRef>
              <c:f>'Figura 5'!$D$24:$D$44</c:f>
              <c:numCache>
                <c:formatCode>#,##0.0</c:formatCode>
                <c:ptCount val="21"/>
                <c:pt idx="0">
                  <c:v>28.339654713936053</c:v>
                </c:pt>
                <c:pt idx="1">
                  <c:v>2.6651700811052557</c:v>
                </c:pt>
                <c:pt idx="2">
                  <c:v>7.928273389812067</c:v>
                </c:pt>
                <c:pt idx="3">
                  <c:v>10.15880922654417</c:v>
                </c:pt>
                <c:pt idx="4">
                  <c:v>8.8991969797915651</c:v>
                </c:pt>
                <c:pt idx="5">
                  <c:v>8.3455371888927647</c:v>
                </c:pt>
                <c:pt idx="6">
                  <c:v>1.4693781936786803</c:v>
                </c:pt>
                <c:pt idx="7">
                  <c:v>3.848462772007212</c:v>
                </c:pt>
                <c:pt idx="8">
                  <c:v>1.8559372418014852</c:v>
                </c:pt>
                <c:pt idx="9">
                  <c:v>2.7860919104707507</c:v>
                </c:pt>
                <c:pt idx="10">
                  <c:v>0</c:v>
                </c:pt>
                <c:pt idx="11">
                  <c:v>1.3999984455350385</c:v>
                </c:pt>
                <c:pt idx="12">
                  <c:v>2.0492992359140105</c:v>
                </c:pt>
                <c:pt idx="13">
                  <c:v>2.9915419747831811</c:v>
                </c:pt>
                <c:pt idx="14">
                  <c:v>0.30571970106355101</c:v>
                </c:pt>
                <c:pt idx="15">
                  <c:v>1.3137020120692955</c:v>
                </c:pt>
                <c:pt idx="16">
                  <c:v>1.2714686680317258</c:v>
                </c:pt>
                <c:pt idx="17">
                  <c:v>0.81083782848699104</c:v>
                </c:pt>
                <c:pt idx="18">
                  <c:v>0.99252836190945237</c:v>
                </c:pt>
                <c:pt idx="19">
                  <c:v>0.53327834596388701</c:v>
                </c:pt>
                <c:pt idx="20">
                  <c:v>4.9348723066791941E-3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Ianuarie-iulie 2020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5'!$A$24:$A$44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Spania</c:v>
                </c:pt>
                <c:pt idx="17">
                  <c:v>S.U.A.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</c:strCache>
            </c:strRef>
          </c:cat>
          <c:val>
            <c:numRef>
              <c:f>'Figura 5'!$E$24:$E$44</c:f>
              <c:numCache>
                <c:formatCode>#,##0.0</c:formatCode>
                <c:ptCount val="21"/>
                <c:pt idx="0">
                  <c:v>26.226380047632823</c:v>
                </c:pt>
                <c:pt idx="1">
                  <c:v>2.4766863063813234</c:v>
                </c:pt>
                <c:pt idx="2">
                  <c:v>7.1100795658721054</c:v>
                </c:pt>
                <c:pt idx="3">
                  <c:v>9.1259850901446047</c:v>
                </c:pt>
                <c:pt idx="4">
                  <c:v>8.9236759461760169</c:v>
                </c:pt>
                <c:pt idx="5">
                  <c:v>10.098886645130927</c:v>
                </c:pt>
                <c:pt idx="6">
                  <c:v>1.5388765680513723</c:v>
                </c:pt>
                <c:pt idx="7">
                  <c:v>3.9693636099529672</c:v>
                </c:pt>
                <c:pt idx="8">
                  <c:v>3.4242560880337982</c:v>
                </c:pt>
                <c:pt idx="9">
                  <c:v>3.0445753213974447</c:v>
                </c:pt>
                <c:pt idx="10">
                  <c:v>5.1459646376026619E-3</c:v>
                </c:pt>
                <c:pt idx="11">
                  <c:v>1.5058452596223515</c:v>
                </c:pt>
                <c:pt idx="12">
                  <c:v>1.6301561421031567</c:v>
                </c:pt>
                <c:pt idx="13">
                  <c:v>2.791246954894365</c:v>
                </c:pt>
                <c:pt idx="14">
                  <c:v>0.85206581842130735</c:v>
                </c:pt>
                <c:pt idx="15">
                  <c:v>1.4903012720700635</c:v>
                </c:pt>
                <c:pt idx="16">
                  <c:v>1.6683461632138963</c:v>
                </c:pt>
                <c:pt idx="17">
                  <c:v>1.1027572034426538</c:v>
                </c:pt>
                <c:pt idx="18">
                  <c:v>1.6704803344796177</c:v>
                </c:pt>
                <c:pt idx="19">
                  <c:v>0.69889167744668512</c:v>
                </c:pt>
                <c:pt idx="20">
                  <c:v>0.65831814746078687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Ianuarie-iulie 2021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5'!$A$24:$A$44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Spania</c:v>
                </c:pt>
                <c:pt idx="17">
                  <c:v>S.U.A.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</c:strCache>
            </c:strRef>
          </c:cat>
          <c:val>
            <c:numRef>
              <c:f>'Figura 5'!$F$24:$F$44</c:f>
              <c:numCache>
                <c:formatCode>#,##0.0</c:formatCode>
                <c:ptCount val="21"/>
                <c:pt idx="0">
                  <c:v>27.904482296474857</c:v>
                </c:pt>
                <c:pt idx="1">
                  <c:v>2.7744628374759683</c:v>
                </c:pt>
                <c:pt idx="2">
                  <c:v>8.6038869416926111</c:v>
                </c:pt>
                <c:pt idx="3">
                  <c:v>7.5608603027177645</c:v>
                </c:pt>
                <c:pt idx="4">
                  <c:v>9.8572391422937269</c:v>
                </c:pt>
                <c:pt idx="5">
                  <c:v>9.5377281812099941</c:v>
                </c:pt>
                <c:pt idx="6">
                  <c:v>1.3781220294496308</c:v>
                </c:pt>
                <c:pt idx="7">
                  <c:v>3.8375215102547058</c:v>
                </c:pt>
                <c:pt idx="8">
                  <c:v>3.1737528383112044</c:v>
                </c:pt>
                <c:pt idx="9">
                  <c:v>1.7277109107252526</c:v>
                </c:pt>
                <c:pt idx="10">
                  <c:v>1.1332048527311872E-3</c:v>
                </c:pt>
                <c:pt idx="11">
                  <c:v>1.369623349555684</c:v>
                </c:pt>
                <c:pt idx="12">
                  <c:v>2.1113718231169436</c:v>
                </c:pt>
                <c:pt idx="13">
                  <c:v>2.231956917983914</c:v>
                </c:pt>
                <c:pt idx="14">
                  <c:v>1.4570861098676868</c:v>
                </c:pt>
                <c:pt idx="15">
                  <c:v>1.3005892381444986</c:v>
                </c:pt>
                <c:pt idx="16">
                  <c:v>1.2351612507697265</c:v>
                </c:pt>
                <c:pt idx="17">
                  <c:v>0.83221381321029864</c:v>
                </c:pt>
                <c:pt idx="18">
                  <c:v>0.97334657603648789</c:v>
                </c:pt>
                <c:pt idx="19">
                  <c:v>0.92282439622863133</c:v>
                </c:pt>
                <c:pt idx="20">
                  <c:v>1.0274607311266253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Ianuarie-iulie 2022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5'!$A$24:$A$44</c:f>
              <c:strCache>
                <c:ptCount val="21"/>
                <c:pt idx="0">
                  <c:v>România</c:v>
                </c:pt>
                <c:pt idx="1">
                  <c:v>Ucraina</c:v>
                </c:pt>
                <c:pt idx="2">
                  <c:v>Turcia</c:v>
                </c:pt>
                <c:pt idx="3">
                  <c:v>Italia</c:v>
                </c:pt>
                <c:pt idx="4">
                  <c:v>Germania</c:v>
                </c:pt>
                <c:pt idx="5">
                  <c:v>Federația Rusă</c:v>
                </c:pt>
                <c:pt idx="6">
                  <c:v>Bulgaria</c:v>
                </c:pt>
                <c:pt idx="7">
                  <c:v>Polonia</c:v>
                </c:pt>
                <c:pt idx="8">
                  <c:v>Cehia</c:v>
                </c:pt>
                <c:pt idx="9">
                  <c:v>Elveția</c:v>
                </c:pt>
                <c:pt idx="10">
                  <c:v>Iran</c:v>
                </c:pt>
                <c:pt idx="11">
                  <c:v>Netherlands</c:v>
                </c:pt>
                <c:pt idx="12">
                  <c:v>Regatul Unit </c:v>
                </c:pt>
                <c:pt idx="13">
                  <c:v>Belarus</c:v>
                </c:pt>
                <c:pt idx="14">
                  <c:v>Ungaria</c:v>
                </c:pt>
                <c:pt idx="15">
                  <c:v>Franța</c:v>
                </c:pt>
                <c:pt idx="16">
                  <c:v>Spania</c:v>
                </c:pt>
                <c:pt idx="17">
                  <c:v>S.U.A.</c:v>
                </c:pt>
                <c:pt idx="18">
                  <c:v>Grecia</c:v>
                </c:pt>
                <c:pt idx="19">
                  <c:v>Liban</c:v>
                </c:pt>
                <c:pt idx="20">
                  <c:v>Portugalia</c:v>
                </c:pt>
              </c:strCache>
            </c:strRef>
          </c:cat>
          <c:val>
            <c:numRef>
              <c:f>'Figura 5'!$G$24:$G$44</c:f>
              <c:numCache>
                <c:formatCode>#,##0.0</c:formatCode>
                <c:ptCount val="21"/>
                <c:pt idx="0">
                  <c:v>28.494447966099205</c:v>
                </c:pt>
                <c:pt idx="1">
                  <c:v>12.519820061418926</c:v>
                </c:pt>
                <c:pt idx="2">
                  <c:v>8.6769462266453115</c:v>
                </c:pt>
                <c:pt idx="3">
                  <c:v>8.2513378093791534</c:v>
                </c:pt>
                <c:pt idx="4">
                  <c:v>5.456262194549506</c:v>
                </c:pt>
                <c:pt idx="5">
                  <c:v>5.0869900362412324</c:v>
                </c:pt>
                <c:pt idx="6">
                  <c:v>4.5462654771528435</c:v>
                </c:pt>
                <c:pt idx="7">
                  <c:v>2.772275719233853</c:v>
                </c:pt>
                <c:pt idx="8">
                  <c:v>2.1860182146156379</c:v>
                </c:pt>
                <c:pt idx="9">
                  <c:v>2.1410722252183856</c:v>
                </c:pt>
                <c:pt idx="10">
                  <c:v>1.9716402925086158</c:v>
                </c:pt>
                <c:pt idx="11">
                  <c:v>1.8384121150924391</c:v>
                </c:pt>
                <c:pt idx="12">
                  <c:v>1.6285199812345557</c:v>
                </c:pt>
                <c:pt idx="13">
                  <c:v>1.4560562075123236</c:v>
                </c:pt>
                <c:pt idx="14">
                  <c:v>1.2096608052285716</c:v>
                </c:pt>
                <c:pt idx="15">
                  <c:v>1.0082609041824053</c:v>
                </c:pt>
                <c:pt idx="16">
                  <c:v>0.91502075420788564</c:v>
                </c:pt>
                <c:pt idx="17">
                  <c:v>0.90439175248387149</c:v>
                </c:pt>
                <c:pt idx="18">
                  <c:v>0.81852937589969621</c:v>
                </c:pt>
                <c:pt idx="19">
                  <c:v>0.59450231474499327</c:v>
                </c:pt>
                <c:pt idx="20">
                  <c:v>0.55695012101025121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762464"/>
        <c:axId val="245763024"/>
      </c:barChart>
      <c:catAx>
        <c:axId val="24576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3024"/>
        <c:crosses val="autoZero"/>
        <c:auto val="1"/>
        <c:lblAlgn val="ctr"/>
        <c:lblOffset val="100"/>
        <c:noMultiLvlLbl val="0"/>
      </c:catAx>
      <c:valAx>
        <c:axId val="245763024"/>
        <c:scaling>
          <c:orientation val="minMax"/>
          <c:max val="35"/>
        </c:scaling>
        <c:delete val="0"/>
        <c:axPos val="l"/>
        <c:numFmt formatCode="0.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5762464"/>
        <c:crosses val="autoZero"/>
        <c:crossBetween val="between"/>
        <c:majorUnit val="5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6.0606163376636477E-2"/>
          <c:y val="0.88790595350338486"/>
          <c:w val="0.92992339629063392"/>
          <c:h val="8.1852389810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1" baseline="0">
                <a:solidFill>
                  <a:sysClr val="windowText" lastClr="000000"/>
                </a:solidFill>
              </a:rPr>
              <a:t>Ianuarie - i</a:t>
            </a:r>
            <a:r>
              <a:rPr lang="ro-RO" sz="800" b="1" baseline="0">
                <a:solidFill>
                  <a:sysClr val="windowText" lastClr="000000"/>
                </a:solidFill>
              </a:rPr>
              <a:t>ulie</a:t>
            </a:r>
            <a:r>
              <a:rPr lang="en-US" sz="800" b="1" baseline="0">
                <a:solidFill>
                  <a:sysClr val="windowText" lastClr="000000"/>
                </a:solidFill>
              </a:rPr>
              <a:t>  2021</a:t>
            </a:r>
          </a:p>
        </c:rich>
      </c:tx>
      <c:layout>
        <c:manualLayout>
          <c:xMode val="edge"/>
          <c:yMode val="edge"/>
          <c:x val="0.33018857772446841"/>
          <c:y val="3.7970528213917789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750134653080686"/>
          <c:y val="0.15936408764121876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6'!$B$27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9"/>
            <c:bubble3D val="0"/>
            <c:spPr>
              <a:solidFill>
                <a:schemeClr val="accent1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Pt>
            <c:idx val="10"/>
            <c:bubble3D val="0"/>
            <c:spPr>
              <a:solidFill>
                <a:schemeClr val="accent1">
                  <a:shade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11"/>
            <c:bubble3D val="0"/>
            <c:spPr>
              <a:solidFill>
                <a:schemeClr val="accent1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68AF-449D-A134-DC727067AB63}"/>
              </c:ext>
            </c:extLst>
          </c:dPt>
          <c:dPt>
            <c:idx val="12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84F9-42DB-8F03-9093B739ED79}"/>
              </c:ext>
            </c:extLst>
          </c:dPt>
          <c:dLbls>
            <c:dLbl>
              <c:idx val="0"/>
              <c:layout>
                <c:manualLayout>
                  <c:x val="-3.3445116358227296E-3"/>
                  <c:y val="4.79720047556857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078821719321169"/>
                      <c:h val="0.1534568640876412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812-4B6E-845E-70CFFD92003C}"/>
                </c:ext>
              </c:extLst>
            </c:dLbl>
            <c:dLbl>
              <c:idx val="1"/>
              <c:layout>
                <c:manualLayout>
                  <c:x val="-6.1004077983863501E-2"/>
                  <c:y val="-5.04567091023281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41631910600104"/>
                      <c:h val="0.170046116773207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812-4B6E-845E-70CFFD92003C}"/>
                </c:ext>
              </c:extLst>
            </c:dLbl>
            <c:dLbl>
              <c:idx val="2"/>
              <c:layout>
                <c:manualLayout>
                  <c:x val="-4.1549800083548463E-3"/>
                  <c:y val="-0.16118603508169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43833621816442"/>
                      <c:h val="0.18300753404009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12-4B6E-845E-70CFFD92003C}"/>
                </c:ext>
              </c:extLst>
            </c:dLbl>
            <c:dLbl>
              <c:idx val="3"/>
              <c:layout>
                <c:manualLayout>
                  <c:x val="1.2978268893707089E-2"/>
                  <c:y val="-6.78976654215870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55217019040984"/>
                      <c:h val="0.1679699493193855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F812-4B6E-845E-70CFFD92003C}"/>
                </c:ext>
              </c:extLst>
            </c:dLbl>
            <c:dLbl>
              <c:idx val="4"/>
              <c:layout>
                <c:manualLayout>
                  <c:x val="-1.9446267894677516E-2"/>
                  <c:y val="4.9469383027503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57911453256683"/>
                      <c:h val="0.20136346589028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F812-4B6E-845E-70CFFD92003C}"/>
                </c:ext>
              </c:extLst>
            </c:dLbl>
            <c:dLbl>
              <c:idx val="5"/>
              <c:layout>
                <c:manualLayout>
                  <c:x val="-7.2921985063179789E-2"/>
                  <c:y val="1.9226522827508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681281896565062"/>
                      <c:h val="0.17921682316101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F812-4B6E-845E-70CFFD92003C}"/>
                </c:ext>
              </c:extLst>
            </c:dLbl>
            <c:dLbl>
              <c:idx val="6"/>
              <c:layout>
                <c:manualLayout>
                  <c:x val="4.0537232643516587E-2"/>
                  <c:y val="2.98980141388433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742308013870364"/>
                      <c:h val="0.171372578754279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F812-4B6E-845E-70CFFD92003C}"/>
                </c:ext>
              </c:extLst>
            </c:dLbl>
            <c:dLbl>
              <c:idx val="7"/>
              <c:layout>
                <c:manualLayout>
                  <c:x val="7.7094647013188522E-2"/>
                  <c:y val="1.83807441180287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2896191530792"/>
                      <c:h val="0.1703827559007078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8"/>
              <c:layout>
                <c:manualLayout>
                  <c:x val="4.9007849676973025E-2"/>
                  <c:y val="6.89359199523562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300820500821163"/>
                      <c:h val="0.1523909755817141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9"/>
              <c:layout>
                <c:manualLayout>
                  <c:x val="7.0086796231094055E-3"/>
                  <c:y val="2.5266206603515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812-4B6E-845E-70CFFD92003C}"/>
                </c:ext>
              </c:extLst>
            </c:dLbl>
            <c:dLbl>
              <c:idx val="10"/>
              <c:layout>
                <c:manualLayout>
                  <c:x val="-1.0512743154325785E-2"/>
                  <c:y val="-8.52892417629484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812-4B6E-845E-70CFFD92003C}"/>
                </c:ext>
              </c:extLst>
            </c:dLbl>
            <c:dLbl>
              <c:idx val="11"/>
              <c:layout>
                <c:manualLayout>
                  <c:x val="1.052628089090463E-2"/>
                  <c:y val="-0.180421848777492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8AF-449D-A134-DC727067AB63}"/>
                </c:ext>
              </c:extLst>
            </c:dLbl>
            <c:dLbl>
              <c:idx val="12"/>
              <c:layout>
                <c:manualLayout>
                  <c:x val="0.12192859147863026"/>
                  <c:y val="1.49582979377059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907749395164853"/>
                      <c:h val="0.1574230001032480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84F9-42DB-8F03-9093B739ED7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6'!$A$28:$A$40</c:f>
              <c:strCache>
                <c:ptCount val="13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Seminţe şi fructe oleaginoase</c:v>
                </c:pt>
                <c:pt idx="3">
                  <c:v>Petrol şi produse petroliere </c:v>
                </c:pt>
                <c:pt idx="4">
                  <c:v>Grăsimi şi uleiuri vegetale </c:v>
                </c:pt>
                <c:pt idx="5">
                  <c:v>Legume şi fructe</c:v>
                </c:pt>
                <c:pt idx="6">
                  <c:v>Îmbrăcăminte şi accesorii</c:v>
                </c:pt>
                <c:pt idx="7">
                  <c:v>Băuturi alcoolice şi nealcoolice</c:v>
                </c:pt>
                <c:pt idx="8">
                  <c:v>Mobilă şi părţile ei</c:v>
                </c:pt>
                <c:pt idx="9">
                  <c:v>Fire, tesături şi articole textile </c:v>
                </c:pt>
                <c:pt idx="10">
                  <c:v>Articole din minerale nemetalice</c:v>
                </c:pt>
                <c:pt idx="11">
                  <c:v>Vehicule rutiere</c:v>
                </c:pt>
                <c:pt idx="12">
                  <c:v>Alte mărfuri</c:v>
                </c:pt>
              </c:strCache>
            </c:strRef>
          </c:cat>
          <c:val>
            <c:numRef>
              <c:f>'Figura 6'!$B$28:$B$40</c:f>
              <c:numCache>
                <c:formatCode>0.0</c:formatCode>
                <c:ptCount val="13"/>
                <c:pt idx="0">
                  <c:v>5.8</c:v>
                </c:pt>
                <c:pt idx="1">
                  <c:v>21.1</c:v>
                </c:pt>
                <c:pt idx="2">
                  <c:v>5.8</c:v>
                </c:pt>
                <c:pt idx="3">
                  <c:v>0.8</c:v>
                </c:pt>
                <c:pt idx="4">
                  <c:v>2.8</c:v>
                </c:pt>
                <c:pt idx="5">
                  <c:v>9.8000000000000007</c:v>
                </c:pt>
                <c:pt idx="6">
                  <c:v>10.1</c:v>
                </c:pt>
                <c:pt idx="7">
                  <c:v>6.9</c:v>
                </c:pt>
                <c:pt idx="8">
                  <c:v>6</c:v>
                </c:pt>
                <c:pt idx="9">
                  <c:v>3</c:v>
                </c:pt>
                <c:pt idx="10">
                  <c:v>2.2999999999999998</c:v>
                </c:pt>
                <c:pt idx="11">
                  <c:v>2.1</c:v>
                </c:pt>
                <c:pt idx="12" formatCode="#,##0.0">
                  <c:v>23.5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ro-RO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iulie</a:t>
            </a:r>
            <a:r>
              <a:rPr lang="en-US" sz="8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2022</a:t>
            </a:r>
          </a:p>
        </c:rich>
      </c:tx>
      <c:layout>
        <c:manualLayout>
          <c:xMode val="edge"/>
          <c:yMode val="edge"/>
          <c:x val="0.32718738178580242"/>
          <c:y val="1.392070889098046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6'!$B$42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tint val="89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9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9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7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65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65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65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4C1F-4FBA-8D74-9AD92DA2B96A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shade val="4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BE68-4648-9E21-F0C123FEF414}"/>
              </c:ext>
            </c:extLst>
          </c:dPt>
          <c:dLbls>
            <c:dLbl>
              <c:idx val="0"/>
              <c:layout>
                <c:manualLayout>
                  <c:x val="-1.6835255270168555E-2"/>
                  <c:y val="5.5057764701605449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1380499079406115"/>
                      <c:h val="0.1712678749403548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4378-4F5F-8973-1809C55EF17F}"/>
                </c:ext>
              </c:extLst>
            </c:dLbl>
            <c:dLbl>
              <c:idx val="1"/>
              <c:layout>
                <c:manualLayout>
                  <c:x val="-3.450436970164128E-2"/>
                  <c:y val="-2.6293406575498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65504498504852"/>
                      <c:h val="0.1899409441836142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378-4F5F-8973-1809C55EF17F}"/>
                </c:ext>
              </c:extLst>
            </c:dLbl>
            <c:dLbl>
              <c:idx val="2"/>
              <c:layout>
                <c:manualLayout>
                  <c:x val="4.4636904242517815E-3"/>
                  <c:y val="-0.1174553394500901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510896958775673"/>
                      <c:h val="0.1583281745791085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378-4F5F-8973-1809C55EF17F}"/>
                </c:ext>
              </c:extLst>
            </c:dLbl>
            <c:dLbl>
              <c:idx val="3"/>
              <c:layout>
                <c:manualLayout>
                  <c:x val="5.0641958923017885E-2"/>
                  <c:y val="-0.109881628044357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869398380642292"/>
                      <c:h val="0.1791742301945182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378-4F5F-8973-1809C55EF17F}"/>
                </c:ext>
              </c:extLst>
            </c:dLbl>
            <c:dLbl>
              <c:idx val="4"/>
              <c:layout>
                <c:manualLayout>
                  <c:x val="0.16553573735753774"/>
                  <c:y val="-1.111512951302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16130632924617"/>
                      <c:h val="0.1594321098408433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4378-4F5F-8973-1809C55EF17F}"/>
                </c:ext>
              </c:extLst>
            </c:dLbl>
            <c:dLbl>
              <c:idx val="5"/>
              <c:layout>
                <c:manualLayout>
                  <c:x val="0.22952811675737145"/>
                  <c:y val="5.07091156158996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72233321581071"/>
                      <c:h val="0.166876351994462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378-4F5F-8973-1809C55EF17F}"/>
                </c:ext>
              </c:extLst>
            </c:dLbl>
            <c:dLbl>
              <c:idx val="6"/>
              <c:layout>
                <c:manualLayout>
                  <c:x val="0.16998984765790565"/>
                  <c:y val="0.17660510781365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571277286846771"/>
                      <c:h val="0.14726426222767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4378-4F5F-8973-1809C55EF17F}"/>
                </c:ext>
              </c:extLst>
            </c:dLbl>
            <c:dLbl>
              <c:idx val="7"/>
              <c:layout>
                <c:manualLayout>
                  <c:x val="4.0185642087089531E-2"/>
                  <c:y val="0.1963109816865335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105294882686201"/>
                      <c:h val="0.176848928005977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8"/>
              <c:layout>
                <c:manualLayout>
                  <c:x val="-1.0912667331751663E-2"/>
                  <c:y val="0.13743294944711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886851830088404"/>
                      <c:h val="0.1475402754717542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9"/>
              <c:layout>
                <c:manualLayout>
                  <c:x val="-7.1322986626923823E-2"/>
                  <c:y val="6.3464716483089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198913568639739"/>
                      <c:h val="0.159621772727220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4378-4F5F-8973-1809C55EF17F}"/>
                </c:ext>
              </c:extLst>
            </c:dLbl>
            <c:dLbl>
              <c:idx val="10"/>
              <c:layout>
                <c:manualLayout>
                  <c:x val="2.0355562414118719E-2"/>
                  <c:y val="-4.7405790760907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95490221412198"/>
                      <c:h val="0.1944265461898237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4378-4F5F-8973-1809C55EF17F}"/>
                </c:ext>
              </c:extLst>
            </c:dLbl>
            <c:dLbl>
              <c:idx val="11"/>
              <c:layout>
                <c:manualLayout>
                  <c:x val="7.9971767115991743E-2"/>
                  <c:y val="-0.140487753206329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C1F-4FBA-8D74-9AD92DA2B96A}"/>
                </c:ext>
              </c:extLst>
            </c:dLbl>
            <c:dLbl>
              <c:idx val="12"/>
              <c:layout>
                <c:manualLayout>
                  <c:x val="0.14139745008172883"/>
                  <c:y val="-4.61283985964982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E68-4648-9E21-F0C123FEF41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6'!$A$43:$A$55</c:f>
              <c:strCache>
                <c:ptCount val="13"/>
                <c:pt idx="0">
                  <c:v>Cereale şi preparate pe bază de cereale</c:v>
                </c:pt>
                <c:pt idx="1">
                  <c:v>Maşini şi aparate electrice </c:v>
                </c:pt>
                <c:pt idx="2">
                  <c:v>Seminţe şi fructe oleaginoase</c:v>
                </c:pt>
                <c:pt idx="3">
                  <c:v>Petrol şi produse petroliere </c:v>
                </c:pt>
                <c:pt idx="4">
                  <c:v>Grăsimi şi uleiuri vegetale </c:v>
                </c:pt>
                <c:pt idx="5">
                  <c:v>Legume şi fructe</c:v>
                </c:pt>
                <c:pt idx="6">
                  <c:v>Îmbrăcăminte şi accesorii</c:v>
                </c:pt>
                <c:pt idx="7">
                  <c:v>Băuturi alcoolice şi nealcoolice</c:v>
                </c:pt>
                <c:pt idx="8">
                  <c:v>Mobilă şi părţile ei</c:v>
                </c:pt>
                <c:pt idx="9">
                  <c:v>Fire, tesături şi articole textile </c:v>
                </c:pt>
                <c:pt idx="10">
                  <c:v>Articole din minerale nemetalice</c:v>
                </c:pt>
                <c:pt idx="11">
                  <c:v>Vehicule rutiere</c:v>
                </c:pt>
                <c:pt idx="12">
                  <c:v>Alte mărfuri</c:v>
                </c:pt>
              </c:strCache>
            </c:strRef>
          </c:cat>
          <c:val>
            <c:numRef>
              <c:f>'Figura 6'!$B$43:$B$55</c:f>
              <c:numCache>
                <c:formatCode>0.0</c:formatCode>
                <c:ptCount val="13"/>
                <c:pt idx="0">
                  <c:v>13.7</c:v>
                </c:pt>
                <c:pt idx="1">
                  <c:v>12.1</c:v>
                </c:pt>
                <c:pt idx="2">
                  <c:v>10.5</c:v>
                </c:pt>
                <c:pt idx="3">
                  <c:v>9.9</c:v>
                </c:pt>
                <c:pt idx="4">
                  <c:v>9.8000000000000007</c:v>
                </c:pt>
                <c:pt idx="5">
                  <c:v>8.1999999999999993</c:v>
                </c:pt>
                <c:pt idx="6">
                  <c:v>6.7</c:v>
                </c:pt>
                <c:pt idx="7">
                  <c:v>3.4</c:v>
                </c:pt>
                <c:pt idx="8">
                  <c:v>3.3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 formatCode="#,##0.0">
                  <c:v>16.399999999999999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7'!$B$22:$B$27</c:f>
              <c:numCache>
                <c:formatCode>#,##0.0</c:formatCode>
                <c:ptCount val="6"/>
                <c:pt idx="0">
                  <c:v>266.8</c:v>
                </c:pt>
                <c:pt idx="1">
                  <c:v>374.3</c:v>
                </c:pt>
                <c:pt idx="2">
                  <c:v>372.6</c:v>
                </c:pt>
                <c:pt idx="3">
                  <c:v>379.8</c:v>
                </c:pt>
                <c:pt idx="4">
                  <c:v>399.4</c:v>
                </c:pt>
                <c:pt idx="5">
                  <c:v>621.70000000000005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7'!$C$22:$C$27</c:f>
              <c:numCache>
                <c:formatCode>#,##0.0</c:formatCode>
                <c:ptCount val="6"/>
                <c:pt idx="0">
                  <c:v>332.7</c:v>
                </c:pt>
                <c:pt idx="1">
                  <c:v>427.6</c:v>
                </c:pt>
                <c:pt idx="2">
                  <c:v>459.3</c:v>
                </c:pt>
                <c:pt idx="3">
                  <c:v>484.8</c:v>
                </c:pt>
                <c:pt idx="4">
                  <c:v>521.4</c:v>
                </c:pt>
                <c:pt idx="5">
                  <c:v>669.1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7'!$D$22:$D$27</c:f>
              <c:numCache>
                <c:formatCode>#,##0.0</c:formatCode>
                <c:ptCount val="6"/>
                <c:pt idx="0">
                  <c:v>431.2</c:v>
                </c:pt>
                <c:pt idx="1">
                  <c:v>524.1</c:v>
                </c:pt>
                <c:pt idx="2">
                  <c:v>533.79999999999995</c:v>
                </c:pt>
                <c:pt idx="3">
                  <c:v>500.5</c:v>
                </c:pt>
                <c:pt idx="4">
                  <c:v>630.1</c:v>
                </c:pt>
                <c:pt idx="5">
                  <c:v>748.3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7'!$E$22:$E$27</c:f>
              <c:numCache>
                <c:formatCode>#,##0.0</c:formatCode>
                <c:ptCount val="6"/>
                <c:pt idx="0">
                  <c:v>361.5</c:v>
                </c:pt>
                <c:pt idx="1">
                  <c:v>444.6</c:v>
                </c:pt>
                <c:pt idx="2">
                  <c:v>515.6</c:v>
                </c:pt>
                <c:pt idx="3">
                  <c:v>285.60000000000002</c:v>
                </c:pt>
                <c:pt idx="4">
                  <c:v>562.20000000000005</c:v>
                </c:pt>
                <c:pt idx="5">
                  <c:v>770.5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7'!$F$22:$F$27</c:f>
              <c:numCache>
                <c:formatCode>#,##0.0</c:formatCode>
                <c:ptCount val="6"/>
                <c:pt idx="0">
                  <c:v>400.4</c:v>
                </c:pt>
                <c:pt idx="1">
                  <c:v>505.6</c:v>
                </c:pt>
                <c:pt idx="2">
                  <c:v>481.6</c:v>
                </c:pt>
                <c:pt idx="3">
                  <c:v>329.4</c:v>
                </c:pt>
                <c:pt idx="4">
                  <c:v>563.4</c:v>
                </c:pt>
                <c:pt idx="5">
                  <c:v>772.7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7'!$G$22:$G$27</c:f>
              <c:numCache>
                <c:formatCode>#,##0.0</c:formatCode>
                <c:ptCount val="6"/>
                <c:pt idx="0">
                  <c:v>388.8</c:v>
                </c:pt>
                <c:pt idx="1">
                  <c:v>458.7</c:v>
                </c:pt>
                <c:pt idx="2">
                  <c:v>445.4</c:v>
                </c:pt>
                <c:pt idx="3">
                  <c:v>413.5</c:v>
                </c:pt>
                <c:pt idx="4">
                  <c:v>589.6</c:v>
                </c:pt>
                <c:pt idx="5">
                  <c:v>768.3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7'!$H$22:$H$27</c:f>
              <c:numCache>
                <c:formatCode>#,##0.0</c:formatCode>
                <c:ptCount val="6"/>
                <c:pt idx="0">
                  <c:v>396.9</c:v>
                </c:pt>
                <c:pt idx="1">
                  <c:v>488</c:v>
                </c:pt>
                <c:pt idx="2">
                  <c:v>499.1</c:v>
                </c:pt>
                <c:pt idx="3">
                  <c:v>496.6</c:v>
                </c:pt>
                <c:pt idx="4">
                  <c:v>562</c:v>
                </c:pt>
                <c:pt idx="5">
                  <c:v>761.2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7'!$I$22:$I$27</c:f>
              <c:numCache>
                <c:formatCode>#,##0.0</c:formatCode>
                <c:ptCount val="6"/>
                <c:pt idx="0">
                  <c:v>429.7</c:v>
                </c:pt>
                <c:pt idx="1">
                  <c:v>480.7</c:v>
                </c:pt>
                <c:pt idx="2">
                  <c:v>464.3</c:v>
                </c:pt>
                <c:pt idx="3">
                  <c:v>433.6</c:v>
                </c:pt>
                <c:pt idx="4">
                  <c:v>574.9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7'!$J$22:$J$27</c:f>
              <c:numCache>
                <c:formatCode>#,##0.0</c:formatCode>
                <c:ptCount val="6"/>
                <c:pt idx="0">
                  <c:v>430.8</c:v>
                </c:pt>
                <c:pt idx="1">
                  <c:v>474</c:v>
                </c:pt>
                <c:pt idx="2">
                  <c:v>501.7</c:v>
                </c:pt>
                <c:pt idx="3">
                  <c:v>508.3</c:v>
                </c:pt>
                <c:pt idx="4">
                  <c:v>671.2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7'!$K$22:$K$27</c:f>
              <c:numCache>
                <c:formatCode>#,##0.0</c:formatCode>
                <c:ptCount val="6"/>
                <c:pt idx="0">
                  <c:v>465.9</c:v>
                </c:pt>
                <c:pt idx="1">
                  <c:v>540.6</c:v>
                </c:pt>
                <c:pt idx="2">
                  <c:v>525.29999999999995</c:v>
                </c:pt>
                <c:pt idx="3">
                  <c:v>493.6</c:v>
                </c:pt>
                <c:pt idx="4">
                  <c:v>646.79999999999995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7'!$L$22:$L$27</c:f>
              <c:numCache>
                <c:formatCode>#,##0.0</c:formatCode>
                <c:ptCount val="6"/>
                <c:pt idx="0">
                  <c:v>455.3</c:v>
                </c:pt>
                <c:pt idx="1">
                  <c:v>522.6</c:v>
                </c:pt>
                <c:pt idx="2">
                  <c:v>504.1</c:v>
                </c:pt>
                <c:pt idx="3">
                  <c:v>522.9</c:v>
                </c:pt>
                <c:pt idx="4">
                  <c:v>701.5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'Figura 7'!$M$22:$M$27</c:f>
              <c:numCache>
                <c:formatCode>#,##0.0</c:formatCode>
                <c:ptCount val="6"/>
                <c:pt idx="0">
                  <c:v>471.4</c:v>
                </c:pt>
                <c:pt idx="1">
                  <c:v>519.29999999999995</c:v>
                </c:pt>
                <c:pt idx="2">
                  <c:v>539.70000000000005</c:v>
                </c:pt>
                <c:pt idx="3">
                  <c:v>567.29999999999995</c:v>
                </c:pt>
                <c:pt idx="4">
                  <c:v>754.2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7836624"/>
        <c:axId val="247837184"/>
      </c:barChart>
      <c:catAx>
        <c:axId val="24783662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7184"/>
        <c:crosses val="autoZero"/>
        <c:auto val="0"/>
        <c:lblAlgn val="ctr"/>
        <c:lblOffset val="100"/>
        <c:tickLblSkip val="1"/>
        <c:noMultiLvlLbl val="0"/>
      </c:catAx>
      <c:valAx>
        <c:axId val="247837184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3662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7939800299882E-2"/>
          <c:y val="5.0154299877982728E-2"/>
          <c:w val="0.93864202688949594"/>
          <c:h val="0.69597384015189245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654111377711422E-2"/>
                  <c:y val="3.15979612718249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C5-4341-8624-B7AE9C654835}"/>
                </c:ext>
              </c:extLst>
            </c:dLbl>
            <c:dLbl>
              <c:idx val="1"/>
              <c:layout>
                <c:manualLayout>
                  <c:x val="-1.9671146801135374E-2"/>
                  <c:y val="-3.51507569995786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C5-4341-8624-B7AE9C654835}"/>
                </c:ext>
              </c:extLst>
            </c:dLbl>
            <c:dLbl>
              <c:idx val="2"/>
              <c:layout>
                <c:manualLayout>
                  <c:x val="-1.0122647693114132E-2"/>
                  <c:y val="-2.7061640612603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C5-4341-8624-B7AE9C654835}"/>
                </c:ext>
              </c:extLst>
            </c:dLbl>
            <c:dLbl>
              <c:idx val="3"/>
              <c:layout>
                <c:manualLayout>
                  <c:x val="-1.3399138807355307E-2"/>
                  <c:y val="-4.1761166222553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C5-4341-8624-B7AE9C654835}"/>
                </c:ext>
              </c:extLst>
            </c:dLbl>
            <c:dLbl>
              <c:idx val="4"/>
              <c:layout>
                <c:manualLayout>
                  <c:x val="-2.1706144329980671E-2"/>
                  <c:y val="-4.0789610474882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C5-4341-8624-B7AE9C654835}"/>
                </c:ext>
              </c:extLst>
            </c:dLbl>
            <c:dLbl>
              <c:idx val="5"/>
              <c:layout>
                <c:manualLayout>
                  <c:x val="-2.0720176851948185E-2"/>
                  <c:y val="-3.0066589699115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C5-4341-8624-B7AE9C654835}"/>
                </c:ext>
              </c:extLst>
            </c:dLbl>
            <c:dLbl>
              <c:idx val="6"/>
              <c:layout>
                <c:manualLayout>
                  <c:x val="-8.3832304109008136E-3"/>
                  <c:y val="-2.6869449718484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C5-4341-8624-B7AE9C654835}"/>
                </c:ext>
              </c:extLst>
            </c:dLbl>
            <c:dLbl>
              <c:idx val="7"/>
              <c:layout>
                <c:manualLayout>
                  <c:x val="-1.8153441655881019E-2"/>
                  <c:y val="3.70477016431295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C5-4341-8624-B7AE9C654835}"/>
                </c:ext>
              </c:extLst>
            </c:dLbl>
            <c:dLbl>
              <c:idx val="8"/>
              <c:layout>
                <c:manualLayout>
                  <c:x val="-2.2523170389309947E-2"/>
                  <c:y val="-3.100702556891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C5-4341-8624-B7AE9C654835}"/>
                </c:ext>
              </c:extLst>
            </c:dLbl>
            <c:dLbl>
              <c:idx val="9"/>
              <c:layout>
                <c:manualLayout>
                  <c:x val="-1.7112270149783584E-2"/>
                  <c:y val="-2.8576597304676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C5-4341-8624-B7AE9C654835}"/>
                </c:ext>
              </c:extLst>
            </c:dLbl>
            <c:dLbl>
              <c:idx val="10"/>
              <c:layout>
                <c:manualLayout>
                  <c:x val="-2.0353361350123261E-2"/>
                  <c:y val="-3.2330817296906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C5-4341-8624-B7AE9C654835}"/>
                </c:ext>
              </c:extLst>
            </c:dLbl>
            <c:dLbl>
              <c:idx val="11"/>
              <c:layout>
                <c:manualLayout>
                  <c:x val="-1.5565366788620158E-2"/>
                  <c:y val="-3.8466904864823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C5-4341-8624-B7AE9C654835}"/>
                </c:ext>
              </c:extLst>
            </c:dLbl>
            <c:dLbl>
              <c:idx val="12"/>
              <c:layout>
                <c:manualLayout>
                  <c:x val="-1.8026992920953038E-2"/>
                  <c:y val="3.6586717078588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C5-4341-8624-B7AE9C654835}"/>
                </c:ext>
              </c:extLst>
            </c:dLbl>
            <c:dLbl>
              <c:idx val="13"/>
              <c:layout>
                <c:manualLayout>
                  <c:x val="-2.5920869518839741E-2"/>
                  <c:y val="-3.357766427191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DC5-4341-8624-B7AE9C654835}"/>
                </c:ext>
              </c:extLst>
            </c:dLbl>
            <c:dLbl>
              <c:idx val="14"/>
              <c:layout>
                <c:manualLayout>
                  <c:x val="-2.1884433217755669E-2"/>
                  <c:y val="4.0001354227652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DC5-4341-8624-B7AE9C654835}"/>
                </c:ext>
              </c:extLst>
            </c:dLbl>
            <c:dLbl>
              <c:idx val="15"/>
              <c:layout>
                <c:manualLayout>
                  <c:x val="-1.9572486356910244E-2"/>
                  <c:y val="3.38994643277285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DC5-4341-8624-B7AE9C654835}"/>
                </c:ext>
              </c:extLst>
            </c:dLbl>
            <c:dLbl>
              <c:idx val="16"/>
              <c:layout>
                <c:manualLayout>
                  <c:x val="-2.2343425722920654E-2"/>
                  <c:y val="-3.67648869288305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DC5-4341-8624-B7AE9C654835}"/>
                </c:ext>
              </c:extLst>
            </c:dLbl>
            <c:dLbl>
              <c:idx val="17"/>
              <c:layout>
                <c:manualLayout>
                  <c:x val="-1.8379912221033991E-2"/>
                  <c:y val="-3.031520674542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DC5-4341-8624-B7AE9C654835}"/>
                </c:ext>
              </c:extLst>
            </c:dLbl>
            <c:dLbl>
              <c:idx val="18"/>
              <c:layout>
                <c:manualLayout>
                  <c:x val="-1.212602526380057E-2"/>
                  <c:y val="2.7167995360060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DC5-4341-8624-B7AE9C654835}"/>
                </c:ext>
              </c:extLst>
            </c:dLbl>
            <c:dLbl>
              <c:idx val="19"/>
              <c:layout>
                <c:manualLayout>
                  <c:x val="-2.0091579696466924E-2"/>
                  <c:y val="-3.3873816076734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DC5-4341-8624-B7AE9C654835}"/>
                </c:ext>
              </c:extLst>
            </c:dLbl>
            <c:dLbl>
              <c:idx val="20"/>
              <c:layout>
                <c:manualLayout>
                  <c:x val="-2.1552682436074902E-2"/>
                  <c:y val="4.57694748879683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DC5-4341-8624-B7AE9C654835}"/>
                </c:ext>
              </c:extLst>
            </c:dLbl>
            <c:dLbl>
              <c:idx val="21"/>
              <c:layout>
                <c:manualLayout>
                  <c:x val="-1.8672168312981918E-2"/>
                  <c:y val="3.534182832824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DC5-4341-8624-B7AE9C654835}"/>
                </c:ext>
              </c:extLst>
            </c:dLbl>
            <c:dLbl>
              <c:idx val="22"/>
              <c:layout>
                <c:manualLayout>
                  <c:x val="-2.5413698884658519E-2"/>
                  <c:y val="3.53338855116791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309466480373265E-2"/>
                      <c:h val="4.7087442145441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7DC5-4341-8624-B7AE9C654835}"/>
                </c:ext>
              </c:extLst>
            </c:dLbl>
            <c:dLbl>
              <c:idx val="23"/>
              <c:layout>
                <c:manualLayout>
                  <c:x val="-1.9844720927769361E-2"/>
                  <c:y val="4.14527032572594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DC5-4341-8624-B7AE9C654835}"/>
                </c:ext>
              </c:extLst>
            </c:dLbl>
            <c:dLbl>
              <c:idx val="24"/>
              <c:layout>
                <c:manualLayout>
                  <c:x val="-1.3910011783178147E-2"/>
                  <c:y val="3.1272741449215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DC5-4341-8624-B7AE9C654835}"/>
                </c:ext>
              </c:extLst>
            </c:dLbl>
            <c:dLbl>
              <c:idx val="25"/>
              <c:layout>
                <c:manualLayout>
                  <c:x val="-1.6362944638022115E-2"/>
                  <c:y val="4.4103706480047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DC5-4341-8624-B7AE9C654835}"/>
                </c:ext>
              </c:extLst>
            </c:dLbl>
            <c:dLbl>
              <c:idx val="26"/>
              <c:layout>
                <c:manualLayout>
                  <c:x val="-1.8058692171501647E-2"/>
                  <c:y val="3.214991163322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4C-4954-B7BA-1B3D8193EA75}"/>
                </c:ext>
              </c:extLst>
            </c:dLbl>
            <c:dLbl>
              <c:idx val="27"/>
              <c:layout>
                <c:manualLayout>
                  <c:x val="-1.8699001837820545E-2"/>
                  <c:y val="-3.2996645892723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4C-4954-B7BA-1B3D8193EA75}"/>
                </c:ext>
              </c:extLst>
            </c:dLbl>
            <c:dLbl>
              <c:idx val="28"/>
              <c:layout>
                <c:manualLayout>
                  <c:x val="-1.820109147931907E-2"/>
                  <c:y val="4.7350946044287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6684086313350142E-2"/>
                      <c:h val="6.599363376212649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B4C-4954-B7BA-1B3D8193EA75}"/>
                </c:ext>
              </c:extLst>
            </c:dLbl>
            <c:dLbl>
              <c:idx val="29"/>
              <c:layout>
                <c:manualLayout>
                  <c:x val="-1.7499308829287252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E4-4A6E-AE38-0912513342F7}"/>
                </c:ext>
              </c:extLst>
            </c:dLbl>
            <c:dLbl>
              <c:idx val="30"/>
              <c:layout>
                <c:manualLayout>
                  <c:x val="-1.4004455301643143E-3"/>
                  <c:y val="4.51792231384157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13-42E4-8F0F-C90DF758FB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8'!$B$23:$AF$24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8'!$B$25:$AF$25</c:f>
              <c:numCache>
                <c:formatCode>#,##0.0</c:formatCode>
                <c:ptCount val="31"/>
                <c:pt idx="0">
                  <c:v>70.382208343865415</c:v>
                </c:pt>
                <c:pt idx="1">
                  <c:v>127.63158194440297</c:v>
                </c:pt>
                <c:pt idx="2">
                  <c:v>103.24095247310265</c:v>
                </c:pt>
                <c:pt idx="3">
                  <c:v>57.064146061655876</c:v>
                </c:pt>
                <c:pt idx="4">
                  <c:v>115.32045479750228</c:v>
                </c:pt>
                <c:pt idx="5">
                  <c:v>125.55839051166471</c:v>
                </c:pt>
                <c:pt idx="6">
                  <c:v>120.09478099934977</c:v>
                </c:pt>
                <c:pt idx="7">
                  <c:v>87.312042792465732</c:v>
                </c:pt>
                <c:pt idx="8">
                  <c:v>117.22959939467061</c:v>
                </c:pt>
                <c:pt idx="9">
                  <c:v>97.096953437578748</c:v>
                </c:pt>
                <c:pt idx="10">
                  <c:v>105.93754706899317</c:v>
                </c:pt>
                <c:pt idx="11">
                  <c:v>108.49423751970338</c:v>
                </c:pt>
                <c:pt idx="12">
                  <c:v>70.397914008513311</c:v>
                </c:pt>
                <c:pt idx="13">
                  <c:v>130.56565598353049</c:v>
                </c:pt>
                <c:pt idx="14">
                  <c:v>120.83026196604835</c:v>
                </c:pt>
                <c:pt idx="15">
                  <c:v>89.231037795592442</c:v>
                </c:pt>
                <c:pt idx="16">
                  <c:v>100.2114807539604</c:v>
                </c:pt>
                <c:pt idx="17">
                  <c:v>104.66057637383682</c:v>
                </c:pt>
                <c:pt idx="18">
                  <c:v>95.30942393156748</c:v>
                </c:pt>
                <c:pt idx="19">
                  <c:v>102.30310816744974</c:v>
                </c:pt>
                <c:pt idx="20">
                  <c:v>116.7433114933096</c:v>
                </c:pt>
                <c:pt idx="21">
                  <c:v>96.368466717330918</c:v>
                </c:pt>
                <c:pt idx="22">
                  <c:v>108.45193596997535</c:v>
                </c:pt>
                <c:pt idx="23">
                  <c:v>107.60757399325725</c:v>
                </c:pt>
                <c:pt idx="24">
                  <c:v>82.428114796228584</c:v>
                </c:pt>
                <c:pt idx="25">
                  <c:v>107.62832138935146</c:v>
                </c:pt>
                <c:pt idx="26">
                  <c:v>111.83648900221725</c:v>
                </c:pt>
                <c:pt idx="27">
                  <c:v>102.9712600305761</c:v>
                </c:pt>
                <c:pt idx="28">
                  <c:v>100.2829822644897</c:v>
                </c:pt>
                <c:pt idx="29" formatCode="0.0">
                  <c:v>99.426283819396033</c:v>
                </c:pt>
                <c:pt idx="30" formatCode="0.0">
                  <c:v>99.079444566557498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16873722799708E-2"/>
                  <c:y val="-3.0172260493212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F22-4E81-B4FB-3673EA265C72}"/>
                </c:ext>
              </c:extLst>
            </c:dLbl>
            <c:dLbl>
              <c:idx val="1"/>
              <c:layout>
                <c:manualLayout>
                  <c:x val="-2.1833888243871422E-2"/>
                  <c:y val="3.275384244997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DC5-4341-8624-B7AE9C654835}"/>
                </c:ext>
              </c:extLst>
            </c:dLbl>
            <c:dLbl>
              <c:idx val="2"/>
              <c:layout>
                <c:manualLayout>
                  <c:x val="-2.0634702827048951E-2"/>
                  <c:y val="3.6523451392802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DC5-4341-8624-B7AE9C654835}"/>
                </c:ext>
              </c:extLst>
            </c:dLbl>
            <c:dLbl>
              <c:idx val="3"/>
              <c:layout>
                <c:manualLayout>
                  <c:x val="-1.535146828384922E-2"/>
                  <c:y val="3.1954300972308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7DC5-4341-8624-B7AE9C654835}"/>
                </c:ext>
              </c:extLst>
            </c:dLbl>
            <c:dLbl>
              <c:idx val="4"/>
              <c:layout>
                <c:manualLayout>
                  <c:x val="-1.123714989284739E-2"/>
                  <c:y val="2.98015577721723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7DC5-4341-8624-B7AE9C654835}"/>
                </c:ext>
              </c:extLst>
            </c:dLbl>
            <c:dLbl>
              <c:idx val="5"/>
              <c:layout>
                <c:manualLayout>
                  <c:x val="-2.0427774606269569E-2"/>
                  <c:y val="-3.1833925180974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7DC5-4341-8624-B7AE9C654835}"/>
                </c:ext>
              </c:extLst>
            </c:dLbl>
            <c:dLbl>
              <c:idx val="6"/>
              <c:layout>
                <c:manualLayout>
                  <c:x val="-2.0748657166129014E-2"/>
                  <c:y val="-3.2451877041600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7DC5-4341-8624-B7AE9C654835}"/>
                </c:ext>
              </c:extLst>
            </c:dLbl>
            <c:dLbl>
              <c:idx val="7"/>
              <c:layout>
                <c:manualLayout>
                  <c:x val="-1.7897380494274147E-2"/>
                  <c:y val="-3.30848758761442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7DC5-4341-8624-B7AE9C654835}"/>
                </c:ext>
              </c:extLst>
            </c:dLbl>
            <c:dLbl>
              <c:idx val="8"/>
              <c:layout>
                <c:manualLayout>
                  <c:x val="-3.3413272579506242E-2"/>
                  <c:y val="3.68677811172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2-7DC5-4341-8624-B7AE9C654835}"/>
                </c:ext>
              </c:extLst>
            </c:dLbl>
            <c:dLbl>
              <c:idx val="9"/>
              <c:layout>
                <c:manualLayout>
                  <c:x val="-1.436422392909781E-2"/>
                  <c:y val="3.9491808974562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DC5-4341-8624-B7AE9C654835}"/>
                </c:ext>
              </c:extLst>
            </c:dLbl>
            <c:dLbl>
              <c:idx val="10"/>
              <c:layout>
                <c:manualLayout>
                  <c:x val="-1.9982744032044218E-2"/>
                  <c:y val="3.824906571971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4C-4954-B7BA-1B3D8193EA75}"/>
                </c:ext>
              </c:extLst>
            </c:dLbl>
            <c:dLbl>
              <c:idx val="11"/>
              <c:layout>
                <c:manualLayout>
                  <c:x val="-2.2791878172588834E-2"/>
                  <c:y val="3.0929729998261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DC5-4341-8624-B7AE9C654835}"/>
                </c:ext>
              </c:extLst>
            </c:dLbl>
            <c:dLbl>
              <c:idx val="12"/>
              <c:layout>
                <c:manualLayout>
                  <c:x val="-1.9251430816434194E-2"/>
                  <c:y val="-3.0394887311844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DC5-4341-8624-B7AE9C654835}"/>
                </c:ext>
              </c:extLst>
            </c:dLbl>
            <c:dLbl>
              <c:idx val="13"/>
              <c:layout>
                <c:manualLayout>
                  <c:x val="-1.1654745463261238E-2"/>
                  <c:y val="3.6698201476244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DC5-4341-8624-B7AE9C654835}"/>
                </c:ext>
              </c:extLst>
            </c:dLbl>
            <c:dLbl>
              <c:idx val="14"/>
              <c:layout>
                <c:manualLayout>
                  <c:x val="-5.4726000302524657E-3"/>
                  <c:y val="-5.151194729728990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7DC5-4341-8624-B7AE9C654835}"/>
                </c:ext>
              </c:extLst>
            </c:dLbl>
            <c:dLbl>
              <c:idx val="15"/>
              <c:layout>
                <c:manualLayout>
                  <c:x val="-1.6695126617817087E-2"/>
                  <c:y val="-3.4842636010965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DC5-4341-8624-B7AE9C654835}"/>
                </c:ext>
              </c:extLst>
            </c:dLbl>
            <c:dLbl>
              <c:idx val="16"/>
              <c:layout>
                <c:manualLayout>
                  <c:x val="-4.3570625100432881E-3"/>
                  <c:y val="-7.07604711994350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DC5-4341-8624-B7AE9C654835}"/>
                </c:ext>
              </c:extLst>
            </c:dLbl>
            <c:dLbl>
              <c:idx val="17"/>
              <c:layout>
                <c:manualLayout>
                  <c:x val="-5.8417038026402999E-3"/>
                  <c:y val="-7.74371994024983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DC5-4341-8624-B7AE9C654835}"/>
                </c:ext>
              </c:extLst>
            </c:dLbl>
            <c:dLbl>
              <c:idx val="18"/>
              <c:layout>
                <c:manualLayout>
                  <c:x val="-3.3203964986610178E-2"/>
                  <c:y val="3.0993815047567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560337285425529E-2"/>
                      <c:h val="5.129354098876440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B-7DC5-4341-8624-B7AE9C654835}"/>
                </c:ext>
              </c:extLst>
            </c:dLbl>
            <c:dLbl>
              <c:idx val="19"/>
              <c:layout>
                <c:manualLayout>
                  <c:x val="-2.4351627728178626E-2"/>
                  <c:y val="-3.2255924404003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DC5-4341-8624-B7AE9C654835}"/>
                </c:ext>
              </c:extLst>
            </c:dLbl>
            <c:dLbl>
              <c:idx val="20"/>
              <c:layout>
                <c:manualLayout>
                  <c:x val="-1.8862722656722748E-2"/>
                  <c:y val="-3.6435905362741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DC5-4341-8624-B7AE9C654835}"/>
                </c:ext>
              </c:extLst>
            </c:dLbl>
            <c:dLbl>
              <c:idx val="21"/>
              <c:layout>
                <c:manualLayout>
                  <c:x val="-1.957913312385073E-2"/>
                  <c:y val="3.1272741449215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DC5-4341-8624-B7AE9C654835}"/>
                </c:ext>
              </c:extLst>
            </c:dLbl>
            <c:dLbl>
              <c:idx val="22"/>
              <c:layout>
                <c:manualLayout>
                  <c:x val="-2.0905443413830903E-2"/>
                  <c:y val="-3.6298772714091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DC5-4341-8624-B7AE9C654835}"/>
                </c:ext>
              </c:extLst>
            </c:dLbl>
            <c:dLbl>
              <c:idx val="23"/>
              <c:layout>
                <c:manualLayout>
                  <c:x val="-8.8292194153152606E-3"/>
                  <c:y val="2.29975897483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7DC5-4341-8624-B7AE9C654835}"/>
                </c:ext>
              </c:extLst>
            </c:dLbl>
            <c:dLbl>
              <c:idx val="24"/>
              <c:layout>
                <c:manualLayout>
                  <c:x val="-2.0865741654092492E-2"/>
                  <c:y val="-3.61619820421205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DC5-4341-8624-B7AE9C654835}"/>
                </c:ext>
              </c:extLst>
            </c:dLbl>
            <c:dLbl>
              <c:idx val="25"/>
              <c:layout>
                <c:manualLayout>
                  <c:x val="-1.606874619094736E-2"/>
                  <c:y val="-4.8865731748020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DC5-4341-8624-B7AE9C654835}"/>
                </c:ext>
              </c:extLst>
            </c:dLbl>
            <c:dLbl>
              <c:idx val="26"/>
              <c:layout>
                <c:manualLayout>
                  <c:x val="-2.1068474200085254E-2"/>
                  <c:y val="-3.73397497277865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4C-4954-B7BA-1B3D8193EA75}"/>
                </c:ext>
              </c:extLst>
            </c:dLbl>
            <c:dLbl>
              <c:idx val="27"/>
              <c:layout>
                <c:manualLayout>
                  <c:x val="-2.4078256228668861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4C-4954-B7BA-1B3D8193EA75}"/>
                </c:ext>
              </c:extLst>
            </c:dLbl>
            <c:dLbl>
              <c:idx val="28"/>
              <c:layout>
                <c:manualLayout>
                  <c:x val="-2.0413646636984958E-2"/>
                  <c:y val="-2.8653542057660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4C-4954-B7BA-1B3D8193EA75}"/>
                </c:ext>
              </c:extLst>
            </c:dLbl>
            <c:dLbl>
              <c:idx val="29"/>
              <c:layout>
                <c:manualLayout>
                  <c:x val="-1.9889896590032725E-2"/>
                  <c:y val="-4.1682853562849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13-42E4-8F0F-C90DF758FBDD}"/>
                </c:ext>
              </c:extLst>
            </c:dLbl>
            <c:dLbl>
              <c:idx val="30"/>
              <c:layout>
                <c:manualLayout>
                  <c:x val="-1.1586626785749937E-3"/>
                  <c:y val="-3.7339749727786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13-42E4-8F0F-C90DF758FB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8'!$B$23:$AF$24</c:f>
              <c:multiLvlStrCache>
                <c:ptCount val="3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  <c:pt idx="30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  <c:pt idx="24">
                    <c:v>2022</c:v>
                  </c:pt>
                </c:lvl>
              </c:multiLvlStrCache>
            </c:multiLvlStrRef>
          </c:cat>
          <c:val>
            <c:numRef>
              <c:f>'Figura 8'!$B$26:$AF$26</c:f>
              <c:numCache>
                <c:formatCode>#,##0.0</c:formatCode>
                <c:ptCount val="31"/>
                <c:pt idx="0">
                  <c:v>101.95494191241148</c:v>
                </c:pt>
                <c:pt idx="1">
                  <c:v>105.56040244460927</c:v>
                </c:pt>
                <c:pt idx="2">
                  <c:v>93.752698643620619</c:v>
                </c:pt>
                <c:pt idx="3">
                  <c:v>55.393509795256001</c:v>
                </c:pt>
                <c:pt idx="4">
                  <c:v>68.38775508029515</c:v>
                </c:pt>
                <c:pt idx="5">
                  <c:v>92.838583025180498</c:v>
                </c:pt>
                <c:pt idx="6">
                  <c:v>99.505682896081424</c:v>
                </c:pt>
                <c:pt idx="7">
                  <c:v>93.399537993946922</c:v>
                </c:pt>
                <c:pt idx="8">
                  <c:v>101.32416894790069</c:v>
                </c:pt>
                <c:pt idx="9">
                  <c:v>93.954405564414117</c:v>
                </c:pt>
                <c:pt idx="10">
                  <c:v>103.7223292586142</c:v>
                </c:pt>
                <c:pt idx="11">
                  <c:v>105.12020671519058</c:v>
                </c:pt>
                <c:pt idx="12">
                  <c:v>105.14366410240868</c:v>
                </c:pt>
                <c:pt idx="13">
                  <c:v>107.56077192573727</c:v>
                </c:pt>
                <c:pt idx="14">
                  <c:v>125.88605526903886</c:v>
                </c:pt>
                <c:pt idx="15">
                  <c:v>196.84765533007069</c:v>
                </c:pt>
                <c:pt idx="16">
                  <c:v>171.05720800538208</c:v>
                </c:pt>
                <c:pt idx="17">
                  <c:v>142.58661575531545</c:v>
                </c:pt>
                <c:pt idx="18">
                  <c:v>113.15935709199938</c:v>
                </c:pt>
                <c:pt idx="19">
                  <c:v>132.58828425602752</c:v>
                </c:pt>
                <c:pt idx="20">
                  <c:v>132.03828597207149</c:v>
                </c:pt>
                <c:pt idx="21">
                  <c:v>131.0476458490858</c:v>
                </c:pt>
                <c:pt idx="22" formatCode="0.0">
                  <c:v>134.15801375299989</c:v>
                </c:pt>
                <c:pt idx="23">
                  <c:v>132.94448949123316</c:v>
                </c:pt>
                <c:pt idx="24" formatCode="0.0">
                  <c:v>155.66318683795325</c:v>
                </c:pt>
                <c:pt idx="25" formatCode="0.0">
                  <c:v>128.31680257172076</c:v>
                </c:pt>
                <c:pt idx="26" formatCode="0.0">
                  <c:v>118.765783058918</c:v>
                </c:pt>
                <c:pt idx="27" formatCode="0.0">
                  <c:v>137.05390671472063</c:v>
                </c:pt>
                <c:pt idx="28" formatCode="0.0">
                  <c:v>137.15169552375045</c:v>
                </c:pt>
                <c:pt idx="29" formatCode="0.0">
                  <c:v>130.29245469418862</c:v>
                </c:pt>
                <c:pt idx="30" formatCode="0.0">
                  <c:v>135.44624980193453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840544"/>
        <c:axId val="247841104"/>
      </c:lineChart>
      <c:catAx>
        <c:axId val="2478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1104"/>
        <c:crossesAt val="30"/>
        <c:auto val="1"/>
        <c:lblAlgn val="ctr"/>
        <c:lblOffset val="100"/>
        <c:noMultiLvlLbl val="0"/>
      </c:catAx>
      <c:valAx>
        <c:axId val="247841104"/>
        <c:scaling>
          <c:orientation val="minMax"/>
          <c:max val="230"/>
          <c:min val="30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784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0</xdr:rowOff>
    </xdr:from>
    <xdr:to>
      <xdr:col>13</xdr:col>
      <xdr:colOff>19050</xdr:colOff>
      <xdr:row>18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13</xdr:col>
      <xdr:colOff>19050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24</xdr:col>
      <xdr:colOff>200024</xdr:colOff>
      <xdr:row>21</xdr:row>
      <xdr:rowOff>19051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0.0542</cdr:x>
      <cdr:y>0</cdr:y>
    </cdr:from>
    <cdr:to>
      <cdr:x>0.10913</cdr:x>
      <cdr:y>0.07817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52410" y="0"/>
          <a:ext cx="559833" cy="228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7</xdr:col>
      <xdr:colOff>0</xdr:colOff>
      <xdr:row>22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142874</xdr:rowOff>
    </xdr:from>
    <xdr:to>
      <xdr:col>6</xdr:col>
      <xdr:colOff>1000124</xdr:colOff>
      <xdr:row>20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66675</xdr:rowOff>
    </xdr:from>
    <xdr:to>
      <xdr:col>7</xdr:col>
      <xdr:colOff>0</xdr:colOff>
      <xdr:row>21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2</xdr:col>
      <xdr:colOff>9525</xdr:colOff>
      <xdr:row>22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828674</xdr:colOff>
      <xdr:row>2</xdr:row>
      <xdr:rowOff>28576</xdr:rowOff>
    </xdr:from>
    <xdr:to>
      <xdr:col>7</xdr:col>
      <xdr:colOff>47625</xdr:colOff>
      <xdr:row>22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13</xdr:col>
      <xdr:colOff>9525</xdr:colOff>
      <xdr:row>20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</xdr:rowOff>
    </xdr:from>
    <xdr:to>
      <xdr:col>6</xdr:col>
      <xdr:colOff>47625</xdr:colOff>
      <xdr:row>21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</xdr:row>
      <xdr:rowOff>171450</xdr:rowOff>
    </xdr:from>
    <xdr:to>
      <xdr:col>24</xdr:col>
      <xdr:colOff>438150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0.05117</cdr:x>
      <cdr:y>0</cdr:y>
    </cdr:from>
    <cdr:to>
      <cdr:x>0.1889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430897" y="0"/>
          <a:ext cx="1159700" cy="9926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6</xdr:col>
      <xdr:colOff>942975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7</xdr:col>
      <xdr:colOff>0</xdr:colOff>
      <xdr:row>18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266697</xdr:colOff>
      <xdr:row>2</xdr:row>
      <xdr:rowOff>0</xdr:rowOff>
    </xdr:from>
    <xdr:to>
      <xdr:col>6</xdr:col>
      <xdr:colOff>990599</xdr:colOff>
      <xdr:row>21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85725</xdr:rowOff>
    </xdr:from>
    <xdr:to>
      <xdr:col>6</xdr:col>
      <xdr:colOff>428625</xdr:colOff>
      <xdr:row>23</xdr:row>
      <xdr:rowOff>76202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428625"/>
          <a:ext cx="7419975" cy="3228977"/>
          <a:chOff x="85821" y="-145741"/>
          <a:chExt cx="5410026" cy="239283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85821" y="-145741"/>
          <a:ext cx="2639046" cy="23928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679880" y="-138683"/>
          <a:ext cx="2815967" cy="236459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able18" displayName="Table18" ref="A24:D30" totalsRowShown="0" headerRowDxfId="8" dataDxfId="6" headerRowBorderDxfId="7" tableBorderDxfId="5" totalsRowBorderDxfId="4">
  <tableColumns count="4">
    <tableColumn id="1" xr3:uid="{00000000-0010-0000-0000-000001000000}" name="Perioada" dataDxfId="3"/>
    <tableColumn id="2" xr3:uid="{00000000-0010-0000-0000-000002000000}" name="Export" dataDxfId="2"/>
    <tableColumn id="4" xr3:uid="{00000000-0010-0000-0000-000004000000}" name="Import" dataDxfId="1"/>
    <tableColumn id="3" xr3:uid="{00000000-0010-0000-0000-000003000000}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30"/>
  <sheetViews>
    <sheetView tabSelected="1" zoomScaleNormal="100" workbookViewId="0">
      <selection activeCell="A2" sqref="A2:XFD2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4" width="10.140625" style="3" bestFit="1" customWidth="1"/>
    <col min="5" max="5" width="9.28515625" style="3" bestFit="1" customWidth="1"/>
    <col min="6" max="6" width="10.140625" style="3" bestFit="1" customWidth="1"/>
    <col min="7" max="7" width="9.28515625" style="3" bestFit="1" customWidth="1"/>
    <col min="8" max="8" width="10.140625" style="3" bestFit="1" customWidth="1"/>
    <col min="9" max="9" width="9.28515625" style="3" bestFit="1" customWidth="1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4" width="10.140625" style="3" bestFit="1" customWidth="1"/>
    <col min="15" max="15" width="9.28515625" style="3" bestFit="1" customWidth="1"/>
    <col min="16" max="16" width="10.140625" style="3" bestFit="1" customWidth="1"/>
    <col min="17" max="17" width="9.28515625" style="3" bestFit="1" customWidth="1"/>
    <col min="18" max="18" width="10.140625" style="3" bestFit="1" customWidth="1"/>
    <col min="19" max="19" width="9.28515625" style="3" bestFit="1" customWidth="1"/>
    <col min="20" max="20" width="10.140625" style="3" bestFit="1" customWidth="1"/>
    <col min="21" max="21" width="9.28515625" style="3" bestFit="1" customWidth="1"/>
    <col min="22" max="22" width="10.140625" style="3" bestFit="1" customWidth="1"/>
    <col min="23" max="23" width="9.28515625" style="3" bestFit="1" customWidth="1"/>
    <col min="24" max="24" width="10.140625" style="3" bestFit="1" customWidth="1"/>
    <col min="25" max="25" width="9.28515625" style="3" bestFit="1" customWidth="1"/>
    <col min="26" max="16384" width="9.140625" style="3"/>
  </cols>
  <sheetData>
    <row r="2" spans="1:13" s="183" customFormat="1" x14ac:dyDescent="0.2">
      <c r="A2" s="182" t="s">
        <v>103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x14ac:dyDescent="0.2">
      <c r="A3" s="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x14ac:dyDescent="0.2">
      <c r="A4" s="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x14ac:dyDescent="0.2">
      <c r="A5" s="1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">
      <c r="A6" s="1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">
      <c r="A7" s="1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x14ac:dyDescent="0.2">
      <c r="A8" s="1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x14ac:dyDescent="0.2">
      <c r="A9" s="1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x14ac:dyDescent="0.2">
      <c r="A10" s="1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x14ac:dyDescent="0.2">
      <c r="A11" s="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x14ac:dyDescent="0.2">
      <c r="A12" s="1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x14ac:dyDescent="0.2">
      <c r="A13" s="1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x14ac:dyDescent="0.2">
      <c r="A14" s="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x14ac:dyDescent="0.2">
      <c r="A15" s="1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x14ac:dyDescent="0.2">
      <c r="A16" s="1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21" x14ac:dyDescent="0.2">
      <c r="A17" s="1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21" x14ac:dyDescent="0.2">
      <c r="A18" s="1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21" x14ac:dyDescent="0.2">
      <c r="N19" s="6"/>
    </row>
    <row r="20" spans="1:21" x14ac:dyDescent="0.2">
      <c r="A20" s="35" t="s">
        <v>0</v>
      </c>
      <c r="B20" s="137" t="s">
        <v>1</v>
      </c>
      <c r="C20" s="137" t="s">
        <v>2</v>
      </c>
      <c r="D20" s="137" t="s">
        <v>3</v>
      </c>
      <c r="E20" s="137" t="s">
        <v>4</v>
      </c>
      <c r="F20" s="137" t="s">
        <v>5</v>
      </c>
      <c r="G20" s="137" t="s">
        <v>6</v>
      </c>
      <c r="H20" s="137" t="s">
        <v>7</v>
      </c>
      <c r="I20" s="137" t="s">
        <v>8</v>
      </c>
      <c r="J20" s="137" t="s">
        <v>9</v>
      </c>
      <c r="K20" s="137" t="s">
        <v>10</v>
      </c>
      <c r="L20" s="137" t="s">
        <v>11</v>
      </c>
      <c r="M20" s="137" t="s">
        <v>12</v>
      </c>
    </row>
    <row r="21" spans="1:21" x14ac:dyDescent="0.2">
      <c r="A21" s="41">
        <v>2017</v>
      </c>
      <c r="B21" s="46">
        <v>139.5</v>
      </c>
      <c r="C21" s="46">
        <v>176.6</v>
      </c>
      <c r="D21" s="46">
        <v>212.1</v>
      </c>
      <c r="E21" s="46">
        <v>154.19999999999999</v>
      </c>
      <c r="F21" s="46">
        <v>174.7</v>
      </c>
      <c r="G21" s="46">
        <v>171.1</v>
      </c>
      <c r="H21" s="46">
        <v>191.6</v>
      </c>
      <c r="I21" s="46">
        <v>207.9</v>
      </c>
      <c r="J21" s="46">
        <v>223.9</v>
      </c>
      <c r="K21" s="46">
        <v>268.2</v>
      </c>
      <c r="L21" s="46">
        <v>272.10000000000002</v>
      </c>
      <c r="M21" s="47">
        <v>233.1</v>
      </c>
    </row>
    <row r="22" spans="1:21" x14ac:dyDescent="0.2">
      <c r="A22" s="41">
        <v>2018</v>
      </c>
      <c r="B22" s="46">
        <v>220.3</v>
      </c>
      <c r="C22" s="46">
        <v>215.5</v>
      </c>
      <c r="D22" s="46">
        <v>242.1</v>
      </c>
      <c r="E22" s="46">
        <v>199.7</v>
      </c>
      <c r="F22" s="46">
        <v>223</v>
      </c>
      <c r="G22" s="46">
        <v>214.1</v>
      </c>
      <c r="H22" s="46">
        <v>218.8</v>
      </c>
      <c r="I22" s="46">
        <v>218.6</v>
      </c>
      <c r="J22" s="46">
        <v>207.3</v>
      </c>
      <c r="K22" s="46">
        <v>259</v>
      </c>
      <c r="L22" s="46">
        <v>268.89999999999998</v>
      </c>
      <c r="M22" s="47">
        <v>218.8</v>
      </c>
    </row>
    <row r="23" spans="1:21" x14ac:dyDescent="0.2">
      <c r="A23" s="41">
        <v>2019</v>
      </c>
      <c r="B23" s="46">
        <v>234.3</v>
      </c>
      <c r="C23" s="46">
        <v>241.4</v>
      </c>
      <c r="D23" s="46">
        <v>257.2</v>
      </c>
      <c r="E23" s="46">
        <v>215.6</v>
      </c>
      <c r="F23" s="46">
        <v>210.5</v>
      </c>
      <c r="G23" s="46">
        <v>202.2</v>
      </c>
      <c r="H23" s="46">
        <v>220.2</v>
      </c>
      <c r="I23" s="46">
        <v>205.8</v>
      </c>
      <c r="J23" s="46">
        <v>238.8</v>
      </c>
      <c r="K23" s="46">
        <v>268.3</v>
      </c>
      <c r="L23" s="46">
        <v>266.60000000000002</v>
      </c>
      <c r="M23" s="47">
        <v>218.3</v>
      </c>
    </row>
    <row r="24" spans="1:21" x14ac:dyDescent="0.2">
      <c r="A24" s="41">
        <v>2020</v>
      </c>
      <c r="B24" s="46">
        <v>219.5</v>
      </c>
      <c r="C24" s="46">
        <v>245.3</v>
      </c>
      <c r="D24" s="46">
        <v>210.2</v>
      </c>
      <c r="E24" s="46">
        <v>149.80000000000001</v>
      </c>
      <c r="F24" s="46">
        <v>155.69999999999999</v>
      </c>
      <c r="G24" s="46">
        <v>189.6</v>
      </c>
      <c r="H24" s="46">
        <v>191.1</v>
      </c>
      <c r="I24" s="46">
        <v>163.9</v>
      </c>
      <c r="J24" s="46">
        <v>212.3</v>
      </c>
      <c r="K24" s="46">
        <v>249.4</v>
      </c>
      <c r="L24" s="46">
        <v>262</v>
      </c>
      <c r="M24" s="47">
        <v>218.3</v>
      </c>
    </row>
    <row r="25" spans="1:21" x14ac:dyDescent="0.2">
      <c r="A25" s="41">
        <v>2021</v>
      </c>
      <c r="B25" s="46">
        <v>198.4</v>
      </c>
      <c r="C25" s="46">
        <v>227</v>
      </c>
      <c r="D25" s="46">
        <v>259.3</v>
      </c>
      <c r="E25" s="46">
        <v>218.2</v>
      </c>
      <c r="F25" s="46">
        <v>201.7</v>
      </c>
      <c r="G25" s="46">
        <v>226.8</v>
      </c>
      <c r="H25" s="46">
        <v>240.7</v>
      </c>
      <c r="I25" s="46">
        <v>236.3</v>
      </c>
      <c r="J25" s="46">
        <v>294.89999999999998</v>
      </c>
      <c r="K25" s="99">
        <v>352.2</v>
      </c>
      <c r="L25" s="46">
        <v>363.9</v>
      </c>
      <c r="M25" s="47">
        <v>325</v>
      </c>
    </row>
    <row r="26" spans="1:21" x14ac:dyDescent="0.2">
      <c r="A26" s="42">
        <v>2022</v>
      </c>
      <c r="B26" s="48">
        <v>330.4</v>
      </c>
      <c r="C26" s="48">
        <v>336.5</v>
      </c>
      <c r="D26" s="48">
        <v>395.8</v>
      </c>
      <c r="E26" s="48">
        <v>396.3</v>
      </c>
      <c r="F26" s="48">
        <v>416</v>
      </c>
      <c r="G26" s="48">
        <v>416.4</v>
      </c>
      <c r="H26" s="48">
        <v>338.3</v>
      </c>
      <c r="I26" s="48"/>
      <c r="J26" s="48"/>
      <c r="K26" s="48"/>
      <c r="L26" s="48"/>
      <c r="M26" s="49"/>
    </row>
    <row r="30" spans="1:21" ht="15.75" x14ac:dyDescent="0.25">
      <c r="B30" s="79"/>
      <c r="C30" s="80"/>
      <c r="D30" s="79"/>
      <c r="E30" s="80"/>
      <c r="F30" s="79"/>
      <c r="G30" s="80"/>
      <c r="H30" s="79"/>
      <c r="I30" s="82"/>
      <c r="J30" s="83"/>
      <c r="K30" s="80"/>
      <c r="L30" s="70"/>
      <c r="M30" s="80"/>
      <c r="N30" s="70"/>
      <c r="O30" s="82"/>
      <c r="P30" s="70"/>
      <c r="Q30" s="80"/>
      <c r="R30" s="83"/>
      <c r="S30" s="80"/>
      <c r="T30" s="77"/>
      <c r="U30" s="78"/>
    </row>
  </sheetData>
  <mergeCells count="1">
    <mergeCell ref="A2:M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M32"/>
  <sheetViews>
    <sheetView workbookViewId="0">
      <selection activeCell="A2" sqref="A2:XFD2"/>
    </sheetView>
  </sheetViews>
  <sheetFormatPr defaultRowHeight="12" x14ac:dyDescent="0.2"/>
  <cols>
    <col min="1" max="1" width="27.28515625" style="3" customWidth="1"/>
    <col min="2" max="7" width="15.42578125" style="3" customWidth="1"/>
    <col min="8" max="16384" width="9.140625" style="3"/>
  </cols>
  <sheetData>
    <row r="2" spans="1:13" s="183" customFormat="1" x14ac:dyDescent="0.2">
      <c r="A2" s="182" t="s">
        <v>108</v>
      </c>
      <c r="B2" s="182"/>
      <c r="C2" s="182"/>
      <c r="D2" s="182"/>
      <c r="E2" s="182"/>
      <c r="F2" s="182"/>
      <c r="G2" s="182"/>
      <c r="H2" s="182"/>
    </row>
    <row r="3" spans="1:13" x14ac:dyDescent="0.2">
      <c r="A3" s="57"/>
      <c r="B3" s="57"/>
      <c r="C3" s="57"/>
      <c r="D3" s="57"/>
      <c r="E3" s="57"/>
      <c r="F3" s="57"/>
      <c r="G3" s="57"/>
      <c r="H3" s="56"/>
      <c r="I3" s="56"/>
      <c r="J3" s="56"/>
      <c r="K3" s="56"/>
      <c r="L3" s="56"/>
      <c r="M3" s="56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31"/>
      <c r="B22" s="12" t="s">
        <v>96</v>
      </c>
      <c r="C22" s="12" t="s">
        <v>95</v>
      </c>
      <c r="D22" s="12" t="s">
        <v>94</v>
      </c>
      <c r="E22" s="13" t="s">
        <v>93</v>
      </c>
      <c r="F22" s="13" t="s">
        <v>92</v>
      </c>
      <c r="G22" s="13" t="s">
        <v>91</v>
      </c>
    </row>
    <row r="23" spans="1:7" ht="15" customHeight="1" x14ac:dyDescent="0.2">
      <c r="A23" s="23" t="s">
        <v>48</v>
      </c>
      <c r="B23" s="123">
        <v>48.4</v>
      </c>
      <c r="C23" s="115">
        <v>50</v>
      </c>
      <c r="D23" s="124">
        <v>49.2</v>
      </c>
      <c r="E23" s="124">
        <v>45.9</v>
      </c>
      <c r="F23" s="124">
        <v>47.2</v>
      </c>
      <c r="G23" s="149">
        <v>46.2</v>
      </c>
    </row>
    <row r="24" spans="1:7" ht="15" customHeight="1" x14ac:dyDescent="0.2">
      <c r="A24" s="24" t="s">
        <v>49</v>
      </c>
      <c r="B24" s="126">
        <v>24.7</v>
      </c>
      <c r="C24" s="128">
        <v>23.6</v>
      </c>
      <c r="D24" s="127">
        <v>24.5</v>
      </c>
      <c r="E24" s="127">
        <v>25.4</v>
      </c>
      <c r="F24" s="127">
        <v>23.1</v>
      </c>
      <c r="G24" s="150">
        <v>25.9</v>
      </c>
    </row>
    <row r="25" spans="1:7" ht="15.75" customHeight="1" x14ac:dyDescent="0.2">
      <c r="A25" s="25" t="s">
        <v>50</v>
      </c>
      <c r="B25" s="130">
        <v>26.9</v>
      </c>
      <c r="C25" s="132">
        <v>26.4</v>
      </c>
      <c r="D25" s="131">
        <v>26.3</v>
      </c>
      <c r="E25" s="131">
        <v>28.7</v>
      </c>
      <c r="F25" s="131">
        <v>29.7</v>
      </c>
      <c r="G25" s="151">
        <v>27.9</v>
      </c>
    </row>
    <row r="26" spans="1:7" x14ac:dyDescent="0.2">
      <c r="G26" s="8"/>
    </row>
    <row r="30" spans="1:7" ht="15.75" x14ac:dyDescent="0.2">
      <c r="B30" s="96"/>
      <c r="C30" s="96"/>
      <c r="D30" s="96"/>
      <c r="E30" s="96"/>
      <c r="F30" s="96"/>
      <c r="G30" s="96"/>
    </row>
    <row r="31" spans="1:7" ht="15.75" x14ac:dyDescent="0.2">
      <c r="B31" s="96"/>
      <c r="C31" s="96"/>
      <c r="D31" s="96"/>
      <c r="E31" s="96"/>
      <c r="F31" s="96"/>
      <c r="G31" s="96"/>
    </row>
    <row r="32" spans="1:7" ht="15.75" x14ac:dyDescent="0.2">
      <c r="B32" s="96"/>
      <c r="C32" s="96"/>
      <c r="D32" s="96"/>
      <c r="E32" s="96"/>
      <c r="F32" s="96"/>
      <c r="G32" s="96"/>
    </row>
  </sheetData>
  <mergeCells count="1">
    <mergeCell ref="A2:H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J48"/>
  <sheetViews>
    <sheetView workbookViewId="0">
      <selection activeCell="A2" sqref="A2:XFD2"/>
    </sheetView>
  </sheetViews>
  <sheetFormatPr defaultRowHeight="12" x14ac:dyDescent="0.2"/>
  <cols>
    <col min="1" max="1" width="18" style="3" customWidth="1"/>
    <col min="2" max="7" width="14.42578125" style="3" customWidth="1"/>
    <col min="8" max="16384" width="9.140625" style="3"/>
  </cols>
  <sheetData>
    <row r="2" spans="1:10" s="183" customFormat="1" ht="13.5" customHeight="1" x14ac:dyDescent="0.2">
      <c r="A2" s="186" t="s">
        <v>107</v>
      </c>
      <c r="B2" s="186"/>
      <c r="C2" s="186"/>
      <c r="D2" s="186"/>
      <c r="E2" s="186"/>
      <c r="F2" s="186"/>
      <c r="G2" s="186"/>
      <c r="H2" s="185"/>
      <c r="I2" s="185"/>
      <c r="J2" s="185"/>
    </row>
    <row r="3" spans="1:10" ht="15" customHeight="1" x14ac:dyDescent="0.2"/>
    <row r="4" spans="1:10" ht="13.5" customHeight="1" x14ac:dyDescent="0.2"/>
    <row r="5" spans="1:10" ht="13.5" customHeight="1" x14ac:dyDescent="0.2"/>
    <row r="6" spans="1:10" ht="15" customHeight="1" x14ac:dyDescent="0.2"/>
    <row r="7" spans="1:10" ht="15.75" customHeight="1" x14ac:dyDescent="0.2"/>
    <row r="8" spans="1:10" ht="16.5" customHeight="1" x14ac:dyDescent="0.2"/>
    <row r="9" spans="1:10" ht="13.5" customHeight="1" x14ac:dyDescent="0.2"/>
    <row r="10" spans="1:10" ht="14.25" customHeight="1" x14ac:dyDescent="0.2"/>
    <row r="11" spans="1:10" ht="16.5" customHeight="1" x14ac:dyDescent="0.2"/>
    <row r="12" spans="1:10" ht="17.25" customHeight="1" x14ac:dyDescent="0.2"/>
    <row r="13" spans="1:10" ht="21.75" customHeight="1" x14ac:dyDescent="0.2"/>
    <row r="17" spans="1:7" ht="15.75" customHeight="1" x14ac:dyDescent="0.2"/>
    <row r="24" spans="1:7" ht="26.25" customHeight="1" x14ac:dyDescent="0.2">
      <c r="A24" s="86"/>
      <c r="B24" s="13" t="s">
        <v>96</v>
      </c>
      <c r="C24" s="13" t="s">
        <v>95</v>
      </c>
      <c r="D24" s="13" t="s">
        <v>94</v>
      </c>
      <c r="E24" s="13" t="s">
        <v>93</v>
      </c>
      <c r="F24" s="13" t="s">
        <v>92</v>
      </c>
      <c r="G24" s="13" t="s">
        <v>91</v>
      </c>
    </row>
    <row r="25" spans="1:7" x14ac:dyDescent="0.2">
      <c r="A25" s="154" t="s">
        <v>33</v>
      </c>
      <c r="B25" s="116">
        <f>IF(OR(360051.9003="",360051.9003="***"),"-",360051.9003/2578273.3802*100)</f>
        <v>13.964845739983952</v>
      </c>
      <c r="C25" s="116">
        <f>IF(460463.96523="","-",460463.96523/3222930.24801*100)</f>
        <v>14.287121650067162</v>
      </c>
      <c r="D25" s="116">
        <f>IF(472823.15808="","-",472823.15808/3307388.5187*100)</f>
        <v>14.295966603459323</v>
      </c>
      <c r="E25" s="116">
        <f>IF(349184.61449="","-",349184.61449/2890255.78537*100)</f>
        <v>12.081443319221611</v>
      </c>
      <c r="F25" s="116">
        <f>IF(482162.54002="","-",482162.54002/3828107.2484*100)</f>
        <v>12.595324757986475</v>
      </c>
      <c r="G25" s="117">
        <f>IF(849942.05596="","-",849942.05596/5111753.23542*100)</f>
        <v>16.627212168041318</v>
      </c>
    </row>
    <row r="26" spans="1:7" x14ac:dyDescent="0.2">
      <c r="A26" s="155" t="s">
        <v>60</v>
      </c>
      <c r="B26" s="118">
        <f>IF(OR(297889.49989="",297889.49989="***"),"-",297889.49989/2578273.3802*100)</f>
        <v>11.553836849794893</v>
      </c>
      <c r="C26" s="118">
        <f>IF(375170.1963="","-",375170.1963/3222930.24801*100)</f>
        <v>11.640655162538781</v>
      </c>
      <c r="D26" s="118">
        <f>IF(397168.27264="","-",397168.27264/3307388.5187*100)</f>
        <v>12.008515794089734</v>
      </c>
      <c r="E26" s="118">
        <f>IF(337777.64727="","-",337777.64727/2890255.78537*100)</f>
        <v>11.686773502185341</v>
      </c>
      <c r="F26" s="118">
        <f>IF(445278.03983="","-",445278.03983/3828107.2484*100)</f>
        <v>11.631806815655672</v>
      </c>
      <c r="G26" s="119">
        <f>IF(728877.45594="","-",728877.45594/5111753.23542*100)</f>
        <v>14.258854494178511</v>
      </c>
    </row>
    <row r="27" spans="1:7" x14ac:dyDescent="0.2">
      <c r="A27" s="155" t="s">
        <v>51</v>
      </c>
      <c r="B27" s="118">
        <f>IF(OR(259504.40766="",259504.40766="***"),"-",259504.40766/2578273.3802*100)</f>
        <v>10.065046230274847</v>
      </c>
      <c r="C27" s="118">
        <f>IF(335697.17559="","-",335697.17559/3222930.24801*100)</f>
        <v>10.415899500067567</v>
      </c>
      <c r="D27" s="118">
        <f>IF(329570.59885="","-",329570.59885/3307388.5187*100)</f>
        <v>9.9646774785183325</v>
      </c>
      <c r="E27" s="118">
        <f>IF(321136.6386="","-",321136.6386/2890255.78537*100)</f>
        <v>11.111011012434986</v>
      </c>
      <c r="F27" s="118">
        <f>IF(446139.83242="","-",446139.83242/3828107.2484*100)</f>
        <v>11.654319053011617</v>
      </c>
      <c r="G27" s="119">
        <f>IF(492273.97738="","-",492273.97738/5111753.23542*100)</f>
        <v>9.6302375077296354</v>
      </c>
    </row>
    <row r="28" spans="1:7" x14ac:dyDescent="0.2">
      <c r="A28" s="155" t="s">
        <v>38</v>
      </c>
      <c r="B28" s="118">
        <f>IF(OR(270982.94947="",270982.94947="***"),"-",270982.94947/2578273.3802*100)</f>
        <v>10.510248895676822</v>
      </c>
      <c r="C28" s="118">
        <f>IF(309348.22745="","-",309348.22745/3222930.24801*100)</f>
        <v>9.5983531645156521</v>
      </c>
      <c r="D28" s="118">
        <f>IF(324258.17712="","-",324258.17712/3307388.5187*100)</f>
        <v>9.8040546275903715</v>
      </c>
      <c r="E28" s="118">
        <f>IF(276412.03584="","-",276412.03584/2890255.78537*100)</f>
        <v>9.5635838613022539</v>
      </c>
      <c r="F28" s="118">
        <f>IF(351603.79858="","-",351603.79858/3828107.2484*100)</f>
        <v>9.1847948807326851</v>
      </c>
      <c r="G28" s="119">
        <f>IF(481437.36696="","-",481437.36696/5111753.23542*100)</f>
        <v>9.4182435025239126</v>
      </c>
    </row>
    <row r="29" spans="1:7" x14ac:dyDescent="0.2">
      <c r="A29" s="155" t="s">
        <v>35</v>
      </c>
      <c r="B29" s="118">
        <f>IF(OR(167140.66397="",167140.66397="***"),"-",167140.66397/2578273.3802*100)</f>
        <v>6.4826587146873731</v>
      </c>
      <c r="C29" s="118">
        <f>IF(187693.97874="","-",187693.97874/3222930.24801*100)</f>
        <v>5.8237058917391007</v>
      </c>
      <c r="D29" s="118">
        <f>IF(212671.44389="","-",212671.44389/3307388.5187*100)</f>
        <v>6.4301923613616614</v>
      </c>
      <c r="E29" s="118">
        <f>IF(195217.16083="","-",195217.16083/2890255.78537*100)</f>
        <v>6.7543212548230924</v>
      </c>
      <c r="F29" s="118">
        <f>IF(271082.9274="","-",271082.9274/3828107.2484*100)</f>
        <v>7.0813827776978329</v>
      </c>
      <c r="G29" s="119">
        <f>IF(355131.58649="","-",355131.58649/5111753.23542*100)</f>
        <v>6.9473538751684512</v>
      </c>
    </row>
    <row r="30" spans="1:7" x14ac:dyDescent="0.2">
      <c r="A30" s="155" t="s">
        <v>34</v>
      </c>
      <c r="B30" s="118">
        <f>IF(OR(206213.95365="",206213.95365="***"),"-",206213.95365/2578273.3802*100)</f>
        <v>7.9981415172507315</v>
      </c>
      <c r="C30" s="118">
        <f>IF(275469.41895="","-",275469.41895/3222930.24801*100)</f>
        <v>8.5471728443421568</v>
      </c>
      <c r="D30" s="118">
        <f>IF(280172.29513="","-",280172.29513/3307388.5187*100)</f>
        <v>8.4711032146935157</v>
      </c>
      <c r="E30" s="118">
        <f>IF(236744.17852="","-",236744.17852/2890255.78537*100)</f>
        <v>8.1911151157748776</v>
      </c>
      <c r="F30" s="118">
        <f>IF(317476.95548="","-",317476.95548/3828107.2484*100)</f>
        <v>8.293314029085602</v>
      </c>
      <c r="G30" s="119">
        <f>IF(334145.65981="","-",334145.65981/5111753.23542*100)</f>
        <v>6.5368112352267209</v>
      </c>
    </row>
    <row r="31" spans="1:7" x14ac:dyDescent="0.2">
      <c r="A31" s="155" t="s">
        <v>36</v>
      </c>
      <c r="B31" s="118">
        <f>IF(OR(190453.03872="",190453.03872="***"),"-",190453.03872/2578273.3802*100)</f>
        <v>7.386844241677208</v>
      </c>
      <c r="C31" s="118">
        <f>IF(237172.23059="","-",237172.23059/3222930.24801*100)</f>
        <v>7.3589005141033406</v>
      </c>
      <c r="D31" s="118">
        <f>IF(240325.54035="","-",240325.54035/3307388.5187*100)</f>
        <v>7.2663232333062044</v>
      </c>
      <c r="E31" s="118">
        <f>IF(192773.59066="","-",192773.59066/2890255.78537*100)</f>
        <v>6.6697761366239003</v>
      </c>
      <c r="F31" s="118">
        <f>IF(259861.46776="","-",259861.46776/3828107.2484*100)</f>
        <v>6.7882494114712175</v>
      </c>
      <c r="G31" s="119">
        <f>IF(263994.22148="","-",263994.22148/5111753.23542*100)</f>
        <v>5.1644555071780438</v>
      </c>
    </row>
    <row r="32" spans="1:7" x14ac:dyDescent="0.2">
      <c r="A32" s="155" t="s">
        <v>37</v>
      </c>
      <c r="B32" s="118">
        <f>IF(OR(83881.49653="",83881.49653="***"),"-",83881.49653/2578273.3802*100)</f>
        <v>3.2533980754008796</v>
      </c>
      <c r="C32" s="118">
        <f>IF(113785.87585="","-",113785.87585/3222930.24801*100)</f>
        <v>3.5305100357122878</v>
      </c>
      <c r="D32" s="118">
        <f>IF(110324.17455="","-",110324.17455/3307388.5187*100)</f>
        <v>3.3356883815199292</v>
      </c>
      <c r="E32" s="118">
        <f>IF(111749.17298="","-",111749.17298/2890255.78537*100)</f>
        <v>3.8664111856693086</v>
      </c>
      <c r="F32" s="118">
        <f>IF(146648.40981="","-",146648.40981/3828107.2484*100)</f>
        <v>3.8308333673591135</v>
      </c>
      <c r="G32" s="119">
        <f>IF(171738.4621="","-",171738.4621/5111753.23542*100)</f>
        <v>3.3596782589191116</v>
      </c>
    </row>
    <row r="33" spans="1:7" x14ac:dyDescent="0.2">
      <c r="A33" s="155" t="s">
        <v>76</v>
      </c>
      <c r="B33" s="118">
        <f>IF(OR(15790.82535="",15790.82535="***"),"-",15790.82535/2578273.3802*100)</f>
        <v>0.61245737055141469</v>
      </c>
      <c r="C33" s="118">
        <f>IF(16995.00081="","-",16995.00081/3222930.24801*100)</f>
        <v>0.52731519152465589</v>
      </c>
      <c r="D33" s="118">
        <f>IF(20910.13837="","-",20910.13837/3307388.5187*100)</f>
        <v>0.63222503953720344</v>
      </c>
      <c r="E33" s="118">
        <f>IF(23013.0428="","-",23013.0428/2890255.78537*100)</f>
        <v>0.79622858698140975</v>
      </c>
      <c r="F33" s="118">
        <f>IF(26117.99526="","-",26117.99526/3828107.2484*100)</f>
        <v>0.68226916241482805</v>
      </c>
      <c r="G33" s="119">
        <f>IF(143648.96407="","-",143648.96407/5111753.23542*100)</f>
        <v>2.8101701599098665</v>
      </c>
    </row>
    <row r="34" spans="1:7" x14ac:dyDescent="0.2">
      <c r="A34" s="155" t="s">
        <v>62</v>
      </c>
      <c r="B34" s="118">
        <f>IF(OR(67005.22701="",67005.22701="***"),"-",67005.22701/2578273.3802*100)</f>
        <v>2.5988410509362789</v>
      </c>
      <c r="C34" s="118">
        <f>IF(87128.24414="","-",87128.24414/3222930.24801*100)</f>
        <v>2.703385969764545</v>
      </c>
      <c r="D34" s="118">
        <f>IF(87945.61816="","-",87945.61816/3307388.5187*100)</f>
        <v>2.6590652311560858</v>
      </c>
      <c r="E34" s="118">
        <f>IF(73797.82478="","-",73797.82478/2890255.78537*100)</f>
        <v>2.5533319629893128</v>
      </c>
      <c r="F34" s="118">
        <f>IF(98748.24532="","-",98748.24532/3828107.2484*100)</f>
        <v>2.5795579619999658</v>
      </c>
      <c r="G34" s="119">
        <f>IF(113987.06712="","-",113987.06712/5111753.23542*100)</f>
        <v>2.2299015987346351</v>
      </c>
    </row>
    <row r="35" spans="1:7" x14ac:dyDescent="0.2">
      <c r="A35" s="155" t="s">
        <v>40</v>
      </c>
      <c r="B35" s="118">
        <f>IF(OR(53286.34408="",53286.34408="***"),"-",53286.34408/2578273.3802*100)</f>
        <v>2.0667453067318453</v>
      </c>
      <c r="C35" s="118">
        <f>IF(69316.88068="","-",69316.88068/3222930.24801*100)</f>
        <v>2.1507409514307589</v>
      </c>
      <c r="D35" s="118">
        <f>IF(66608.944="","-",66608.944/3307388.5187*100)</f>
        <v>2.013943739097857</v>
      </c>
      <c r="E35" s="118">
        <f>IF(56887.05437="","-",56887.05437/2890255.78537*100)</f>
        <v>1.9682359830556491</v>
      </c>
      <c r="F35" s="118">
        <f>IF(72900.42126="","-",72900.42126/3828107.2484*100)</f>
        <v>1.9043463656999042</v>
      </c>
      <c r="G35" s="119">
        <f>IF(106156.81911="","-",106156.81911/5111753.23542*100)</f>
        <v>2.0767203388149817</v>
      </c>
    </row>
    <row r="36" spans="1:7" ht="13.5" customHeight="1" x14ac:dyDescent="0.2">
      <c r="A36" s="155" t="s">
        <v>64</v>
      </c>
      <c r="B36" s="118">
        <f>IF(OR(45427.39723="",45427.39723="***"),"-",45427.39723/2578273.3802*100)</f>
        <v>1.7619309720552652</v>
      </c>
      <c r="C36" s="118">
        <f>IF(42960.627="","-",42960.627/3222930.24801*100)</f>
        <v>1.3329679420312015</v>
      </c>
      <c r="D36" s="118">
        <f>IF(41449.84736="","-",41449.84736/3307388.5187*100)</f>
        <v>1.2532500226581258</v>
      </c>
      <c r="E36" s="118">
        <f>IF(38464.53375="","-",38464.53375/2890255.78537*100)</f>
        <v>1.3308349366412879</v>
      </c>
      <c r="F36" s="118">
        <f>IF(61593.8489="","-",61593.8489/3828107.2484*100)</f>
        <v>1.6089896364775</v>
      </c>
      <c r="G36" s="119">
        <f>IF(80433.01075="","-",80433.01075/5111753.23542*100)</f>
        <v>1.5734916582566867</v>
      </c>
    </row>
    <row r="37" spans="1:7" ht="12" customHeight="1" x14ac:dyDescent="0.2">
      <c r="A37" s="155" t="s">
        <v>63</v>
      </c>
      <c r="B37" s="118">
        <f>IF(OR(35910.36149="",35910.36149="***"),"-",35910.36149/2578273.3802*100)</f>
        <v>1.3928065877643427</v>
      </c>
      <c r="C37" s="118">
        <f>IF(47753.97366="","-",47753.97366/3222930.24801*100)</f>
        <v>1.4816942963468016</v>
      </c>
      <c r="D37" s="118">
        <f>IF(63369.1745="","-",63369.1745/3307388.5187*100)</f>
        <v>1.9159882227839338</v>
      </c>
      <c r="E37" s="118">
        <f>IF(47012.80862="","-",47012.80862/2890255.78537*100)</f>
        <v>1.626596817415646</v>
      </c>
      <c r="F37" s="118">
        <f>IF(67335.55503="","-",67335.55503/3828107.2484*100)</f>
        <v>1.758977757432048</v>
      </c>
      <c r="G37" s="119">
        <f>IF(76546.24547="","-",76546.24547/5111753.23542*100)</f>
        <v>1.4974558032183782</v>
      </c>
    </row>
    <row r="38" spans="1:7" x14ac:dyDescent="0.2">
      <c r="A38" s="155" t="s">
        <v>42</v>
      </c>
      <c r="B38" s="118">
        <f>IF(OR(38898.08571="",38898.08571="***"),"-",38898.08571/2578273.3802*100)</f>
        <v>1.5086874033110727</v>
      </c>
      <c r="C38" s="118">
        <f>IF(37684.89514="","-",37684.89514/3222930.24801*100)</f>
        <v>1.1692743013370692</v>
      </c>
      <c r="D38" s="118">
        <f>IF(28012.05405="","-",28012.05405/3307388.5187*100)</f>
        <v>0.84695383961151327</v>
      </c>
      <c r="E38" s="118">
        <f>IF(30961.7867="","-",30961.7867/2890255.78537*100)</f>
        <v>1.0712472874104595</v>
      </c>
      <c r="F38" s="118">
        <f>IF(45885.3969="","-",45885.3969/3828107.2484*100)</f>
        <v>1.1986444977260842</v>
      </c>
      <c r="G38" s="119">
        <f>IF(75448.36709="","-",75448.36709/5111753.23542*100)</f>
        <v>1.4759782723314674</v>
      </c>
    </row>
    <row r="39" spans="1:7" x14ac:dyDescent="0.2">
      <c r="A39" s="155" t="s">
        <v>39</v>
      </c>
      <c r="B39" s="118">
        <f>IF(OR(62912.15184="",62912.15184="***"),"-",62912.15184/2578273.3802*100)</f>
        <v>2.4400884841435948</v>
      </c>
      <c r="C39" s="118">
        <f>IF(62056.95558="","-",62056.95558/3222930.24801*100)</f>
        <v>1.9254824276236537</v>
      </c>
      <c r="D39" s="118">
        <f>IF(74496.78805="","-",74496.78805/3307388.5187*100)</f>
        <v>2.2524353467636051</v>
      </c>
      <c r="E39" s="118">
        <f>IF(56548.58776="","-",56548.58776/2890255.78537*100)</f>
        <v>1.9565253721224145</v>
      </c>
      <c r="F39" s="118">
        <f>IF(69898.73435="","-",69898.73435/3828107.2484*100)</f>
        <v>1.8259345889333418</v>
      </c>
      <c r="G39" s="119">
        <f>IF(63247.35883="","-",63247.35883/5111753.23542*100)</f>
        <v>1.237292880097397</v>
      </c>
    </row>
    <row r="40" spans="1:7" x14ac:dyDescent="0.2">
      <c r="A40" s="155" t="s">
        <v>41</v>
      </c>
      <c r="B40" s="118">
        <f>IF(OR(33651.12556="",33651.12556="***"),"-",33651.12556/2578273.3802*100)</f>
        <v>1.3051806615398418</v>
      </c>
      <c r="C40" s="118">
        <f>IF(46031.96996="","-",46031.96996/3222930.24801*100)</f>
        <v>1.4282645424430909</v>
      </c>
      <c r="D40" s="118">
        <f>IF(48854.50403="","-",48854.50403/3307388.5187*100)</f>
        <v>1.4771322979981414</v>
      </c>
      <c r="E40" s="118">
        <f>IF(42967.71688="","-",42967.71688/2890255.78537*100)</f>
        <v>1.4866406322061709</v>
      </c>
      <c r="F40" s="118">
        <f>IF(53368.39781="","-",53368.39781/3828107.2484*100)</f>
        <v>1.3941197136602146</v>
      </c>
      <c r="G40" s="119">
        <f>IF(62068.56279="","-",62068.56279/5111753.23542*100)</f>
        <v>1.2142323764754313</v>
      </c>
    </row>
    <row r="41" spans="1:7" x14ac:dyDescent="0.2">
      <c r="A41" s="155" t="s">
        <v>85</v>
      </c>
      <c r="B41" s="118">
        <f>IF(OR(25987.77538="",25987.77538="***"),"-",25987.77538/2578273.3802*100)</f>
        <v>1.0079526701696813</v>
      </c>
      <c r="C41" s="118">
        <f>IF(35005.99511="","-",35005.99511/3222930.24801*100)</f>
        <v>1.0861542886823092</v>
      </c>
      <c r="D41" s="118">
        <f>IF(34844.95164="","-",34844.95164/3307388.5187*100)</f>
        <v>1.0535487876004399</v>
      </c>
      <c r="E41" s="118">
        <f>IF(30707.53244="","-",30707.53244/2890255.78537*100)</f>
        <v>1.0624503407427288</v>
      </c>
      <c r="F41" s="118">
        <f>IF(40395.62798="","-",40395.62798/3828107.2484*100)</f>
        <v>1.0552376242040711</v>
      </c>
      <c r="G41" s="119">
        <f>IF(51277.80104="","-",51277.80104/5111753.23542*100)</f>
        <v>1.0031352977817762</v>
      </c>
    </row>
    <row r="42" spans="1:7" x14ac:dyDescent="0.2">
      <c r="A42" s="155" t="s">
        <v>52</v>
      </c>
      <c r="B42" s="118">
        <f>IF(OR(43319.16635="",43319.16635="***"),"-",43319.16635/2578273.3802*100)</f>
        <v>1.6801618743253546</v>
      </c>
      <c r="C42" s="118">
        <f>IF(64139.54587="","-",64139.54587/3222930.24801*100)</f>
        <v>1.9901003414393781</v>
      </c>
      <c r="D42" s="118">
        <f>IF(56179.28324="","-",56179.28324/3307388.5187*100)</f>
        <v>1.6985994515721965</v>
      </c>
      <c r="E42" s="118">
        <f>IF(32360.90094="","-",32360.90094/2890255.78537*100)</f>
        <v>1.1196552604030952</v>
      </c>
      <c r="F42" s="118">
        <f>IF(59050.65555="","-",59050.65555/3828107.2484*100)</f>
        <v>1.5425548898788266</v>
      </c>
      <c r="G42" s="119">
        <f>IF(47867.31673="","-",47867.31673/5111753.23542*100)</f>
        <v>0.93641681289153722</v>
      </c>
    </row>
    <row r="43" spans="1:7" x14ac:dyDescent="0.2">
      <c r="A43" s="155" t="s">
        <v>102</v>
      </c>
      <c r="B43" s="118">
        <f>IF(OR(33045.85338="",33045.85338="***"),"-",33045.85338/2578273.3802*100)</f>
        <v>1.2817047887077277</v>
      </c>
      <c r="C43" s="118">
        <f>IF(34242.38117="","-",34242.38117/3222930.24801*100)</f>
        <v>1.0624611311753636</v>
      </c>
      <c r="D43" s="118">
        <f>IF(33345.04013="","-",33345.04013/3307388.5187*100)</f>
        <v>1.0081984605517884</v>
      </c>
      <c r="E43" s="118">
        <f>IF(26422.52358="","-",26422.52358/2890255.78537*100)</f>
        <v>0.91419325977121035</v>
      </c>
      <c r="F43" s="118">
        <f>IF(37232.92926="","-",37232.92926/3828107.2484*100)</f>
        <v>0.97261980514161184</v>
      </c>
      <c r="G43" s="119">
        <f>IF(41973.40327="","-",41973.40327/5111753.23542*100)</f>
        <v>0.82111560040028642</v>
      </c>
    </row>
    <row r="44" spans="1:7" x14ac:dyDescent="0.2">
      <c r="A44" s="155" t="s">
        <v>89</v>
      </c>
      <c r="B44" s="118">
        <f>IF(OR(18349.30613="",18349.30613="***"),"-",18349.30613/2578273.3802*100)</f>
        <v>0.71168970175601087</v>
      </c>
      <c r="C44" s="118">
        <f>IF(32173.54627="","-",32173.54627/3222930.24801*100)</f>
        <v>0.99827001499227519</v>
      </c>
      <c r="D44" s="118">
        <f>IF(27103.48099="","-",27103.48099/3307388.5187*100)</f>
        <v>0.81948282872594835</v>
      </c>
      <c r="E44" s="118">
        <f>IF(29452.57521="","-",29452.57521/2890255.78537*100)</f>
        <v>1.0190300581382483</v>
      </c>
      <c r="F44" s="118">
        <f>IF(37469.76383="","-",37469.76383/3828107.2484*100)</f>
        <v>0.97880653280184116</v>
      </c>
      <c r="G44" s="119">
        <f>IF(38474.72414="","-",38474.72414/5111753.23542*100)</f>
        <v>0.75267178144288449</v>
      </c>
    </row>
    <row r="45" spans="1:7" x14ac:dyDescent="0.2">
      <c r="A45" s="155" t="s">
        <v>59</v>
      </c>
      <c r="B45" s="118">
        <f>IF(OR(13033.72514="",13033.72514="***"),"-",13033.72514/2578273.3802*100)</f>
        <v>0.5055214563394731</v>
      </c>
      <c r="C45" s="118">
        <f>IF(14437.64946="","-",14437.64946/3222930.24801*100)</f>
        <v>0.44796655059210583</v>
      </c>
      <c r="D45" s="118">
        <f>IF(13662.95295="","-",13662.95295/3307388.5187*100)</f>
        <v>0.41310396020151735</v>
      </c>
      <c r="E45" s="118">
        <f>IF(14417.79288="","-",14417.79288/2890255.78537*100)</f>
        <v>0.49884141580065333</v>
      </c>
      <c r="F45" s="118">
        <f>IF(17255.95393="","-",17255.95393/3828107.2484*100)</f>
        <v>0.45076986641929423</v>
      </c>
      <c r="G45" s="119">
        <f>IF(36156.91983="","-",36156.91983/5111753.23542*100)</f>
        <v>0.70732913278098053</v>
      </c>
    </row>
    <row r="46" spans="1:7" x14ac:dyDescent="0.2">
      <c r="A46" s="155" t="s">
        <v>65</v>
      </c>
      <c r="B46" s="118">
        <f>IF(OR(13799.85396="",13799.85396="***"),"-",13799.85396/2578273.3802*100)</f>
        <v>0.53523625795374452</v>
      </c>
      <c r="C46" s="118">
        <f>IF(20687.05697="","-",20687.05697/3222930.24801*100)</f>
        <v>0.64187107315689607</v>
      </c>
      <c r="D46" s="118">
        <f>IF(20691.4856="","-",20691.4856/3307388.5187*100)</f>
        <v>0.62561399977686871</v>
      </c>
      <c r="E46" s="118">
        <f>IF(21837.51157="","-",21837.51157/2890255.78537*100)</f>
        <v>0.75555636565240669</v>
      </c>
      <c r="F46" s="118">
        <f>IF(26615.56278="","-",26615.56278/3828107.2484*100)</f>
        <v>0.69526690484244591</v>
      </c>
      <c r="G46" s="119">
        <f>IF(35707.56545="","-",35707.56545/5111753.23542*100)</f>
        <v>0.69853852104161951</v>
      </c>
    </row>
    <row r="47" spans="1:7" x14ac:dyDescent="0.2">
      <c r="A47" s="155" t="s">
        <v>97</v>
      </c>
      <c r="B47" s="118">
        <f>IF(OR(21251.10856="",21251.10856="***"),"-",21251.10856/2578273.3802*100)</f>
        <v>0.8242379851259809</v>
      </c>
      <c r="C47" s="118">
        <f>IF(28540.43014="","-",28540.43014/3222930.24801*100)</f>
        <v>0.88554290486498444</v>
      </c>
      <c r="D47" s="118">
        <f>IF(25449.6988="","-",25449.6988/3307388.5187*100)</f>
        <v>0.76948017011328451</v>
      </c>
      <c r="E47" s="118">
        <f>IF(22009.61476="","-",22009.61476/2890255.78537*100)</f>
        <v>0.76151096630993886</v>
      </c>
      <c r="F47" s="118">
        <f>IF(26844.74228="","-",26844.74228/3828107.2484*100)</f>
        <v>0.70125366239987297</v>
      </c>
      <c r="G47" s="119">
        <f>IF(30908.08284="","-",30908.08284/5111753.23542*100)</f>
        <v>0.60464739623645936</v>
      </c>
    </row>
    <row r="48" spans="1:7" x14ac:dyDescent="0.2">
      <c r="A48" s="156" t="s">
        <v>98</v>
      </c>
      <c r="B48" s="120">
        <f>IF(OR(12367.52693="",12367.52693="***"),"-",12367.52693/2578273.3802*100)</f>
        <v>0.47968252804288097</v>
      </c>
      <c r="C48" s="120">
        <f>IF(17148.13975="","-",17148.13975/3222930.24801*100)</f>
        <v>0.5320667352508831</v>
      </c>
      <c r="D48" s="120">
        <f>IF(19658.26098="","-",19658.26098/3307388.5187*100)</f>
        <v>0.59437410721032746</v>
      </c>
      <c r="E48" s="120">
        <f>IF(14606.73727="","-",14606.73727/2890255.78537*100)</f>
        <v>0.50537870537053864</v>
      </c>
      <c r="F48" s="120">
        <f>IF(22168.56212="","-",22168.56212/3828107.2484*100)</f>
        <v>0.57909981830487101</v>
      </c>
      <c r="G48" s="121">
        <f>IF(29179.6277="","-",29179.6277/5111753.23542*100)</f>
        <v>0.5708340437447289</v>
      </c>
    </row>
  </sheetData>
  <mergeCells count="1">
    <mergeCell ref="A2:G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J52"/>
  <sheetViews>
    <sheetView workbookViewId="0">
      <selection activeCell="A2" sqref="A2:XFD2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0" s="183" customFormat="1" x14ac:dyDescent="0.2">
      <c r="A2" s="187" t="s">
        <v>106</v>
      </c>
      <c r="B2" s="187"/>
      <c r="C2" s="187"/>
      <c r="D2" s="187"/>
      <c r="E2" s="187"/>
      <c r="F2" s="187"/>
      <c r="G2" s="187"/>
      <c r="H2" s="187"/>
    </row>
    <row r="3" spans="1:10" x14ac:dyDescent="0.2">
      <c r="A3" s="57"/>
      <c r="B3" s="57"/>
      <c r="C3" s="57"/>
      <c r="D3" s="57"/>
      <c r="E3" s="57"/>
      <c r="F3" s="57"/>
      <c r="G3" s="56"/>
      <c r="H3" s="56"/>
      <c r="I3" s="56"/>
      <c r="J3" s="56"/>
    </row>
    <row r="4" spans="1:10" x14ac:dyDescent="0.2">
      <c r="A4" s="4"/>
      <c r="B4" s="4"/>
      <c r="C4" s="4"/>
      <c r="D4" s="4"/>
      <c r="E4" s="4"/>
      <c r="F4" s="4"/>
    </row>
    <row r="5" spans="1:10" x14ac:dyDescent="0.2">
      <c r="A5" s="4"/>
      <c r="B5" s="4"/>
      <c r="C5" s="4"/>
      <c r="D5" s="4"/>
      <c r="E5" s="4"/>
      <c r="F5" s="4"/>
    </row>
    <row r="6" spans="1:10" x14ac:dyDescent="0.2">
      <c r="A6" s="4"/>
      <c r="B6" s="4"/>
      <c r="C6" s="4"/>
      <c r="D6" s="4"/>
      <c r="E6" s="4"/>
      <c r="F6" s="4"/>
    </row>
    <row r="7" spans="1:10" x14ac:dyDescent="0.2">
      <c r="A7" s="4"/>
      <c r="B7" s="4"/>
      <c r="C7" s="4"/>
      <c r="D7" s="4"/>
      <c r="E7" s="4"/>
      <c r="F7" s="4"/>
    </row>
    <row r="8" spans="1:10" x14ac:dyDescent="0.2">
      <c r="A8" s="4"/>
      <c r="B8" s="4"/>
      <c r="C8" s="4"/>
      <c r="D8" s="4"/>
      <c r="E8" s="4"/>
      <c r="F8" s="4"/>
    </row>
    <row r="9" spans="1:10" x14ac:dyDescent="0.2">
      <c r="A9" s="4"/>
      <c r="B9" s="4"/>
      <c r="C9" s="4"/>
      <c r="D9" s="4"/>
      <c r="E9" s="4"/>
      <c r="F9" s="4"/>
    </row>
    <row r="10" spans="1:10" x14ac:dyDescent="0.2">
      <c r="A10" s="4"/>
      <c r="B10" s="4"/>
      <c r="C10" s="4"/>
      <c r="D10" s="4"/>
      <c r="E10" s="4"/>
      <c r="F10" s="4"/>
    </row>
    <row r="11" spans="1:10" x14ac:dyDescent="0.2">
      <c r="A11" s="4"/>
      <c r="B11" s="4"/>
      <c r="C11" s="4"/>
      <c r="D11" s="4"/>
      <c r="E11" s="4"/>
      <c r="F11" s="4"/>
    </row>
    <row r="12" spans="1:10" x14ac:dyDescent="0.2">
      <c r="A12" s="4"/>
      <c r="B12" s="4"/>
      <c r="C12" s="4"/>
      <c r="D12" s="4"/>
      <c r="E12" s="4"/>
      <c r="F12" s="4"/>
    </row>
    <row r="13" spans="1:10" x14ac:dyDescent="0.2">
      <c r="A13" s="4"/>
      <c r="B13" s="4"/>
      <c r="C13" s="4"/>
      <c r="D13" s="4"/>
      <c r="E13" s="4"/>
      <c r="F13" s="4"/>
    </row>
    <row r="14" spans="1:10" x14ac:dyDescent="0.2">
      <c r="A14" s="4"/>
      <c r="B14" s="4"/>
      <c r="C14" s="4"/>
      <c r="D14" s="4"/>
      <c r="E14" s="4"/>
      <c r="F14" s="4"/>
    </row>
    <row r="15" spans="1:10" x14ac:dyDescent="0.2">
      <c r="A15" s="4"/>
      <c r="B15" s="4"/>
      <c r="C15" s="4"/>
      <c r="D15" s="4"/>
      <c r="E15" s="4"/>
      <c r="F15" s="4"/>
    </row>
    <row r="16" spans="1:10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ht="16.5" customHeight="1" x14ac:dyDescent="0.2">
      <c r="A22" s="5"/>
    </row>
    <row r="23" spans="1:6" ht="16.5" customHeight="1" x14ac:dyDescent="0.2">
      <c r="A23" s="5"/>
    </row>
    <row r="24" spans="1:6" x14ac:dyDescent="0.2">
      <c r="A24" s="53" t="s">
        <v>100</v>
      </c>
      <c r="B24" s="98" t="s">
        <v>44</v>
      </c>
    </row>
    <row r="25" spans="1:6" x14ac:dyDescent="0.2">
      <c r="A25" s="157" t="s">
        <v>81</v>
      </c>
      <c r="B25" s="161">
        <v>7.9</v>
      </c>
    </row>
    <row r="26" spans="1:6" ht="13.5" customHeight="1" x14ac:dyDescent="0.2">
      <c r="A26" s="158" t="s">
        <v>77</v>
      </c>
      <c r="B26" s="162">
        <v>3.7</v>
      </c>
    </row>
    <row r="27" spans="1:6" x14ac:dyDescent="0.2">
      <c r="A27" s="158" t="s">
        <v>71</v>
      </c>
      <c r="B27" s="162">
        <v>8</v>
      </c>
    </row>
    <row r="28" spans="1:6" x14ac:dyDescent="0.2">
      <c r="A28" s="158" t="s">
        <v>79</v>
      </c>
      <c r="B28" s="162">
        <v>6.4</v>
      </c>
    </row>
    <row r="29" spans="1:6" x14ac:dyDescent="0.2">
      <c r="A29" s="158" t="s">
        <v>82</v>
      </c>
      <c r="B29" s="162">
        <v>4.9000000000000004</v>
      </c>
    </row>
    <row r="30" spans="1:6" x14ac:dyDescent="0.2">
      <c r="A30" s="158" t="s">
        <v>78</v>
      </c>
      <c r="B30" s="162">
        <v>3.2</v>
      </c>
    </row>
    <row r="31" spans="1:6" x14ac:dyDescent="0.2">
      <c r="A31" s="158" t="s">
        <v>70</v>
      </c>
      <c r="B31" s="162">
        <v>4.5999999999999996</v>
      </c>
    </row>
    <row r="32" spans="1:6" x14ac:dyDescent="0.2">
      <c r="A32" s="158" t="s">
        <v>83</v>
      </c>
      <c r="B32" s="162">
        <v>3.7</v>
      </c>
    </row>
    <row r="33" spans="1:3" x14ac:dyDescent="0.2">
      <c r="A33" s="158" t="s">
        <v>67</v>
      </c>
      <c r="B33" s="162">
        <v>2.9</v>
      </c>
    </row>
    <row r="34" spans="1:3" x14ac:dyDescent="0.2">
      <c r="A34" s="159" t="s">
        <v>90</v>
      </c>
      <c r="B34" s="162">
        <v>3.1</v>
      </c>
    </row>
    <row r="35" spans="1:3" x14ac:dyDescent="0.2">
      <c r="A35" s="158" t="s">
        <v>87</v>
      </c>
      <c r="B35" s="162">
        <v>2.5</v>
      </c>
    </row>
    <row r="36" spans="1:3" x14ac:dyDescent="0.2">
      <c r="A36" s="158" t="s">
        <v>73</v>
      </c>
      <c r="B36" s="162">
        <v>2.7</v>
      </c>
    </row>
    <row r="37" spans="1:3" x14ac:dyDescent="0.2">
      <c r="A37" s="160" t="s">
        <v>74</v>
      </c>
      <c r="B37" s="104">
        <v>46.4</v>
      </c>
    </row>
    <row r="38" spans="1:3" x14ac:dyDescent="0.2">
      <c r="A38" s="87"/>
      <c r="B38" s="152"/>
      <c r="C38" s="6"/>
    </row>
    <row r="39" spans="1:3" ht="11.25" customHeight="1" x14ac:dyDescent="0.2">
      <c r="A39" s="97" t="s">
        <v>101</v>
      </c>
      <c r="B39" s="105" t="s">
        <v>44</v>
      </c>
    </row>
    <row r="40" spans="1:3" x14ac:dyDescent="0.2">
      <c r="A40" s="157" t="s">
        <v>81</v>
      </c>
      <c r="B40" s="161">
        <v>15.9</v>
      </c>
    </row>
    <row r="41" spans="1:3" x14ac:dyDescent="0.2">
      <c r="A41" s="158" t="s">
        <v>77</v>
      </c>
      <c r="B41" s="162">
        <v>9.1</v>
      </c>
    </row>
    <row r="42" spans="1:3" x14ac:dyDescent="0.2">
      <c r="A42" s="158" t="s">
        <v>71</v>
      </c>
      <c r="B42" s="162">
        <v>6.1</v>
      </c>
    </row>
    <row r="43" spans="1:3" x14ac:dyDescent="0.2">
      <c r="A43" s="158" t="s">
        <v>79</v>
      </c>
      <c r="B43" s="162">
        <v>5.7</v>
      </c>
    </row>
    <row r="44" spans="1:3" x14ac:dyDescent="0.2">
      <c r="A44" s="158" t="s">
        <v>82</v>
      </c>
      <c r="B44" s="162">
        <v>3.8</v>
      </c>
    </row>
    <row r="45" spans="1:3" x14ac:dyDescent="0.2">
      <c r="A45" s="158" t="s">
        <v>78</v>
      </c>
      <c r="B45" s="162">
        <v>3.7</v>
      </c>
    </row>
    <row r="46" spans="1:3" x14ac:dyDescent="0.2">
      <c r="A46" s="158" t="s">
        <v>70</v>
      </c>
      <c r="B46" s="162">
        <v>3.2</v>
      </c>
    </row>
    <row r="47" spans="1:3" x14ac:dyDescent="0.2">
      <c r="A47" s="158" t="s">
        <v>83</v>
      </c>
      <c r="B47" s="162">
        <v>2.7</v>
      </c>
    </row>
    <row r="48" spans="1:3" x14ac:dyDescent="0.2">
      <c r="A48" s="158" t="s">
        <v>67</v>
      </c>
      <c r="B48" s="162">
        <v>2.2999999999999998</v>
      </c>
    </row>
    <row r="49" spans="1:2" x14ac:dyDescent="0.2">
      <c r="A49" s="159" t="s">
        <v>90</v>
      </c>
      <c r="B49" s="162">
        <v>2.2000000000000002</v>
      </c>
    </row>
    <row r="50" spans="1:2" x14ac:dyDescent="0.2">
      <c r="A50" s="158" t="s">
        <v>87</v>
      </c>
      <c r="B50" s="162">
        <v>2.2000000000000002</v>
      </c>
    </row>
    <row r="51" spans="1:2" x14ac:dyDescent="0.2">
      <c r="A51" s="158" t="s">
        <v>73</v>
      </c>
      <c r="B51" s="162">
        <v>2.1</v>
      </c>
    </row>
    <row r="52" spans="1:2" x14ac:dyDescent="0.2">
      <c r="A52" s="160" t="s">
        <v>74</v>
      </c>
      <c r="B52" s="104">
        <v>41</v>
      </c>
    </row>
  </sheetData>
  <mergeCells count="1">
    <mergeCell ref="A2:H2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M28"/>
  <sheetViews>
    <sheetView workbookViewId="0">
      <selection activeCell="A2" sqref="A2:XFD2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s="183" customFormat="1" x14ac:dyDescent="0.2">
      <c r="A2" s="186" t="s">
        <v>105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38" t="s">
        <v>0</v>
      </c>
      <c r="B22" s="51" t="s">
        <v>1</v>
      </c>
      <c r="C22" s="51" t="s">
        <v>2</v>
      </c>
      <c r="D22" s="51" t="s">
        <v>3</v>
      </c>
      <c r="E22" s="51" t="s">
        <v>4</v>
      </c>
      <c r="F22" s="51" t="s">
        <v>5</v>
      </c>
      <c r="G22" s="51" t="s">
        <v>6</v>
      </c>
      <c r="H22" s="51" t="s">
        <v>7</v>
      </c>
      <c r="I22" s="51" t="s">
        <v>8</v>
      </c>
      <c r="J22" s="51" t="s">
        <v>9</v>
      </c>
      <c r="K22" s="51" t="s">
        <v>10</v>
      </c>
      <c r="L22" s="51" t="s">
        <v>11</v>
      </c>
      <c r="M22" s="86" t="s">
        <v>12</v>
      </c>
    </row>
    <row r="23" spans="1:13" x14ac:dyDescent="0.2">
      <c r="A23" s="41">
        <v>2017</v>
      </c>
      <c r="B23" s="46">
        <v>-127.3</v>
      </c>
      <c r="C23" s="46">
        <v>-156.1</v>
      </c>
      <c r="D23" s="46">
        <v>-219.1</v>
      </c>
      <c r="E23" s="46">
        <v>-207.3</v>
      </c>
      <c r="F23" s="46">
        <v>-225.7</v>
      </c>
      <c r="G23" s="46">
        <v>-217.7</v>
      </c>
      <c r="H23" s="46">
        <v>-205.3</v>
      </c>
      <c r="I23" s="46">
        <v>-221.8</v>
      </c>
      <c r="J23" s="46">
        <v>-206.9</v>
      </c>
      <c r="K23" s="46">
        <v>-197.7</v>
      </c>
      <c r="L23" s="46">
        <v>-183.2</v>
      </c>
      <c r="M23" s="47">
        <v>-238.3</v>
      </c>
    </row>
    <row r="24" spans="1:13" x14ac:dyDescent="0.2">
      <c r="A24" s="41">
        <v>2018</v>
      </c>
      <c r="B24" s="46">
        <v>-154</v>
      </c>
      <c r="C24" s="46">
        <v>-212.1</v>
      </c>
      <c r="D24" s="46">
        <v>-282</v>
      </c>
      <c r="E24" s="46">
        <v>-244.9</v>
      </c>
      <c r="F24" s="46">
        <v>-282.60000000000002</v>
      </c>
      <c r="G24" s="46">
        <v>-244.6</v>
      </c>
      <c r="H24" s="46">
        <v>-269.2</v>
      </c>
      <c r="I24" s="46">
        <v>-262.10000000000002</v>
      </c>
      <c r="J24" s="46">
        <v>-266.7</v>
      </c>
      <c r="K24" s="46">
        <v>-281.60000000000002</v>
      </c>
      <c r="L24" s="46">
        <v>-253.70000000000005</v>
      </c>
      <c r="M24" s="47">
        <v>-300.49999999999994</v>
      </c>
    </row>
    <row r="25" spans="1:13" x14ac:dyDescent="0.2">
      <c r="A25" s="41">
        <v>2019</v>
      </c>
      <c r="B25" s="46">
        <v>-138.30000000000001</v>
      </c>
      <c r="C25" s="46">
        <v>-217.9</v>
      </c>
      <c r="D25" s="46">
        <v>-276.60000000000002</v>
      </c>
      <c r="E25" s="46">
        <v>-300</v>
      </c>
      <c r="F25" s="46">
        <v>-271.10000000000002</v>
      </c>
      <c r="G25" s="46">
        <v>-243.2</v>
      </c>
      <c r="H25" s="46">
        <v>-278.89999999999998</v>
      </c>
      <c r="I25" s="46">
        <v>-258.5</v>
      </c>
      <c r="J25" s="46">
        <v>-262.89999999999998</v>
      </c>
      <c r="K25" s="46">
        <v>-257</v>
      </c>
      <c r="L25" s="46">
        <v>-237.5</v>
      </c>
      <c r="M25" s="47">
        <v>-321.39999999999998</v>
      </c>
    </row>
    <row r="26" spans="1:13" x14ac:dyDescent="0.2">
      <c r="A26" s="41">
        <v>2020</v>
      </c>
      <c r="B26" s="46">
        <v>-160.30000000000001</v>
      </c>
      <c r="C26" s="46">
        <v>-239.5</v>
      </c>
      <c r="D26" s="46">
        <v>-290.3</v>
      </c>
      <c r="E26" s="46">
        <v>-135.80000000000001</v>
      </c>
      <c r="F26" s="46">
        <v>-173.7</v>
      </c>
      <c r="G26" s="46">
        <v>-223.9</v>
      </c>
      <c r="H26" s="46">
        <v>-305.5</v>
      </c>
      <c r="I26" s="46">
        <v>-269.7</v>
      </c>
      <c r="J26" s="46">
        <v>-296</v>
      </c>
      <c r="K26" s="46">
        <v>-244.2</v>
      </c>
      <c r="L26" s="46">
        <v>-260.89999999999998</v>
      </c>
      <c r="M26" s="47">
        <v>-349</v>
      </c>
    </row>
    <row r="27" spans="1:13" x14ac:dyDescent="0.2">
      <c r="A27" s="41">
        <v>2021</v>
      </c>
      <c r="B27" s="46">
        <v>-201</v>
      </c>
      <c r="C27" s="46">
        <v>-294.39999999999998</v>
      </c>
      <c r="D27" s="46">
        <v>-370.8</v>
      </c>
      <c r="E27" s="46">
        <v>-344</v>
      </c>
      <c r="F27" s="46">
        <v>-361.7</v>
      </c>
      <c r="G27" s="46">
        <v>-362.8</v>
      </c>
      <c r="H27" s="46">
        <v>-321.3</v>
      </c>
      <c r="I27" s="46">
        <v>-338.6</v>
      </c>
      <c r="J27" s="46">
        <v>-376.3</v>
      </c>
      <c r="K27" s="46">
        <v>-294.60000000000002</v>
      </c>
      <c r="L27" s="46">
        <v>-337.6</v>
      </c>
      <c r="M27" s="47">
        <v>-429.2</v>
      </c>
    </row>
    <row r="28" spans="1:13" x14ac:dyDescent="0.2">
      <c r="A28" s="42">
        <v>2022</v>
      </c>
      <c r="B28" s="48">
        <v>-291.3</v>
      </c>
      <c r="C28" s="48">
        <v>-332.6</v>
      </c>
      <c r="D28" s="48">
        <v>-352.5</v>
      </c>
      <c r="E28" s="48">
        <v>-374.2</v>
      </c>
      <c r="F28" s="48">
        <v>-356.7</v>
      </c>
      <c r="G28" s="48">
        <v>-351.9</v>
      </c>
      <c r="H28" s="48">
        <v>-422.9</v>
      </c>
      <c r="I28" s="48"/>
      <c r="J28" s="48"/>
      <c r="K28" s="48"/>
      <c r="L28" s="48"/>
      <c r="M28" s="49"/>
    </row>
  </sheetData>
  <mergeCells count="1">
    <mergeCell ref="A2:M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M30"/>
  <sheetViews>
    <sheetView zoomScaleNormal="100" workbookViewId="0">
      <selection activeCell="A2" sqref="A2:XFD2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s="183" customFormat="1" x14ac:dyDescent="0.2">
      <c r="A2" s="184" t="s">
        <v>104</v>
      </c>
      <c r="B2" s="184"/>
      <c r="C2" s="184"/>
      <c r="D2" s="184"/>
      <c r="E2" s="184"/>
      <c r="F2" s="184"/>
      <c r="G2" s="185"/>
      <c r="H2" s="185"/>
      <c r="I2" s="185"/>
      <c r="J2" s="185"/>
      <c r="K2" s="185"/>
      <c r="L2" s="185"/>
      <c r="M2" s="185"/>
    </row>
    <row r="3" spans="1:13" ht="19.5" customHeight="1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54" t="s">
        <v>53</v>
      </c>
      <c r="B24" s="32" t="s">
        <v>54</v>
      </c>
      <c r="C24" s="32" t="s">
        <v>55</v>
      </c>
      <c r="D24" s="33" t="s">
        <v>56</v>
      </c>
      <c r="E24" s="6"/>
    </row>
    <row r="25" spans="1:6" ht="15.75" customHeight="1" x14ac:dyDescent="0.2">
      <c r="A25" s="17" t="s">
        <v>96</v>
      </c>
      <c r="B25" s="153">
        <v>1219.8</v>
      </c>
      <c r="C25" s="153">
        <v>2578.3000000000002</v>
      </c>
      <c r="D25" s="153">
        <v>-1358.5</v>
      </c>
      <c r="E25" s="6"/>
    </row>
    <row r="26" spans="1:6" ht="15" customHeight="1" x14ac:dyDescent="0.2">
      <c r="A26" s="18" t="s">
        <v>95</v>
      </c>
      <c r="B26" s="153">
        <v>1533.6</v>
      </c>
      <c r="C26" s="153">
        <v>3222.9</v>
      </c>
      <c r="D26" s="153">
        <v>-1689.3</v>
      </c>
      <c r="E26" s="6"/>
    </row>
    <row r="27" spans="1:6" ht="14.25" customHeight="1" x14ac:dyDescent="0.2">
      <c r="A27" s="18" t="s">
        <v>94</v>
      </c>
      <c r="B27" s="153">
        <v>1581.4</v>
      </c>
      <c r="C27" s="153">
        <v>3307.4</v>
      </c>
      <c r="D27" s="153">
        <v>-1726</v>
      </c>
      <c r="E27" s="6"/>
    </row>
    <row r="28" spans="1:6" ht="14.25" customHeight="1" x14ac:dyDescent="0.2">
      <c r="A28" s="18" t="s">
        <v>93</v>
      </c>
      <c r="B28" s="153">
        <v>1361.3</v>
      </c>
      <c r="C28" s="153">
        <v>2890.3</v>
      </c>
      <c r="D28" s="153">
        <v>-1529</v>
      </c>
      <c r="E28" s="6"/>
    </row>
    <row r="29" spans="1:6" ht="13.5" customHeight="1" x14ac:dyDescent="0.2">
      <c r="A29" s="18" t="s">
        <v>92</v>
      </c>
      <c r="B29" s="153">
        <v>1572.2</v>
      </c>
      <c r="C29" s="153">
        <v>3828.1</v>
      </c>
      <c r="D29" s="153">
        <v>-2255.9</v>
      </c>
      <c r="E29" s="6"/>
    </row>
    <row r="30" spans="1:6" ht="13.5" customHeight="1" x14ac:dyDescent="0.2">
      <c r="A30" s="18" t="s">
        <v>91</v>
      </c>
      <c r="B30" s="153">
        <v>2629.7</v>
      </c>
      <c r="C30" s="153">
        <v>5111.8</v>
      </c>
      <c r="D30" s="153">
        <v>-2482.1</v>
      </c>
      <c r="E30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J29"/>
  <sheetViews>
    <sheetView workbookViewId="0">
      <selection activeCell="A2" sqref="A2:XFD2"/>
    </sheetView>
  </sheetViews>
  <sheetFormatPr defaultRowHeight="12" x14ac:dyDescent="0.2"/>
  <cols>
    <col min="1" max="1" width="17.85546875" style="3" customWidth="1"/>
    <col min="2" max="2" width="5.42578125" style="3" customWidth="1"/>
    <col min="3" max="3" width="5.140625" style="3" customWidth="1"/>
    <col min="4" max="6" width="5.28515625" style="3" customWidth="1"/>
    <col min="7" max="7" width="5.140625" style="3" customWidth="1"/>
    <col min="8" max="8" width="6" style="3" customWidth="1"/>
    <col min="9" max="9" width="4.7109375" style="3" customWidth="1"/>
    <col min="10" max="10" width="5.42578125" style="3" customWidth="1"/>
    <col min="11" max="11" width="5.85546875" style="3" customWidth="1"/>
    <col min="12" max="12" width="5.5703125" style="3" customWidth="1"/>
    <col min="13" max="13" width="5.85546875" style="3" customWidth="1"/>
    <col min="14" max="14" width="5" style="3" customWidth="1"/>
    <col min="15" max="15" width="5.85546875" style="3" customWidth="1"/>
    <col min="16" max="16" width="5.7109375" style="3" customWidth="1"/>
    <col min="17" max="17" width="5.85546875" style="3" customWidth="1"/>
    <col min="18" max="18" width="6.140625" style="3" customWidth="1"/>
    <col min="19" max="20" width="5.5703125" style="3" customWidth="1"/>
    <col min="21" max="21" width="5.42578125" style="3" customWidth="1"/>
    <col min="22" max="22" width="5.7109375" style="3" customWidth="1"/>
    <col min="23" max="23" width="5.5703125" style="3" customWidth="1"/>
    <col min="24" max="25" width="6.140625" style="3" customWidth="1"/>
    <col min="26" max="28" width="6" style="3" customWidth="1"/>
    <col min="29" max="29" width="5.85546875" style="3" customWidth="1"/>
    <col min="30" max="30" width="6.42578125" style="3" customWidth="1"/>
    <col min="31" max="31" width="5.85546875" style="3" customWidth="1"/>
    <col min="32" max="32" width="6.42578125" style="3" customWidth="1"/>
    <col min="33" max="33" width="6" style="3" customWidth="1"/>
    <col min="34" max="34" width="5.85546875" style="3" customWidth="1"/>
    <col min="35" max="35" width="6.28515625" style="3" customWidth="1"/>
    <col min="36" max="36" width="6.140625" style="3" customWidth="1"/>
    <col min="37" max="37" width="7.42578125" style="3" customWidth="1"/>
    <col min="38" max="38" width="6.85546875" style="3" customWidth="1"/>
    <col min="39" max="39" width="7.140625" style="3" customWidth="1"/>
    <col min="40" max="40" width="7.28515625" style="3" customWidth="1"/>
    <col min="41" max="41" width="7.85546875" style="3" customWidth="1"/>
    <col min="42" max="42" width="7" style="3" customWidth="1"/>
    <col min="43" max="43" width="6.85546875" style="3" customWidth="1"/>
    <col min="44" max="16384" width="9.140625" style="3"/>
  </cols>
  <sheetData>
    <row r="2" spans="1:25" s="183" customFormat="1" ht="15.75" customHeight="1" x14ac:dyDescent="0.2">
      <c r="A2" s="186" t="s">
        <v>116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ht="14.25" customHeight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5" ht="14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25" ht="1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25" ht="16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25" ht="15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25" ht="14.25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25" ht="13.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25" ht="17.2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25" ht="17.25" customHeight="1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25" ht="16.5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25" ht="1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25" ht="1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25" ht="15.75" customHeigh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25" ht="22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6" x14ac:dyDescent="0.2">
      <c r="A18" s="5"/>
    </row>
    <row r="19" spans="1:36" x14ac:dyDescent="0.2">
      <c r="A19" s="5"/>
      <c r="AG19" s="6"/>
    </row>
    <row r="20" spans="1:36" x14ac:dyDescent="0.2">
      <c r="A20" s="5"/>
      <c r="AG20" s="6"/>
    </row>
    <row r="21" spans="1:36" ht="19.5" customHeight="1" x14ac:dyDescent="0.2">
      <c r="A21" s="5"/>
      <c r="AG21" s="6"/>
    </row>
    <row r="22" spans="1:36" ht="15" customHeight="1" x14ac:dyDescent="0.2">
      <c r="A22" s="173"/>
      <c r="B22" s="175">
        <v>2020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6">
        <v>2021</v>
      </c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8"/>
      <c r="Z22" s="176">
        <v>2022</v>
      </c>
      <c r="AA22" s="177"/>
      <c r="AB22" s="177"/>
      <c r="AC22" s="177"/>
      <c r="AD22" s="177"/>
      <c r="AE22" s="177"/>
      <c r="AF22" s="178"/>
    </row>
    <row r="23" spans="1:36" x14ac:dyDescent="0.2">
      <c r="A23" s="174"/>
      <c r="B23" s="30" t="s">
        <v>13</v>
      </c>
      <c r="C23" s="30" t="s">
        <v>14</v>
      </c>
      <c r="D23" s="30" t="s">
        <v>15</v>
      </c>
      <c r="E23" s="30" t="s">
        <v>16</v>
      </c>
      <c r="F23" s="30" t="s">
        <v>17</v>
      </c>
      <c r="G23" s="30" t="s">
        <v>22</v>
      </c>
      <c r="H23" s="30" t="s">
        <v>18</v>
      </c>
      <c r="I23" s="30" t="s">
        <v>23</v>
      </c>
      <c r="J23" s="30" t="s">
        <v>19</v>
      </c>
      <c r="K23" s="30" t="s">
        <v>24</v>
      </c>
      <c r="L23" s="30" t="s">
        <v>20</v>
      </c>
      <c r="M23" s="30" t="s">
        <v>21</v>
      </c>
      <c r="N23" s="30" t="s">
        <v>13</v>
      </c>
      <c r="O23" s="100" t="s">
        <v>14</v>
      </c>
      <c r="P23" s="30" t="s">
        <v>15</v>
      </c>
      <c r="Q23" s="30" t="s">
        <v>16</v>
      </c>
      <c r="R23" s="30" t="s">
        <v>17</v>
      </c>
      <c r="S23" s="30" t="s">
        <v>22</v>
      </c>
      <c r="T23" s="30" t="s">
        <v>18</v>
      </c>
      <c r="U23" s="30" t="s">
        <v>23</v>
      </c>
      <c r="V23" s="84" t="s">
        <v>19</v>
      </c>
      <c r="W23" s="39" t="s">
        <v>24</v>
      </c>
      <c r="X23" s="39" t="s">
        <v>20</v>
      </c>
      <c r="Y23" s="39" t="s">
        <v>21</v>
      </c>
      <c r="Z23" s="90" t="s">
        <v>13</v>
      </c>
      <c r="AA23" s="90" t="s">
        <v>14</v>
      </c>
      <c r="AB23" s="91" t="s">
        <v>15</v>
      </c>
      <c r="AC23" s="60" t="s">
        <v>16</v>
      </c>
      <c r="AD23" s="59" t="s">
        <v>17</v>
      </c>
      <c r="AE23" s="106" t="s">
        <v>22</v>
      </c>
      <c r="AF23" s="106" t="s">
        <v>18</v>
      </c>
    </row>
    <row r="24" spans="1:36" ht="28.5" customHeight="1" x14ac:dyDescent="0.2">
      <c r="A24" s="29" t="s">
        <v>57</v>
      </c>
      <c r="B24" s="21">
        <v>100.54069338788538</v>
      </c>
      <c r="C24" s="21">
        <v>111.77933359663091</v>
      </c>
      <c r="D24" s="21">
        <v>85.694935103741471</v>
      </c>
      <c r="E24" s="21">
        <v>71.283537880135214</v>
      </c>
      <c r="F24" s="21">
        <v>103.90424682350312</v>
      </c>
      <c r="G24" s="21">
        <v>121.75061963317823</v>
      </c>
      <c r="H24" s="21">
        <v>100.8184202333199</v>
      </c>
      <c r="I24" s="21">
        <v>78.376764810035453</v>
      </c>
      <c r="J24" s="21">
        <v>129.49769232961904</v>
      </c>
      <c r="K24" s="21">
        <v>117.47585360993436</v>
      </c>
      <c r="L24" s="21">
        <v>105.08585699580438</v>
      </c>
      <c r="M24" s="15">
        <v>83.287463510424814</v>
      </c>
      <c r="N24" s="21">
        <v>90.925213233797848</v>
      </c>
      <c r="O24" s="99">
        <v>114.41147354263464</v>
      </c>
      <c r="P24" s="99">
        <v>114.20579997969134</v>
      </c>
      <c r="Q24" s="99">
        <v>84.167356355788357</v>
      </c>
      <c r="R24" s="99">
        <v>92.421884276527052</v>
      </c>
      <c r="S24" s="99">
        <v>112.45124175218632</v>
      </c>
      <c r="T24" s="99">
        <v>106.13290668113962</v>
      </c>
      <c r="U24" s="99">
        <v>98.163759117159898</v>
      </c>
      <c r="V24" s="22">
        <v>124.79747973247373</v>
      </c>
      <c r="W24" s="22">
        <v>119.44752327758337</v>
      </c>
      <c r="X24" s="99">
        <v>103.29810746017232</v>
      </c>
      <c r="Y24" s="101">
        <v>89.310814590947814</v>
      </c>
      <c r="Z24" s="99">
        <v>101.65548055101389</v>
      </c>
      <c r="AA24" s="99">
        <v>101.84864374682041</v>
      </c>
      <c r="AB24" s="99">
        <v>117.60123789264428</v>
      </c>
      <c r="AC24" s="21">
        <v>100.1282722557787</v>
      </c>
      <c r="AD24" s="20">
        <v>104.98638136927103</v>
      </c>
      <c r="AE24" s="138">
        <v>100.09588370255183</v>
      </c>
      <c r="AF24" s="107">
        <v>81.226926265770544</v>
      </c>
    </row>
    <row r="25" spans="1:36" ht="40.5" customHeight="1" x14ac:dyDescent="0.2">
      <c r="A25" s="28" t="s">
        <v>58</v>
      </c>
      <c r="B25" s="14">
        <f>IF(234254.08835="","-",219472.10441/234254.08835*100)</f>
        <v>93.68976480021378</v>
      </c>
      <c r="C25" s="14">
        <f>IF(241409.84081="","-",245324.45574/241409.84081*100)</f>
        <v>101.62156394157972</v>
      </c>
      <c r="D25" s="14">
        <f>IF(257232.04683="","-",210230.63314/257232.04683*100)</f>
        <v>81.728010071364707</v>
      </c>
      <c r="E25" s="14">
        <f>IF(215570.89403="","-",149859.83301/215570.89403*100)</f>
        <v>69.517656214361068</v>
      </c>
      <c r="F25" s="14">
        <f>IF(210534.26912="","-",155710.73078/210534.26912*100)</f>
        <v>73.959803043393492</v>
      </c>
      <c r="G25" s="14">
        <f>IF(202212.33865="","-",189578.77956/202212.33865*100)</f>
        <v>93.752330261178145</v>
      </c>
      <c r="H25" s="14">
        <f>IF(220166.65021="","-",191130.33065/220166.65021*100)</f>
        <v>86.811663105059509</v>
      </c>
      <c r="I25" s="14">
        <f>IF(205803.2912="","-",163909.5874/205803.2912*100)</f>
        <v>79.643812518387932</v>
      </c>
      <c r="J25" s="14">
        <f>IF(238794.12546="","-",212259.13319/238794.12546*100)</f>
        <v>88.887920831852767</v>
      </c>
      <c r="K25" s="14">
        <f>IF(268342.58823="","-",249353.22858/268342.58823*100)</f>
        <v>92.923464078044901</v>
      </c>
      <c r="L25" s="14">
        <f>IF(266552.51729="","-",262034.9772/266552.51729*100)</f>
        <v>98.30519698859753</v>
      </c>
      <c r="M25" s="16">
        <f>IF(218291.815="","-",218242.28602/218291.815*100)</f>
        <v>99.977310656379856</v>
      </c>
      <c r="N25" s="26">
        <f>IF(219472.10441="","-",198437.26393/219472.10441*100)</f>
        <v>90.415711128050958</v>
      </c>
      <c r="O25" s="14">
        <f>IF(245324.45574="","-",227034.99772/245324.45574*100)</f>
        <v>92.544788099159774</v>
      </c>
      <c r="P25" s="14">
        <f>IF(210230.63314="","-",259287.13538/210230.63314*100)</f>
        <v>123.33461185332185</v>
      </c>
      <c r="Q25" s="14">
        <f>IF(149859.83301="","-",218235.12722/149859.83301*100)</f>
        <v>145.62616468779689</v>
      </c>
      <c r="R25" s="14">
        <f>IF(155710.73078="","-",201697.01673/155710.73078*100)</f>
        <v>129.53315145310887</v>
      </c>
      <c r="S25" s="14">
        <f>IF(189578.77956="","-",226810.79989/189578.77956*100)</f>
        <v>119.63933960141166</v>
      </c>
      <c r="T25" s="14">
        <f>IF(191130.33065="","-",240720.89459/191130.33065*100)</f>
        <v>125.94594158412818</v>
      </c>
      <c r="U25" s="14">
        <f>IF(163909.5874="","-",236300.67911/163909.5874*100)</f>
        <v>144.1652577242715</v>
      </c>
      <c r="V25" s="14">
        <f>IF(212259.13319="","-",294897.29212/212259.13319*100)</f>
        <v>138.93267521074247</v>
      </c>
      <c r="W25" s="14">
        <f>IF(249353.22858="","-",352247.51165/249353.22858*100)</f>
        <v>141.26446794210585</v>
      </c>
      <c r="X25" s="14">
        <f>IF(262034.9772="","-",363865.01311/262034.9772*100)</f>
        <v>138.86123791492062</v>
      </c>
      <c r="Y25" s="16">
        <f>IF(218242.28602="","-",324970.80722/218242.28602*100)</f>
        <v>148.90368550768355</v>
      </c>
      <c r="Z25" s="14">
        <f>IF(198437.26393="","-",330345.74715/198437.26393*100)</f>
        <v>166.47364542706634</v>
      </c>
      <c r="AA25" s="134">
        <f>IF(227034.99772="","-",336464.33268/227034.99772*100)</f>
        <v>148.19932435921535</v>
      </c>
      <c r="AB25" s="14">
        <f>IF(259287.13538="","-",395828.66648/259287.13538*100)</f>
        <v>152.66035698218914</v>
      </c>
      <c r="AC25" s="14">
        <f>IF(218235.12722="","-",396336.40522/218235.12722*100)</f>
        <v>181.60981243888315</v>
      </c>
      <c r="AD25" s="14">
        <f>IF(201697.01673="","-",416099.25011/201697.01673*100)</f>
        <v>206.29915943030915</v>
      </c>
      <c r="AE25" s="134">
        <f>IF(226810.79989="","-",416433.40668/226810.79989*100)</f>
        <v>183.60387022221354</v>
      </c>
      <c r="AF25" s="108">
        <f>IF(240720.89459="","-",338256.05619/240720.89459*100)</f>
        <v>140.517945800311</v>
      </c>
    </row>
    <row r="28" spans="1:36" ht="15.75" x14ac:dyDescent="0.2">
      <c r="AD28" s="66"/>
      <c r="AE28" s="67"/>
      <c r="AF28" s="67"/>
      <c r="AG28" s="68"/>
      <c r="AH28" s="69"/>
      <c r="AI28" s="70"/>
      <c r="AJ28" s="71"/>
    </row>
    <row r="29" spans="1:36" ht="15.75" x14ac:dyDescent="0.2">
      <c r="AD29" s="72"/>
      <c r="AE29" s="72"/>
      <c r="AF29" s="73"/>
      <c r="AG29" s="74"/>
      <c r="AH29" s="75"/>
      <c r="AI29" s="76"/>
      <c r="AJ29" s="76"/>
    </row>
  </sheetData>
  <mergeCells count="5">
    <mergeCell ref="A22:A23"/>
    <mergeCell ref="B22:M22"/>
    <mergeCell ref="N22:Y22"/>
    <mergeCell ref="Z22:AF22"/>
    <mergeCell ref="A2:Y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M28"/>
  <sheetViews>
    <sheetView workbookViewId="0">
      <selection activeCell="A2" sqref="A2:XFD2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6" width="14.7109375" style="3" customWidth="1"/>
    <col min="7" max="7" width="14.42578125" style="3" customWidth="1"/>
    <col min="8" max="8" width="14.85546875" style="3" customWidth="1"/>
    <col min="9" max="16384" width="9.140625" style="3"/>
  </cols>
  <sheetData>
    <row r="2" spans="1:13" s="183" customFormat="1" x14ac:dyDescent="0.2">
      <c r="A2" s="184" t="s">
        <v>115</v>
      </c>
      <c r="B2" s="184"/>
      <c r="C2" s="184"/>
      <c r="D2" s="184"/>
      <c r="E2" s="184"/>
      <c r="F2" s="184"/>
      <c r="G2" s="184"/>
      <c r="H2" s="185"/>
      <c r="I2" s="185"/>
      <c r="J2" s="185"/>
      <c r="K2" s="185"/>
      <c r="L2" s="185"/>
      <c r="M2" s="18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24" x14ac:dyDescent="0.2">
      <c r="A22" s="52" t="s">
        <v>25</v>
      </c>
      <c r="B22" s="36" t="s">
        <v>91</v>
      </c>
      <c r="C22" s="13" t="s">
        <v>92</v>
      </c>
      <c r="D22" s="13" t="s">
        <v>93</v>
      </c>
      <c r="E22" s="13" t="s">
        <v>94</v>
      </c>
      <c r="F22" s="13" t="s">
        <v>95</v>
      </c>
      <c r="G22" s="13" t="s">
        <v>96</v>
      </c>
      <c r="H22" s="6"/>
    </row>
    <row r="23" spans="1:8" x14ac:dyDescent="0.2">
      <c r="A23" s="139" t="s">
        <v>26</v>
      </c>
      <c r="B23" s="140">
        <v>15.9</v>
      </c>
      <c r="C23" s="122">
        <v>6.1</v>
      </c>
      <c r="D23" s="122">
        <v>8.6999999999999993</v>
      </c>
      <c r="E23" s="122">
        <v>7</v>
      </c>
      <c r="F23" s="122">
        <v>7.1</v>
      </c>
      <c r="G23" s="143">
        <v>7</v>
      </c>
    </row>
    <row r="24" spans="1:8" x14ac:dyDescent="0.2">
      <c r="A24" s="139" t="s">
        <v>27</v>
      </c>
      <c r="B24" s="141">
        <v>9.1</v>
      </c>
      <c r="C24" s="111">
        <v>1.3</v>
      </c>
      <c r="D24" s="111">
        <v>3.7</v>
      </c>
      <c r="E24" s="111">
        <v>4.4000000000000004</v>
      </c>
      <c r="F24" s="111">
        <v>3.2</v>
      </c>
      <c r="G24" s="144">
        <v>1.9</v>
      </c>
    </row>
    <row r="25" spans="1:8" x14ac:dyDescent="0.2">
      <c r="A25" s="139" t="s">
        <v>28</v>
      </c>
      <c r="B25" s="141">
        <v>74</v>
      </c>
      <c r="C25" s="111">
        <v>91.4</v>
      </c>
      <c r="D25" s="111">
        <v>86.4</v>
      </c>
      <c r="E25" s="111">
        <v>86.9</v>
      </c>
      <c r="F25" s="111">
        <v>87.4</v>
      </c>
      <c r="G25" s="144">
        <v>88.3</v>
      </c>
    </row>
    <row r="26" spans="1:8" x14ac:dyDescent="0.2">
      <c r="A26" s="139" t="s">
        <v>29</v>
      </c>
      <c r="B26" s="141">
        <v>0.8</v>
      </c>
      <c r="C26" s="111">
        <v>1.1000000000000001</v>
      </c>
      <c r="D26" s="111">
        <v>1.1000000000000001</v>
      </c>
      <c r="E26" s="111">
        <v>1.6</v>
      </c>
      <c r="F26" s="111">
        <v>2.2000000000000002</v>
      </c>
      <c r="G26" s="144">
        <v>2.8</v>
      </c>
    </row>
    <row r="27" spans="1:8" x14ac:dyDescent="0.2">
      <c r="A27" s="139" t="s">
        <v>45</v>
      </c>
      <c r="B27" s="141">
        <v>0</v>
      </c>
      <c r="C27" s="111">
        <v>0.1</v>
      </c>
      <c r="D27" s="111">
        <v>0.1</v>
      </c>
      <c r="E27" s="111">
        <v>0.1</v>
      </c>
      <c r="F27" s="111">
        <v>0.1</v>
      </c>
      <c r="G27" s="129">
        <v>0</v>
      </c>
      <c r="H27" s="6"/>
    </row>
    <row r="28" spans="1:8" x14ac:dyDescent="0.2">
      <c r="A28" s="45" t="s">
        <v>46</v>
      </c>
      <c r="B28" s="142">
        <v>0.2</v>
      </c>
      <c r="C28" s="114">
        <v>0</v>
      </c>
      <c r="D28" s="114">
        <v>0</v>
      </c>
      <c r="E28" s="114">
        <v>0</v>
      </c>
      <c r="F28" s="114">
        <v>0</v>
      </c>
      <c r="G28" s="145">
        <v>0</v>
      </c>
      <c r="H28" s="6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1"/>
  <sheetViews>
    <sheetView workbookViewId="0">
      <selection activeCell="A2" sqref="A2:XFD2"/>
    </sheetView>
  </sheetViews>
  <sheetFormatPr defaultRowHeight="12" x14ac:dyDescent="0.2"/>
  <cols>
    <col min="1" max="1" width="26.140625" style="3" customWidth="1"/>
    <col min="2" max="3" width="15.28515625" style="3" customWidth="1"/>
    <col min="4" max="4" width="15.140625" style="3" customWidth="1"/>
    <col min="5" max="5" width="14.85546875" style="3" customWidth="1"/>
    <col min="6" max="6" width="15.28515625" style="3" customWidth="1"/>
    <col min="7" max="7" width="15.140625" style="3" customWidth="1"/>
    <col min="8" max="16384" width="9.140625" style="3"/>
  </cols>
  <sheetData>
    <row r="2" spans="1:13" s="183" customFormat="1" x14ac:dyDescent="0.2">
      <c r="A2" s="190" t="s">
        <v>114</v>
      </c>
      <c r="B2" s="190"/>
      <c r="C2" s="190"/>
      <c r="D2" s="190"/>
      <c r="E2" s="190"/>
      <c r="F2" s="190"/>
      <c r="G2" s="190"/>
      <c r="H2" s="185"/>
      <c r="I2" s="185"/>
      <c r="J2" s="185"/>
      <c r="K2" s="185"/>
      <c r="L2" s="185"/>
      <c r="M2" s="18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31"/>
      <c r="B20" s="12" t="s">
        <v>96</v>
      </c>
      <c r="C20" s="12" t="s">
        <v>95</v>
      </c>
      <c r="D20" s="12" t="s">
        <v>94</v>
      </c>
      <c r="E20" s="13" t="s">
        <v>93</v>
      </c>
      <c r="F20" s="13" t="s">
        <v>92</v>
      </c>
      <c r="G20" s="13" t="s">
        <v>91</v>
      </c>
      <c r="H20" s="6"/>
    </row>
    <row r="21" spans="1:8" ht="15" customHeight="1" x14ac:dyDescent="0.2">
      <c r="A21" s="23" t="s">
        <v>30</v>
      </c>
      <c r="B21" s="109">
        <v>57.7</v>
      </c>
      <c r="C21" s="110">
        <v>65.400000000000006</v>
      </c>
      <c r="D21" s="115">
        <v>63.3</v>
      </c>
      <c r="E21" s="124">
        <v>64.3</v>
      </c>
      <c r="F21" s="124">
        <v>64.2</v>
      </c>
      <c r="G21" s="125">
        <v>60.3</v>
      </c>
      <c r="H21" s="7"/>
    </row>
    <row r="22" spans="1:8" ht="14.25" customHeight="1" x14ac:dyDescent="0.2">
      <c r="A22" s="24" t="s">
        <v>31</v>
      </c>
      <c r="B22" s="141">
        <v>20.9</v>
      </c>
      <c r="C22" s="111">
        <v>16</v>
      </c>
      <c r="D22" s="128">
        <v>14.7</v>
      </c>
      <c r="E22" s="128">
        <v>16.2</v>
      </c>
      <c r="F22" s="128">
        <v>15.5</v>
      </c>
      <c r="G22" s="129">
        <v>19.7</v>
      </c>
      <c r="H22" s="7"/>
    </row>
    <row r="23" spans="1:8" ht="15" customHeight="1" x14ac:dyDescent="0.2">
      <c r="A23" s="25" t="s">
        <v>32</v>
      </c>
      <c r="B23" s="112">
        <v>21.4</v>
      </c>
      <c r="C23" s="113">
        <v>18.600000000000001</v>
      </c>
      <c r="D23" s="132">
        <v>22</v>
      </c>
      <c r="E23" s="131">
        <v>19.5</v>
      </c>
      <c r="F23" s="131">
        <v>20.3</v>
      </c>
      <c r="G23" s="133">
        <v>20</v>
      </c>
      <c r="H23" s="7"/>
    </row>
    <row r="29" spans="1:8" ht="15.75" x14ac:dyDescent="0.2">
      <c r="B29" s="95"/>
      <c r="C29" s="95"/>
      <c r="D29" s="95"/>
      <c r="E29" s="96"/>
      <c r="F29" s="95"/>
      <c r="G29" s="95"/>
    </row>
    <row r="30" spans="1:8" ht="15.75" x14ac:dyDescent="0.2">
      <c r="B30" s="95"/>
      <c r="C30" s="95"/>
      <c r="D30" s="95"/>
      <c r="E30" s="96"/>
      <c r="F30" s="95"/>
      <c r="G30" s="95"/>
    </row>
    <row r="31" spans="1:8" ht="15.75" x14ac:dyDescent="0.2">
      <c r="B31" s="95"/>
      <c r="C31" s="95"/>
      <c r="D31" s="95"/>
      <c r="E31" s="96"/>
      <c r="F31" s="95"/>
      <c r="G31" s="95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K44"/>
  <sheetViews>
    <sheetView workbookViewId="0">
      <selection activeCell="A2" sqref="A2:XFD2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" style="3" customWidth="1"/>
    <col min="4" max="4" width="15.42578125" style="3" customWidth="1"/>
    <col min="5" max="5" width="14.85546875" style="3" customWidth="1"/>
    <col min="6" max="6" width="15.140625" style="3" customWidth="1"/>
    <col min="7" max="7" width="14.85546875" style="3" customWidth="1"/>
    <col min="8" max="16384" width="9.140625" style="3"/>
  </cols>
  <sheetData>
    <row r="2" spans="1:10" s="183" customFormat="1" x14ac:dyDescent="0.2">
      <c r="A2" s="184" t="s">
        <v>113</v>
      </c>
      <c r="B2" s="184"/>
      <c r="C2" s="184"/>
      <c r="D2" s="184"/>
      <c r="E2" s="184"/>
      <c r="F2" s="184"/>
      <c r="G2" s="184"/>
      <c r="H2" s="189"/>
      <c r="I2" s="185"/>
      <c r="J2" s="185"/>
    </row>
    <row r="3" spans="1:10" x14ac:dyDescent="0.2">
      <c r="A3" s="4"/>
      <c r="B3" s="4"/>
      <c r="C3" s="4"/>
      <c r="D3" s="4"/>
      <c r="E3" s="4"/>
      <c r="F3" s="4"/>
      <c r="G3" s="4"/>
      <c r="H3" s="4"/>
    </row>
    <row r="4" spans="1:10" x14ac:dyDescent="0.2">
      <c r="A4" s="4"/>
      <c r="B4" s="4"/>
      <c r="C4" s="4"/>
      <c r="D4" s="4"/>
      <c r="E4" s="4"/>
      <c r="F4" s="4"/>
      <c r="G4" s="4"/>
      <c r="H4" s="4"/>
    </row>
    <row r="5" spans="1:10" x14ac:dyDescent="0.2">
      <c r="A5" s="4"/>
      <c r="B5" s="4"/>
      <c r="C5" s="4"/>
      <c r="D5" s="4"/>
      <c r="E5" s="4"/>
      <c r="F5" s="4"/>
      <c r="G5" s="4"/>
      <c r="H5" s="4"/>
    </row>
    <row r="6" spans="1:10" x14ac:dyDescent="0.2">
      <c r="A6" s="4"/>
      <c r="B6" s="4"/>
      <c r="C6" s="4"/>
      <c r="D6" s="4"/>
      <c r="E6" s="4"/>
      <c r="F6" s="4"/>
      <c r="G6" s="4"/>
      <c r="H6" s="4"/>
    </row>
    <row r="7" spans="1:10" x14ac:dyDescent="0.2">
      <c r="A7" s="4"/>
      <c r="B7" s="4"/>
      <c r="C7" s="4"/>
      <c r="D7" s="4"/>
      <c r="E7" s="4"/>
      <c r="F7" s="4"/>
      <c r="G7" s="4"/>
      <c r="H7" s="4"/>
    </row>
    <row r="8" spans="1:10" x14ac:dyDescent="0.2">
      <c r="A8" s="4"/>
      <c r="B8" s="4"/>
      <c r="C8" s="4"/>
      <c r="D8" s="4"/>
      <c r="E8" s="4"/>
      <c r="F8" s="4"/>
      <c r="G8" s="4"/>
      <c r="H8" s="4"/>
    </row>
    <row r="9" spans="1:10" x14ac:dyDescent="0.2">
      <c r="A9" s="4"/>
      <c r="B9" s="4"/>
      <c r="C9" s="4"/>
      <c r="D9" s="4"/>
      <c r="E9" s="4"/>
      <c r="F9" s="4"/>
      <c r="G9" s="4"/>
      <c r="H9" s="4"/>
    </row>
    <row r="10" spans="1:10" x14ac:dyDescent="0.2">
      <c r="A10" s="4"/>
      <c r="B10" s="4"/>
      <c r="C10" s="4"/>
      <c r="D10" s="4"/>
      <c r="E10" s="4"/>
      <c r="F10" s="4"/>
      <c r="G10" s="4"/>
      <c r="H10" s="4"/>
    </row>
    <row r="11" spans="1:10" x14ac:dyDescent="0.2">
      <c r="A11" s="4"/>
      <c r="B11" s="4"/>
      <c r="C11" s="4"/>
      <c r="D11" s="4"/>
      <c r="E11" s="4"/>
      <c r="F11" s="4"/>
      <c r="G11" s="4"/>
      <c r="H11" s="4"/>
    </row>
    <row r="12" spans="1:10" x14ac:dyDescent="0.2">
      <c r="A12" s="4"/>
      <c r="B12" s="4"/>
      <c r="C12" s="4"/>
      <c r="D12" s="4"/>
      <c r="E12" s="4"/>
      <c r="F12" s="4"/>
      <c r="G12" s="4"/>
      <c r="H12" s="4"/>
    </row>
    <row r="13" spans="1:10" x14ac:dyDescent="0.2">
      <c r="A13" s="4"/>
      <c r="B13" s="4"/>
      <c r="C13" s="4"/>
      <c r="D13" s="4"/>
      <c r="E13" s="4"/>
      <c r="F13" s="4"/>
      <c r="G13" s="4"/>
      <c r="H13" s="4"/>
    </row>
    <row r="14" spans="1:10" x14ac:dyDescent="0.2">
      <c r="A14" s="4"/>
      <c r="B14" s="4"/>
      <c r="C14" s="4"/>
      <c r="D14" s="4"/>
      <c r="E14" s="4"/>
      <c r="F14" s="4"/>
      <c r="G14" s="4"/>
      <c r="H14" s="4"/>
    </row>
    <row r="15" spans="1:10" x14ac:dyDescent="0.2">
      <c r="A15" s="4"/>
      <c r="B15" s="4"/>
      <c r="C15" s="4"/>
      <c r="D15" s="4"/>
      <c r="E15" s="4"/>
      <c r="F15" s="4"/>
      <c r="G15" s="4"/>
      <c r="H15" s="4"/>
    </row>
    <row r="16" spans="1:10" x14ac:dyDescent="0.2">
      <c r="A16" s="4"/>
      <c r="B16" s="4"/>
      <c r="C16" s="4"/>
      <c r="D16" s="4"/>
      <c r="E16" s="4"/>
      <c r="F16" s="4"/>
      <c r="G16" s="4"/>
      <c r="H16" s="4"/>
    </row>
    <row r="17" spans="1:11" x14ac:dyDescent="0.2">
      <c r="A17" s="4"/>
      <c r="B17" s="4"/>
      <c r="C17" s="4"/>
      <c r="D17" s="4"/>
      <c r="E17" s="4"/>
      <c r="F17" s="4"/>
      <c r="G17" s="4"/>
      <c r="H17" s="4"/>
    </row>
    <row r="18" spans="1:11" x14ac:dyDescent="0.2">
      <c r="A18" s="4"/>
      <c r="B18" s="4"/>
      <c r="C18" s="4"/>
      <c r="D18" s="4"/>
      <c r="E18" s="4"/>
      <c r="F18" s="4"/>
      <c r="G18" s="4"/>
      <c r="H18" s="4"/>
    </row>
    <row r="19" spans="1:11" x14ac:dyDescent="0.2">
      <c r="A19" s="4"/>
      <c r="B19" s="4"/>
      <c r="C19" s="4"/>
      <c r="D19" s="4"/>
      <c r="E19" s="4"/>
      <c r="F19" s="4"/>
      <c r="G19" s="4"/>
      <c r="H19" s="4"/>
    </row>
    <row r="20" spans="1:11" x14ac:dyDescent="0.2">
      <c r="A20" s="4"/>
      <c r="B20" s="4"/>
      <c r="C20" s="4"/>
      <c r="D20" s="4"/>
      <c r="E20" s="4"/>
      <c r="F20" s="4"/>
      <c r="G20" s="4"/>
      <c r="H20" s="4"/>
      <c r="J20" s="6"/>
      <c r="K20" s="6"/>
    </row>
    <row r="21" spans="1:11" x14ac:dyDescent="0.2">
      <c r="A21" s="5"/>
      <c r="J21" s="6"/>
      <c r="K21" s="6"/>
    </row>
    <row r="22" spans="1:11" ht="14.25" customHeight="1" x14ac:dyDescent="0.2">
      <c r="A22" s="5"/>
      <c r="J22" s="6"/>
      <c r="K22" s="6"/>
    </row>
    <row r="23" spans="1:11" ht="23.25" customHeight="1" x14ac:dyDescent="0.2">
      <c r="A23" s="85"/>
      <c r="B23" s="13" t="s">
        <v>96</v>
      </c>
      <c r="C23" s="13" t="s">
        <v>95</v>
      </c>
      <c r="D23" s="13" t="s">
        <v>94</v>
      </c>
      <c r="E23" s="13" t="s">
        <v>93</v>
      </c>
      <c r="F23" s="13" t="s">
        <v>92</v>
      </c>
      <c r="G23" s="13" t="s">
        <v>91</v>
      </c>
      <c r="J23" s="94"/>
      <c r="K23" s="6"/>
    </row>
    <row r="24" spans="1:11" x14ac:dyDescent="0.2">
      <c r="A24" s="154" t="s">
        <v>33</v>
      </c>
      <c r="B24" s="116">
        <f>IF(OR(299983.93806="",299983.93806="***"),"-",299983.93806/1219791.03674*100)</f>
        <v>24.593059714697837</v>
      </c>
      <c r="C24" s="116">
        <f>IF(412124.37951="","-",412124.37951/1533630.30697*100)</f>
        <v>26.872472305547735</v>
      </c>
      <c r="D24" s="116">
        <f>IF(448157.66799="","-",448157.66799/1581380.128*100)</f>
        <v>28.339654713936053</v>
      </c>
      <c r="E24" s="116">
        <f>IF(357021.51263="","-",357021.51263/1361306.86729*100)</f>
        <v>26.226380047632823</v>
      </c>
      <c r="F24" s="116">
        <f>IF(438720.7544="","-",438720.7544/1572223.23546*100)</f>
        <v>27.904482296474857</v>
      </c>
      <c r="G24" s="117">
        <f>IF(749322.60428="","-",749322.60428/2629714.41023*100)</f>
        <v>28.494447966099205</v>
      </c>
      <c r="J24" s="94"/>
      <c r="K24" s="6"/>
    </row>
    <row r="25" spans="1:11" x14ac:dyDescent="0.2">
      <c r="A25" s="155" t="s">
        <v>38</v>
      </c>
      <c r="B25" s="118">
        <f>IF(OR(35252.44681="",35252.44681="***"),"-",35252.44681/1219791.03674*100)</f>
        <v>2.890039830446312</v>
      </c>
      <c r="C25" s="118">
        <f>IF(47136.75271="","-",47136.75271/1533630.30697*100)</f>
        <v>3.0735407676657283</v>
      </c>
      <c r="D25" s="118">
        <f>IF(42146.47004="","-",42146.47004/1581380.128*100)</f>
        <v>2.6651700811052557</v>
      </c>
      <c r="E25" s="118">
        <f>IF(33715.30077="","-",33715.30077/1361306.86729*100)</f>
        <v>2.4766863063813234</v>
      </c>
      <c r="F25" s="118">
        <f>IF(43620.74939="","-",43620.74939/1572223.23546*100)</f>
        <v>2.7744628374759683</v>
      </c>
      <c r="G25" s="119">
        <f>IF(329235.51229="","-",329235.51229/2629714.41023*100)</f>
        <v>12.519820061418926</v>
      </c>
      <c r="J25" s="94"/>
      <c r="K25" s="6"/>
    </row>
    <row r="26" spans="1:11" x14ac:dyDescent="0.2">
      <c r="A26" s="155" t="s">
        <v>35</v>
      </c>
      <c r="B26" s="118">
        <f>IF(OR(54968.7025="",54968.7025="***"),"-",54968.7025/1219791.03674*100)</f>
        <v>4.5064032153334024</v>
      </c>
      <c r="C26" s="118">
        <f>IF(54692.91641="","-",54692.91641/1533630.30697*100)</f>
        <v>3.5662386274862437</v>
      </c>
      <c r="D26" s="118">
        <f>IF(125376.13988="","-",125376.13988/1581380.128*100)</f>
        <v>7.928273389812067</v>
      </c>
      <c r="E26" s="118">
        <f>IF(96790.0014="","-",96790.0014/1361306.86729*100)</f>
        <v>7.1100795658721054</v>
      </c>
      <c r="F26" s="118">
        <f>IF(135272.30965="","-",135272.30965/1572223.23546*100)</f>
        <v>8.6038869416926111</v>
      </c>
      <c r="G26" s="119">
        <f>IF(228178.90529="","-",228178.90529/2629714.41023*100)</f>
        <v>8.6769462266453115</v>
      </c>
      <c r="J26" s="94"/>
      <c r="K26" s="6"/>
    </row>
    <row r="27" spans="1:11" x14ac:dyDescent="0.2">
      <c r="A27" s="155" t="s">
        <v>36</v>
      </c>
      <c r="B27" s="118">
        <f>IF(OR(110747.51583="",110747.51583="***"),"-",110747.51583/1219791.03674*100)</f>
        <v>9.079220333179574</v>
      </c>
      <c r="C27" s="118">
        <f>IF(176924.98215="","-",176924.98215/1533630.30697*100)</f>
        <v>11.536351449623568</v>
      </c>
      <c r="D27" s="118">
        <f>IF(160649.39035="","-",160649.39035/1581380.128*100)</f>
        <v>10.15880922654417</v>
      </c>
      <c r="E27" s="118">
        <f>IF(124232.66174="","-",124232.66174/1361306.86729*100)</f>
        <v>9.1259850901446047</v>
      </c>
      <c r="F27" s="118">
        <f>IF(118873.60248="","-",118873.60248/1572223.23546*100)</f>
        <v>7.5608603027177645</v>
      </c>
      <c r="G27" s="119">
        <f>IF(216986.61941="","-",216986.61941/2629714.41023*100)</f>
        <v>8.2513378093791534</v>
      </c>
      <c r="J27" s="94"/>
      <c r="K27" s="6"/>
    </row>
    <row r="28" spans="1:11" x14ac:dyDescent="0.2">
      <c r="A28" s="155" t="s">
        <v>34</v>
      </c>
      <c r="B28" s="118">
        <f>IF(OR(81907.88465="",81907.88465="***"),"-",81907.88465/1219791.03674*100)</f>
        <v>6.7149111760081563</v>
      </c>
      <c r="C28" s="118">
        <f>IF(129436.56273="","-",129436.56273/1533630.30697*100)</f>
        <v>8.4398803376368043</v>
      </c>
      <c r="D28" s="118">
        <f>IF(140730.13259="","-",140730.13259/1581380.128*100)</f>
        <v>8.8991969797915651</v>
      </c>
      <c r="E28" s="118">
        <f>IF(121478.61347="","-",121478.61347/1361306.86729*100)</f>
        <v>8.9236759461760169</v>
      </c>
      <c r="F28" s="118">
        <f>IF(154977.80417="","-",154977.80417/1572223.23546*100)</f>
        <v>9.8572391422937269</v>
      </c>
      <c r="G28" s="119">
        <f>IF(143484.11319="","-",143484.11319/2629714.41023*100)</f>
        <v>5.456262194549506</v>
      </c>
      <c r="J28" s="94"/>
      <c r="K28" s="6"/>
    </row>
    <row r="29" spans="1:11" x14ac:dyDescent="0.2">
      <c r="A29" s="155" t="s">
        <v>60</v>
      </c>
      <c r="B29" s="118">
        <f>IF(OR(138309.15669="",138309.15669="***"),"-",138309.15669/1219791.03674*100)</f>
        <v>11.338758240070655</v>
      </c>
      <c r="C29" s="118">
        <f>IF(127189.84941="","-",127189.84941/1533630.30697*100)</f>
        <v>8.2933839290962847</v>
      </c>
      <c r="D29" s="118">
        <f>IF(131974.66668="","-",131974.66668/1581380.128*100)</f>
        <v>8.3455371888927647</v>
      </c>
      <c r="E29" s="118">
        <f>IF(137476.83742="","-",137476.83742/1361306.86729*100)</f>
        <v>10.098886645130927</v>
      </c>
      <c r="F29" s="118">
        <f>IF(149954.3786="","-",149954.3786/1572223.23546*100)</f>
        <v>9.5377281812099941</v>
      </c>
      <c r="G29" s="119">
        <f>IF(133773.31003="","-",133773.31003/2629714.41023*100)</f>
        <v>5.0869900362412324</v>
      </c>
      <c r="J29" s="94"/>
      <c r="K29" s="6"/>
    </row>
    <row r="30" spans="1:11" x14ac:dyDescent="0.2">
      <c r="A30" s="155" t="s">
        <v>42</v>
      </c>
      <c r="B30" s="118">
        <f>IF(OR(44852.39623="",44852.39623="***"),"-",44852.39623/1219791.03674*100)</f>
        <v>3.6770557316007189</v>
      </c>
      <c r="C30" s="118">
        <f>IF(32007.68056="","-",32007.68056/1533630.30697*100)</f>
        <v>2.0870532105770465</v>
      </c>
      <c r="D30" s="118">
        <f>IF(23236.45476="","-",23236.45476/1581380.128*100)</f>
        <v>1.4693781936786803</v>
      </c>
      <c r="E30" s="118">
        <f>IF(20948.8324="","-",20948.8324/1361306.86729*100)</f>
        <v>1.5388765680513723</v>
      </c>
      <c r="F30" s="118">
        <f>IF(21667.15476="","-",21667.15476/1572223.23546*100)</f>
        <v>1.3781220294496308</v>
      </c>
      <c r="G30" s="119">
        <f>IF(119553.79838="","-",119553.79838/2629714.41023*100)</f>
        <v>4.5462654771528435</v>
      </c>
      <c r="J30" s="94"/>
      <c r="K30" s="6"/>
    </row>
    <row r="31" spans="1:11" x14ac:dyDescent="0.2">
      <c r="A31" s="155" t="s">
        <v>37</v>
      </c>
      <c r="B31" s="118">
        <f>IF(OR(39443.51002="",39443.51002="***"),"-",39443.51002/1219791.03674*100)</f>
        <v>3.2336284520844067</v>
      </c>
      <c r="C31" s="118">
        <f>IF(52935.78027="","-",52935.78027/1533630.30697*100)</f>
        <v>3.451664982715779</v>
      </c>
      <c r="D31" s="118">
        <f>IF(60858.82551="","-",60858.82551/1581380.128*100)</f>
        <v>3.848462772007212</v>
      </c>
      <c r="E31" s="118">
        <f>IF(54035.21941="","-",54035.21941/1361306.86729*100)</f>
        <v>3.9693636099529672</v>
      </c>
      <c r="F31" s="118">
        <f>IF(60334.40485="","-",60334.40485/1572223.23546*100)</f>
        <v>3.8375215102547058</v>
      </c>
      <c r="G31" s="119">
        <f>IF(72902.93408="","-",72902.93408/2629714.41023*100)</f>
        <v>2.772275719233853</v>
      </c>
      <c r="J31" s="94"/>
      <c r="K31" s="6"/>
    </row>
    <row r="32" spans="1:11" x14ac:dyDescent="0.2">
      <c r="A32" s="155" t="s">
        <v>63</v>
      </c>
      <c r="B32" s="118">
        <f>IF(OR(17138.3246="",17138.3246="***"),"-",17138.3246/1219791.03674*100)</f>
        <v>1.4050213588881337</v>
      </c>
      <c r="C32" s="118">
        <f>IF(23914.83151="","-",23914.83151/1533630.30697*100)</f>
        <v>1.5593609099476284</v>
      </c>
      <c r="D32" s="118">
        <f>IF(29349.42273="","-",29349.42273/1581380.128*100)</f>
        <v>1.8559372418014852</v>
      </c>
      <c r="E32" s="118">
        <f>IF(46614.63328="","-",46614.63328/1361306.86729*100)</f>
        <v>3.4242560880337982</v>
      </c>
      <c r="F32" s="118">
        <f>IF(49898.47956="","-",49898.47956/1572223.23546*100)</f>
        <v>3.1737528383112044</v>
      </c>
      <c r="G32" s="119">
        <f>IF(57486.036="","-",57486.036/2629714.41023*100)</f>
        <v>2.1860182146156379</v>
      </c>
      <c r="J32" s="94"/>
      <c r="K32" s="6"/>
    </row>
    <row r="33" spans="1:11" x14ac:dyDescent="0.2">
      <c r="A33" s="155" t="s">
        <v>61</v>
      </c>
      <c r="B33" s="118">
        <f>IF(OR(14603.71641="",14603.71641="***"),"-",14603.71641/1219791.03674*100)</f>
        <v>1.1972309986003613</v>
      </c>
      <c r="C33" s="118">
        <f>IF(30133.14568="","-",30133.14568/1533630.30697*100)</f>
        <v>1.9648246088416306</v>
      </c>
      <c r="D33" s="118">
        <f>IF(44058.70382="","-",44058.70382/1581380.128*100)</f>
        <v>2.7860919104707507</v>
      </c>
      <c r="E33" s="118">
        <f>IF(41446.01293="","-",41446.01293/1361306.86729*100)</f>
        <v>3.0445753213974447</v>
      </c>
      <c r="F33" s="118">
        <f>IF(27163.47238="","-",27163.47238/1572223.23546*100)</f>
        <v>1.7277109107252526</v>
      </c>
      <c r="G33" s="119">
        <f>IF(56304.08484="","-",56304.08484/2629714.41023*100)</f>
        <v>2.1410722252183856</v>
      </c>
      <c r="J33" s="94"/>
      <c r="K33" s="6"/>
    </row>
    <row r="34" spans="1:11" x14ac:dyDescent="0.2">
      <c r="A34" s="155" t="s">
        <v>88</v>
      </c>
      <c r="B34" s="118">
        <f>IF(OR(0.9474="",0.9474="***"),"-",0.9474/1219791.03674*100)</f>
        <v>7.766904096393517E-5</v>
      </c>
      <c r="C34" s="118">
        <f>IF(188.42651="","-",188.42651/1533630.30697*100)</f>
        <v>1.2286305842004066E-2</v>
      </c>
      <c r="D34" s="118" t="str">
        <f>IF(""="","-",""/1581380.128*100)</f>
        <v>-</v>
      </c>
      <c r="E34" s="118">
        <f>IF(70.05237="","-",70.05237/1361306.86729*100)</f>
        <v>5.1459646376026619E-3</v>
      </c>
      <c r="F34" s="118">
        <f>IF(17.81651="","-",17.81651/1572223.23546*100)</f>
        <v>1.1332048527311872E-3</v>
      </c>
      <c r="G34" s="119">
        <f>IF(51848.50889="","-",51848.50889/2629714.41023*100)</f>
        <v>1.9716402925086158</v>
      </c>
      <c r="J34" s="94"/>
      <c r="K34" s="6"/>
    </row>
    <row r="35" spans="1:11" x14ac:dyDescent="0.2">
      <c r="A35" s="155" t="s">
        <v>85</v>
      </c>
      <c r="B35" s="118">
        <f>IF(OR(13008.34368="",13008.34368="***"),"-",13008.34368/1219791.03674*100)</f>
        <v>1.0664403400410252</v>
      </c>
      <c r="C35" s="118">
        <f>IF(22590.37999="","-",22590.37999/1533630.30697*100)</f>
        <v>1.4730003630817594</v>
      </c>
      <c r="D35" s="118">
        <f>IF(22139.29721="","-",22139.29721/1581380.128*100)</f>
        <v>1.3999984455350385</v>
      </c>
      <c r="E35" s="118">
        <f>IF(20499.17493="","-",20499.17493/1361306.86729*100)</f>
        <v>1.5058452596223515</v>
      </c>
      <c r="F35" s="118">
        <f>IF(21533.53654="","-",21533.53654/1572223.23546*100)</f>
        <v>1.369623349555684</v>
      </c>
      <c r="G35" s="119">
        <f>IF(48344.98831="","-",48344.98831/2629714.41023*100)</f>
        <v>1.8384121150924391</v>
      </c>
      <c r="J35" s="94"/>
      <c r="K35" s="6"/>
    </row>
    <row r="36" spans="1:11" x14ac:dyDescent="0.2">
      <c r="A36" s="155" t="s">
        <v>43</v>
      </c>
      <c r="B36" s="118">
        <f>IF(OR(74210.46552="",74210.46552="***"),"-",74210.46552/1219791.03674*100)</f>
        <v>6.0838670956571441</v>
      </c>
      <c r="C36" s="118">
        <f>IF(50561.85961="","-",50561.85961/1533630.30697*100)</f>
        <v>3.2968740497763953</v>
      </c>
      <c r="D36" s="118">
        <f>IF(32407.21088="","-",32407.21088/1581380.128*100)</f>
        <v>2.0492992359140105</v>
      </c>
      <c r="E36" s="118">
        <f>IF(22191.42751="","-",22191.42751/1361306.86729*100)</f>
        <v>1.6301561421031567</v>
      </c>
      <c r="F36" s="118">
        <f>IF(33195.47839="","-",33195.47839/1572223.23546*100)</f>
        <v>2.1113718231169436</v>
      </c>
      <c r="G36" s="119">
        <f>IF(42825.42462="","-",42825.42462/2629714.41023*100)</f>
        <v>1.6285199812345557</v>
      </c>
      <c r="J36" s="94"/>
      <c r="K36" s="6"/>
    </row>
    <row r="37" spans="1:11" x14ac:dyDescent="0.2">
      <c r="A37" s="155" t="s">
        <v>39</v>
      </c>
      <c r="B37" s="118">
        <f>IF(OR(65073.82961="",65073.82961="***"),"-",65073.82961/1219791.03674*100)</f>
        <v>5.3348342174997123</v>
      </c>
      <c r="C37" s="118">
        <f>IF(55676.73866="","-",55676.73866/1533630.30697*100)</f>
        <v>3.6303885236853968</v>
      </c>
      <c r="D37" s="118">
        <f>IF(47307.65031="","-",47307.65031/1581380.128*100)</f>
        <v>2.9915419747831811</v>
      </c>
      <c r="E37" s="118">
        <f>IF(37997.43648="","-",37997.43648/1361306.86729*100)</f>
        <v>2.791246954894365</v>
      </c>
      <c r="F37" s="118">
        <f>IF(35091.34527="","-",35091.34527/1572223.23546*100)</f>
        <v>2.231956917983914</v>
      </c>
      <c r="G37" s="119">
        <f>IF(38290.11991="","-",38290.11991/2629714.41023*100)</f>
        <v>1.4560562075123236</v>
      </c>
      <c r="J37" s="94"/>
      <c r="K37" s="6"/>
    </row>
    <row r="38" spans="1:11" x14ac:dyDescent="0.2">
      <c r="A38" s="155" t="s">
        <v>40</v>
      </c>
      <c r="B38" s="118">
        <f>IF(OR(4615.84547="",4615.84547="***"),"-",4615.84547/1219791.03674*100)</f>
        <v>0.37841280440429026</v>
      </c>
      <c r="C38" s="118">
        <f>IF(4306.02613="","-",4306.02613/1533630.30697*100)</f>
        <v>0.28077341132540828</v>
      </c>
      <c r="D38" s="118">
        <f>IF(4834.5906="","-",4834.5906/1581380.128*100)</f>
        <v>0.30571970106355101</v>
      </c>
      <c r="E38" s="118">
        <f>IF(11599.2305="","-",11599.2305/1361306.86729*100)</f>
        <v>0.85206581842130735</v>
      </c>
      <c r="F38" s="118">
        <f>IF(22908.64638="","-",22908.64638/1572223.23546*100)</f>
        <v>1.4570861098676868</v>
      </c>
      <c r="G38" s="119">
        <f>IF(31810.62451="","-",31810.62451/2629714.41023*100)</f>
        <v>1.2096608052285716</v>
      </c>
      <c r="J38" s="94"/>
      <c r="K38" s="6"/>
    </row>
    <row r="39" spans="1:11" x14ac:dyDescent="0.2">
      <c r="A39" s="155" t="s">
        <v>62</v>
      </c>
      <c r="B39" s="118">
        <f>IF(OR(20295.59399="",20295.59399="***"),"-",20295.59399/1219791.03674*100)</f>
        <v>1.6638582657765533</v>
      </c>
      <c r="C39" s="118">
        <f>IF(33792.3882="","-",33792.3882/1533630.30697*100)</f>
        <v>2.2034246484580611</v>
      </c>
      <c r="D39" s="118">
        <f>IF(20774.62256="","-",20774.62256/1581380.128*100)</f>
        <v>1.3137020120692955</v>
      </c>
      <c r="E39" s="118">
        <f>IF(20287.57356="","-",20287.57356/1361306.86729*100)</f>
        <v>1.4903012720700635</v>
      </c>
      <c r="F39" s="118">
        <f>IF(20448.1662="","-",20448.1662/1572223.23546*100)</f>
        <v>1.3005892381444986</v>
      </c>
      <c r="G39" s="119">
        <f>IF(26514.38229="","-",26514.38229/2629714.41023*100)</f>
        <v>1.0082609041824053</v>
      </c>
      <c r="J39" s="94"/>
      <c r="K39" s="6"/>
    </row>
    <row r="40" spans="1:11" x14ac:dyDescent="0.2">
      <c r="A40" s="155" t="s">
        <v>41</v>
      </c>
      <c r="B40" s="118">
        <f>IF(OR(11578.77861="",11578.77861="***"),"-",11578.77861/1219791.03674*100)</f>
        <v>0.94924280153306562</v>
      </c>
      <c r="C40" s="118">
        <f>IF(18351.10061="","-",18351.10061/1533630.30697*100)</f>
        <v>1.1965791577408476</v>
      </c>
      <c r="D40" s="118">
        <f>IF(20106.75285="","-",20106.75285/1581380.128*100)</f>
        <v>1.2714686680317258</v>
      </c>
      <c r="E40" s="118">
        <f>IF(22711.31089="","-",22711.31089/1361306.86729*100)</f>
        <v>1.6683461632138963</v>
      </c>
      <c r="F40" s="118">
        <f>IF(19419.49218="","-",19419.49218/1572223.23546*100)</f>
        <v>1.2351612507697265</v>
      </c>
      <c r="G40" s="119">
        <f>IF(24062.43263="","-",24062.43263/2629714.41023*100)</f>
        <v>0.91502075420788564</v>
      </c>
      <c r="J40" s="94"/>
      <c r="K40" s="6"/>
    </row>
    <row r="41" spans="1:11" x14ac:dyDescent="0.2">
      <c r="A41" s="155" t="s">
        <v>64</v>
      </c>
      <c r="B41" s="118">
        <f>IF(OR(10065.45265="",10065.45265="***"),"-",10065.45265/1219791.03674*100)</f>
        <v>0.82517844014502828</v>
      </c>
      <c r="C41" s="118">
        <f>IF(12953.4273="","-",12953.4273/1533630.30697*100)</f>
        <v>0.84462515125905036</v>
      </c>
      <c r="D41" s="118">
        <f>IF(12822.42829="","-",12822.42829/1581380.128*100)</f>
        <v>0.81083782848699104</v>
      </c>
      <c r="E41" s="118">
        <f>IF(15011.90954="","-",15011.90954/1361306.86729*100)</f>
        <v>1.1027572034426538</v>
      </c>
      <c r="F41" s="118">
        <f>IF(13084.25894="","-",13084.25894/1572223.23546*100)</f>
        <v>0.83221381321029864</v>
      </c>
      <c r="G41" s="119">
        <f>IF(23782.92024="","-",23782.92024/2629714.41023*100)</f>
        <v>0.90439175248387149</v>
      </c>
      <c r="J41" s="94"/>
      <c r="K41" s="6"/>
    </row>
    <row r="42" spans="1:11" x14ac:dyDescent="0.2">
      <c r="A42" s="155" t="s">
        <v>59</v>
      </c>
      <c r="B42" s="118">
        <f>IF(OR(13064.41924="",13064.41924="***"),"-",13064.41924/1219791.03674*100)</f>
        <v>1.0710374848232875</v>
      </c>
      <c r="C42" s="118">
        <f>IF(21373.31453="","-",21373.31453/1533630.30697*100)</f>
        <v>1.3936418987589878</v>
      </c>
      <c r="D42" s="118">
        <f>IF(15695.64628="","-",15695.64628/1581380.128*100)</f>
        <v>0.99252836190945237</v>
      </c>
      <c r="E42" s="118">
        <f>IF(22740.36351="","-",22740.36351/1361306.86729*100)</f>
        <v>1.6704803344796177</v>
      </c>
      <c r="F42" s="118">
        <f>IF(15303.18103="","-",15303.18103/1572223.23546*100)</f>
        <v>0.97334657603648789</v>
      </c>
      <c r="G42" s="119">
        <f>IF(21524.98495="","-",21524.98495/2629714.41023*100)</f>
        <v>0.81852937589969621</v>
      </c>
      <c r="J42" s="94"/>
      <c r="K42" s="6"/>
    </row>
    <row r="43" spans="1:11" x14ac:dyDescent="0.2">
      <c r="A43" s="155" t="s">
        <v>80</v>
      </c>
      <c r="B43" s="118">
        <f>IF(OR(5453.6699="",5453.6699="***"),"-",5453.6699/1219791.03674*100)</f>
        <v>0.44709870262495272</v>
      </c>
      <c r="C43" s="118">
        <f>IF(10053.30492="","-",10053.30492/1533630.30697*100)</f>
        <v>0.65552336011553913</v>
      </c>
      <c r="D43" s="118">
        <f>IF(8433.15779="","-",8433.15779/1581380.128*100)</f>
        <v>0.53327834596388701</v>
      </c>
      <c r="E43" s="118">
        <f>IF(9514.0604="","-",9514.0604/1361306.86729*100)</f>
        <v>0.69889167744668512</v>
      </c>
      <c r="F43" s="118">
        <f>IF(14508.85958="","-",14508.85958/1572223.23546*100)</f>
        <v>0.92282439622863133</v>
      </c>
      <c r="G43" s="119">
        <f>IF(15633.71304="","-",15633.71304/2629714.41023*100)</f>
        <v>0.59450231474499327</v>
      </c>
      <c r="J43" s="6"/>
      <c r="K43" s="6"/>
    </row>
    <row r="44" spans="1:11" x14ac:dyDescent="0.2">
      <c r="A44" s="156" t="s">
        <v>84</v>
      </c>
      <c r="B44" s="120">
        <f>IF(OR(66.77642="",66.77642="***"),"-",66.77642/1219791.03674*100)</f>
        <v>5.4744147143814016E-3</v>
      </c>
      <c r="C44" s="120">
        <f>IF(9328.23862="","-",9328.23862/1533630.30697*100)</f>
        <v>0.60824558419361452</v>
      </c>
      <c r="D44" s="120">
        <f>IF(78.03909="","-",78.03909/1581380.128*100)</f>
        <v>4.9348723066791941E-3</v>
      </c>
      <c r="E44" s="120">
        <f>IF(8961.73015="","-",8961.73015/1361306.86729*100)</f>
        <v>0.65831814746078687</v>
      </c>
      <c r="F44" s="120">
        <f>IF(16153.97635="","-",16153.97635/1572223.23546*100)</f>
        <v>1.0274607311266253</v>
      </c>
      <c r="G44" s="121">
        <f>IF(14646.19759="","-",14646.19759/2629714.41023*100)</f>
        <v>0.55695012101025121</v>
      </c>
      <c r="J44" s="6"/>
      <c r="K44" s="6"/>
    </row>
  </sheetData>
  <mergeCells count="1"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55"/>
  <sheetViews>
    <sheetView workbookViewId="0">
      <selection activeCell="A2" sqref="A2:XFD2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8" s="183" customFormat="1" ht="15" customHeight="1" x14ac:dyDescent="0.2">
      <c r="A2" s="188" t="s">
        <v>112</v>
      </c>
      <c r="B2" s="188"/>
      <c r="C2" s="188"/>
      <c r="D2" s="188"/>
      <c r="E2" s="188"/>
      <c r="F2" s="188"/>
      <c r="G2" s="188"/>
    </row>
    <row r="3" spans="1:8" ht="15" customHeight="1" x14ac:dyDescent="0.2">
      <c r="A3" s="89"/>
      <c r="B3" s="89"/>
      <c r="C3" s="89"/>
      <c r="D3" s="89"/>
      <c r="E3" s="89"/>
      <c r="F3" s="89"/>
      <c r="G3" s="89"/>
    </row>
    <row r="4" spans="1:8" x14ac:dyDescent="0.2">
      <c r="A4" s="179"/>
      <c r="B4" s="179"/>
      <c r="C4" s="179"/>
      <c r="D4" s="179"/>
      <c r="E4" s="179"/>
      <c r="F4" s="179"/>
      <c r="G4" s="179"/>
      <c r="H4" s="179"/>
    </row>
    <row r="27" spans="1:2" ht="16.5" customHeight="1" x14ac:dyDescent="0.2">
      <c r="A27" s="52" t="s">
        <v>100</v>
      </c>
      <c r="B27" s="88" t="s">
        <v>44</v>
      </c>
    </row>
    <row r="28" spans="1:2" x14ac:dyDescent="0.2">
      <c r="A28" s="170" t="s">
        <v>66</v>
      </c>
      <c r="B28" s="161">
        <v>5.8</v>
      </c>
    </row>
    <row r="29" spans="1:2" x14ac:dyDescent="0.2">
      <c r="A29" s="171" t="s">
        <v>71</v>
      </c>
      <c r="B29" s="162">
        <v>21.1</v>
      </c>
    </row>
    <row r="30" spans="1:2" x14ac:dyDescent="0.2">
      <c r="A30" s="171" t="s">
        <v>68</v>
      </c>
      <c r="B30" s="162">
        <v>5.8</v>
      </c>
    </row>
    <row r="31" spans="1:2" x14ac:dyDescent="0.2">
      <c r="A31" s="171" t="s">
        <v>81</v>
      </c>
      <c r="B31" s="162">
        <v>0.8</v>
      </c>
    </row>
    <row r="32" spans="1:2" x14ac:dyDescent="0.2">
      <c r="A32" s="171" t="s">
        <v>69</v>
      </c>
      <c r="B32" s="162">
        <v>2.8</v>
      </c>
    </row>
    <row r="33" spans="1:2" ht="13.5" customHeight="1" x14ac:dyDescent="0.2">
      <c r="A33" s="171" t="s">
        <v>67</v>
      </c>
      <c r="B33" s="162">
        <v>9.8000000000000007</v>
      </c>
    </row>
    <row r="34" spans="1:2" x14ac:dyDescent="0.2">
      <c r="A34" s="171" t="s">
        <v>73</v>
      </c>
      <c r="B34" s="162">
        <v>10.1</v>
      </c>
    </row>
    <row r="35" spans="1:2" x14ac:dyDescent="0.2">
      <c r="A35" s="171" t="s">
        <v>75</v>
      </c>
      <c r="B35" s="162">
        <v>6.9</v>
      </c>
    </row>
    <row r="36" spans="1:2" x14ac:dyDescent="0.2">
      <c r="A36" s="171" t="s">
        <v>72</v>
      </c>
      <c r="B36" s="162">
        <v>6</v>
      </c>
    </row>
    <row r="37" spans="1:2" x14ac:dyDescent="0.2">
      <c r="A37" s="171" t="s">
        <v>82</v>
      </c>
      <c r="B37" s="162">
        <v>3</v>
      </c>
    </row>
    <row r="38" spans="1:2" x14ac:dyDescent="0.2">
      <c r="A38" s="171" t="s">
        <v>99</v>
      </c>
      <c r="B38" s="162">
        <v>2.2999999999999998</v>
      </c>
    </row>
    <row r="39" spans="1:2" x14ac:dyDescent="0.2">
      <c r="A39" s="171" t="s">
        <v>86</v>
      </c>
      <c r="B39" s="162">
        <v>2.1</v>
      </c>
    </row>
    <row r="40" spans="1:2" x14ac:dyDescent="0.2">
      <c r="A40" s="172" t="s">
        <v>74</v>
      </c>
      <c r="B40" s="163">
        <v>23.5</v>
      </c>
    </row>
    <row r="41" spans="1:2" x14ac:dyDescent="0.2">
      <c r="A41" s="87"/>
      <c r="B41" s="65"/>
    </row>
    <row r="42" spans="1:2" x14ac:dyDescent="0.2">
      <c r="A42" s="52" t="s">
        <v>101</v>
      </c>
      <c r="B42" s="39" t="s">
        <v>44</v>
      </c>
    </row>
    <row r="43" spans="1:2" x14ac:dyDescent="0.2">
      <c r="A43" s="164" t="s">
        <v>66</v>
      </c>
      <c r="B43" s="167">
        <v>13.7</v>
      </c>
    </row>
    <row r="44" spans="1:2" x14ac:dyDescent="0.2">
      <c r="A44" s="165" t="s">
        <v>71</v>
      </c>
      <c r="B44" s="168">
        <v>12.1</v>
      </c>
    </row>
    <row r="45" spans="1:2" x14ac:dyDescent="0.2">
      <c r="A45" s="165" t="s">
        <v>68</v>
      </c>
      <c r="B45" s="168">
        <v>10.5</v>
      </c>
    </row>
    <row r="46" spans="1:2" x14ac:dyDescent="0.2">
      <c r="A46" s="165" t="s">
        <v>81</v>
      </c>
      <c r="B46" s="168">
        <v>9.9</v>
      </c>
    </row>
    <row r="47" spans="1:2" x14ac:dyDescent="0.2">
      <c r="A47" s="165" t="s">
        <v>69</v>
      </c>
      <c r="B47" s="168">
        <v>9.8000000000000007</v>
      </c>
    </row>
    <row r="48" spans="1:2" x14ac:dyDescent="0.2">
      <c r="A48" s="165" t="s">
        <v>67</v>
      </c>
      <c r="B48" s="168">
        <v>8.1999999999999993</v>
      </c>
    </row>
    <row r="49" spans="1:2" x14ac:dyDescent="0.2">
      <c r="A49" s="165" t="s">
        <v>73</v>
      </c>
      <c r="B49" s="168">
        <v>6.7</v>
      </c>
    </row>
    <row r="50" spans="1:2" x14ac:dyDescent="0.2">
      <c r="A50" s="165" t="s">
        <v>75</v>
      </c>
      <c r="B50" s="168">
        <v>3.4</v>
      </c>
    </row>
    <row r="51" spans="1:2" x14ac:dyDescent="0.2">
      <c r="A51" s="165" t="s">
        <v>72</v>
      </c>
      <c r="B51" s="168">
        <v>3.3</v>
      </c>
    </row>
    <row r="52" spans="1:2" x14ac:dyDescent="0.2">
      <c r="A52" s="165" t="s">
        <v>82</v>
      </c>
      <c r="B52" s="168">
        <v>2</v>
      </c>
    </row>
    <row r="53" spans="1:2" x14ac:dyDescent="0.2">
      <c r="A53" s="165" t="s">
        <v>99</v>
      </c>
      <c r="B53" s="168">
        <v>2</v>
      </c>
    </row>
    <row r="54" spans="1:2" x14ac:dyDescent="0.2">
      <c r="A54" s="165" t="s">
        <v>86</v>
      </c>
      <c r="B54" s="168">
        <v>2</v>
      </c>
    </row>
    <row r="55" spans="1:2" x14ac:dyDescent="0.2">
      <c r="A55" s="166" t="s">
        <v>74</v>
      </c>
      <c r="B55" s="169">
        <v>16.399999999999999</v>
      </c>
    </row>
  </sheetData>
  <mergeCells count="2">
    <mergeCell ref="A4:H4"/>
    <mergeCell ref="A2:G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27"/>
  <sheetViews>
    <sheetView workbookViewId="0">
      <selection activeCell="A2" sqref="A2:XFD2"/>
    </sheetView>
  </sheetViews>
  <sheetFormatPr defaultRowHeight="12" x14ac:dyDescent="0.2"/>
  <cols>
    <col min="1" max="1" width="9.85546875" style="3" customWidth="1"/>
    <col min="2" max="2" width="11.28515625" style="3" bestFit="1" customWidth="1"/>
    <col min="3" max="3" width="10" style="3" customWidth="1"/>
    <col min="4" max="4" width="11.28515625" style="3" bestFit="1" customWidth="1"/>
    <col min="5" max="5" width="9.28515625" style="3" bestFit="1" customWidth="1"/>
    <col min="6" max="6" width="11.28515625" style="3" bestFit="1" customWidth="1"/>
    <col min="7" max="7" width="9.28515625" style="3" bestFit="1" customWidth="1"/>
    <col min="8" max="8" width="11.28515625" style="3" bestFit="1" customWidth="1"/>
    <col min="9" max="9" width="9.28515625" style="3" bestFit="1" customWidth="1"/>
    <col min="10" max="10" width="11.85546875" style="3" bestFit="1" customWidth="1"/>
    <col min="11" max="11" width="11.140625" style="3" bestFit="1" customWidth="1"/>
    <col min="12" max="12" width="11.28515625" style="3" bestFit="1" customWidth="1"/>
    <col min="13" max="13" width="11.42578125" style="3" bestFit="1" customWidth="1"/>
    <col min="14" max="14" width="11.28515625" style="3" bestFit="1" customWidth="1"/>
    <col min="15" max="15" width="9.28515625" style="3" bestFit="1" customWidth="1"/>
    <col min="16" max="16" width="11.28515625" style="3" bestFit="1" customWidth="1"/>
    <col min="17" max="17" width="9.28515625" style="3" bestFit="1" customWidth="1"/>
    <col min="18" max="18" width="11.28515625" style="3" bestFit="1" customWidth="1"/>
    <col min="19" max="19" width="9.28515625" style="3" bestFit="1" customWidth="1"/>
    <col min="20" max="20" width="11.28515625" style="3" bestFit="1" customWidth="1"/>
    <col min="21" max="21" width="9.28515625" style="3" bestFit="1" customWidth="1"/>
    <col min="22" max="22" width="11.28515625" style="3" bestFit="1" customWidth="1"/>
    <col min="23" max="23" width="9.28515625" style="3" bestFit="1" customWidth="1"/>
    <col min="24" max="24" width="11.28515625" style="3" bestFit="1" customWidth="1"/>
    <col min="25" max="25" width="9.28515625" style="3" bestFit="1" customWidth="1"/>
    <col min="26" max="16384" width="9.140625" style="3"/>
  </cols>
  <sheetData>
    <row r="2" spans="1:14" s="183" customFormat="1" x14ac:dyDescent="0.2">
      <c r="A2" s="184" t="s">
        <v>111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4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4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37" t="s">
        <v>0</v>
      </c>
      <c r="B21" s="37" t="s">
        <v>1</v>
      </c>
      <c r="C21" s="51" t="s">
        <v>2</v>
      </c>
      <c r="D21" s="51" t="s">
        <v>3</v>
      </c>
      <c r="E21" s="51" t="s">
        <v>4</v>
      </c>
      <c r="F21" s="51" t="s">
        <v>5</v>
      </c>
      <c r="G21" s="51" t="s">
        <v>6</v>
      </c>
      <c r="H21" s="51" t="s">
        <v>7</v>
      </c>
      <c r="I21" s="51" t="s">
        <v>8</v>
      </c>
      <c r="J21" s="51" t="s">
        <v>9</v>
      </c>
      <c r="K21" s="51" t="s">
        <v>10</v>
      </c>
      <c r="L21" s="51" t="s">
        <v>11</v>
      </c>
      <c r="M21" s="51" t="s">
        <v>12</v>
      </c>
    </row>
    <row r="22" spans="1:13" x14ac:dyDescent="0.2">
      <c r="A22" s="41">
        <v>2017</v>
      </c>
      <c r="B22" s="50">
        <v>266.8</v>
      </c>
      <c r="C22" s="50">
        <v>332.7</v>
      </c>
      <c r="D22" s="50">
        <v>431.2</v>
      </c>
      <c r="E22" s="50">
        <v>361.5</v>
      </c>
      <c r="F22" s="50">
        <v>400.4</v>
      </c>
      <c r="G22" s="50">
        <v>388.8</v>
      </c>
      <c r="H22" s="50">
        <v>396.9</v>
      </c>
      <c r="I22" s="50">
        <v>429.7</v>
      </c>
      <c r="J22" s="50">
        <v>430.8</v>
      </c>
      <c r="K22" s="50">
        <v>465.9</v>
      </c>
      <c r="L22" s="50">
        <v>455.3</v>
      </c>
      <c r="M22" s="47">
        <v>471.4</v>
      </c>
    </row>
    <row r="23" spans="1:13" x14ac:dyDescent="0.2">
      <c r="A23" s="41">
        <v>2018</v>
      </c>
      <c r="B23" s="50">
        <v>374.3</v>
      </c>
      <c r="C23" s="50">
        <v>427.6</v>
      </c>
      <c r="D23" s="50">
        <v>524.1</v>
      </c>
      <c r="E23" s="50">
        <v>444.6</v>
      </c>
      <c r="F23" s="50">
        <v>505.6</v>
      </c>
      <c r="G23" s="50">
        <v>458.7</v>
      </c>
      <c r="H23" s="50">
        <v>488</v>
      </c>
      <c r="I23" s="50">
        <v>480.7</v>
      </c>
      <c r="J23" s="50">
        <v>474</v>
      </c>
      <c r="K23" s="50">
        <v>540.6</v>
      </c>
      <c r="L23" s="50">
        <v>522.6</v>
      </c>
      <c r="M23" s="47">
        <v>519.29999999999995</v>
      </c>
    </row>
    <row r="24" spans="1:13" x14ac:dyDescent="0.2">
      <c r="A24" s="41">
        <v>2019</v>
      </c>
      <c r="B24" s="50">
        <v>372.6</v>
      </c>
      <c r="C24" s="50">
        <v>459.3</v>
      </c>
      <c r="D24" s="50">
        <v>533.79999999999995</v>
      </c>
      <c r="E24" s="50">
        <v>515.6</v>
      </c>
      <c r="F24" s="50">
        <v>481.6</v>
      </c>
      <c r="G24" s="50">
        <v>445.4</v>
      </c>
      <c r="H24" s="50">
        <v>499.1</v>
      </c>
      <c r="I24" s="50">
        <v>464.3</v>
      </c>
      <c r="J24" s="50">
        <v>501.7</v>
      </c>
      <c r="K24" s="50">
        <v>525.29999999999995</v>
      </c>
      <c r="L24" s="50">
        <v>504.1</v>
      </c>
      <c r="M24" s="47">
        <v>539.70000000000005</v>
      </c>
    </row>
    <row r="25" spans="1:13" x14ac:dyDescent="0.2">
      <c r="A25" s="41">
        <v>2020</v>
      </c>
      <c r="B25" s="46">
        <v>379.8</v>
      </c>
      <c r="C25" s="46">
        <v>484.8</v>
      </c>
      <c r="D25" s="46">
        <v>500.5</v>
      </c>
      <c r="E25" s="46">
        <v>285.60000000000002</v>
      </c>
      <c r="F25" s="46">
        <v>329.4</v>
      </c>
      <c r="G25" s="46">
        <v>413.5</v>
      </c>
      <c r="H25" s="46">
        <v>496.6</v>
      </c>
      <c r="I25" s="46">
        <v>433.6</v>
      </c>
      <c r="J25" s="46">
        <v>508.3</v>
      </c>
      <c r="K25" s="46">
        <v>493.6</v>
      </c>
      <c r="L25" s="46">
        <v>522.9</v>
      </c>
      <c r="M25" s="47">
        <v>567.29999999999995</v>
      </c>
    </row>
    <row r="26" spans="1:13" x14ac:dyDescent="0.2">
      <c r="A26" s="41">
        <v>2021</v>
      </c>
      <c r="B26" s="46">
        <v>399.4</v>
      </c>
      <c r="C26" s="46">
        <v>521.4</v>
      </c>
      <c r="D26" s="46">
        <v>630.1</v>
      </c>
      <c r="E26" s="46">
        <v>562.20000000000005</v>
      </c>
      <c r="F26" s="46">
        <v>563.4</v>
      </c>
      <c r="G26" s="46">
        <v>589.6</v>
      </c>
      <c r="H26" s="46">
        <v>562</v>
      </c>
      <c r="I26" s="46">
        <v>574.9</v>
      </c>
      <c r="J26" s="46">
        <v>671.2</v>
      </c>
      <c r="K26" s="46">
        <v>646.79999999999995</v>
      </c>
      <c r="L26" s="46">
        <v>701.5</v>
      </c>
      <c r="M26" s="47">
        <v>754.2</v>
      </c>
    </row>
    <row r="27" spans="1:13" x14ac:dyDescent="0.2">
      <c r="A27" s="42">
        <v>2022</v>
      </c>
      <c r="B27" s="48">
        <v>621.70000000000005</v>
      </c>
      <c r="C27" s="48">
        <v>669.1</v>
      </c>
      <c r="D27" s="48">
        <v>748.3</v>
      </c>
      <c r="E27" s="48">
        <v>770.5</v>
      </c>
      <c r="F27" s="48">
        <v>772.7</v>
      </c>
      <c r="G27" s="48">
        <v>768.3</v>
      </c>
      <c r="H27" s="48">
        <v>761.2</v>
      </c>
      <c r="I27" s="48"/>
      <c r="J27" s="48"/>
      <c r="K27" s="48"/>
      <c r="L27" s="48"/>
      <c r="M27" s="49"/>
    </row>
  </sheetData>
  <mergeCells count="1">
    <mergeCell ref="A2:N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O32"/>
  <sheetViews>
    <sheetView workbookViewId="0">
      <selection activeCell="A26" sqref="A26"/>
    </sheetView>
  </sheetViews>
  <sheetFormatPr defaultRowHeight="12" x14ac:dyDescent="0.2"/>
  <cols>
    <col min="1" max="1" width="19.140625" style="3" customWidth="1"/>
    <col min="2" max="2" width="5.140625" style="3" customWidth="1"/>
    <col min="3" max="5" width="5.42578125" style="3" customWidth="1"/>
    <col min="6" max="6" width="6.140625" style="3" customWidth="1"/>
    <col min="7" max="7" width="6" style="3" customWidth="1"/>
    <col min="8" max="8" width="5.85546875" style="3" customWidth="1"/>
    <col min="9" max="9" width="5.7109375" style="3" customWidth="1"/>
    <col min="10" max="11" width="6" style="3" customWidth="1"/>
    <col min="12" max="12" width="6.140625" style="3" customWidth="1"/>
    <col min="13" max="13" width="6.28515625" style="3" customWidth="1"/>
    <col min="14" max="16" width="5.42578125" style="3" customWidth="1"/>
    <col min="17" max="17" width="5.5703125" style="3" customWidth="1"/>
    <col min="18" max="18" width="5.42578125" style="3" customWidth="1"/>
    <col min="19" max="19" width="6" style="3" customWidth="1"/>
    <col min="20" max="20" width="5.28515625" style="3" customWidth="1"/>
    <col min="21" max="23" width="5.7109375" style="3" customWidth="1"/>
    <col min="24" max="24" width="5.42578125" style="3" customWidth="1"/>
    <col min="25" max="26" width="5.5703125" style="3" customWidth="1"/>
    <col min="27" max="28" width="5.85546875" style="3" customWidth="1"/>
    <col min="29" max="29" width="5.5703125" style="3" customWidth="1"/>
    <col min="30" max="30" width="5.42578125" style="3" customWidth="1"/>
    <col min="31" max="31" width="6" style="3" customWidth="1"/>
    <col min="32" max="32" width="5.42578125" style="3" customWidth="1"/>
    <col min="33" max="36" width="6" style="3" customWidth="1"/>
    <col min="37" max="38" width="6.42578125" style="3" customWidth="1"/>
    <col min="39" max="39" width="6.5703125" style="3" customWidth="1"/>
    <col min="40" max="40" width="7.28515625" style="3" customWidth="1"/>
    <col min="41" max="42" width="6.7109375" style="3" customWidth="1"/>
    <col min="43" max="43" width="6.5703125" style="3" customWidth="1"/>
    <col min="44" max="16384" width="9.140625" style="3"/>
  </cols>
  <sheetData>
    <row r="2" spans="1:25" s="183" customFormat="1" x14ac:dyDescent="0.2">
      <c r="A2" s="186" t="s">
        <v>110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1:2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2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2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2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2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2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2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2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2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2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2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2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2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2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4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4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4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4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41" ht="1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4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41" x14ac:dyDescent="0.2">
      <c r="A23" s="180"/>
      <c r="B23" s="175">
        <v>2020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6">
        <v>2021</v>
      </c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8"/>
      <c r="Z23" s="176">
        <v>2022</v>
      </c>
      <c r="AA23" s="177"/>
      <c r="AB23" s="177"/>
      <c r="AC23" s="177"/>
      <c r="AD23" s="177"/>
      <c r="AE23" s="177"/>
      <c r="AF23" s="178"/>
    </row>
    <row r="24" spans="1:41" x14ac:dyDescent="0.2">
      <c r="A24" s="181"/>
      <c r="B24" s="30" t="s">
        <v>13</v>
      </c>
      <c r="C24" s="30" t="s">
        <v>14</v>
      </c>
      <c r="D24" s="30" t="s">
        <v>15</v>
      </c>
      <c r="E24" s="30" t="s">
        <v>16</v>
      </c>
      <c r="F24" s="30" t="s">
        <v>17</v>
      </c>
      <c r="G24" s="30" t="s">
        <v>22</v>
      </c>
      <c r="H24" s="30" t="s">
        <v>18</v>
      </c>
      <c r="I24" s="30" t="s">
        <v>23</v>
      </c>
      <c r="J24" s="30" t="s">
        <v>19</v>
      </c>
      <c r="K24" s="30" t="s">
        <v>24</v>
      </c>
      <c r="L24" s="30" t="s">
        <v>20</v>
      </c>
      <c r="M24" s="30" t="s">
        <v>21</v>
      </c>
      <c r="N24" s="59" t="s">
        <v>13</v>
      </c>
      <c r="O24" s="59" t="s">
        <v>14</v>
      </c>
      <c r="P24" s="60" t="s">
        <v>15</v>
      </c>
      <c r="Q24" s="59" t="s">
        <v>16</v>
      </c>
      <c r="R24" s="59" t="s">
        <v>17</v>
      </c>
      <c r="S24" s="59" t="s">
        <v>22</v>
      </c>
      <c r="T24" s="59" t="s">
        <v>18</v>
      </c>
      <c r="U24" s="59" t="s">
        <v>23</v>
      </c>
      <c r="V24" s="64" t="s">
        <v>19</v>
      </c>
      <c r="W24" s="42" t="s">
        <v>24</v>
      </c>
      <c r="X24" s="39" t="s">
        <v>20</v>
      </c>
      <c r="Y24" s="39" t="s">
        <v>21</v>
      </c>
      <c r="Z24" s="90" t="s">
        <v>13</v>
      </c>
      <c r="AA24" s="90" t="s">
        <v>14</v>
      </c>
      <c r="AB24" s="90" t="s">
        <v>15</v>
      </c>
      <c r="AC24" s="59" t="s">
        <v>16</v>
      </c>
      <c r="AD24" s="59" t="s">
        <v>17</v>
      </c>
      <c r="AE24" s="106" t="s">
        <v>22</v>
      </c>
      <c r="AF24" s="106" t="s">
        <v>18</v>
      </c>
    </row>
    <row r="25" spans="1:41" ht="27.75" customHeight="1" x14ac:dyDescent="0.2">
      <c r="A25" s="27" t="s">
        <v>57</v>
      </c>
      <c r="B25" s="19">
        <v>70.382208343865415</v>
      </c>
      <c r="C25" s="19">
        <v>127.63158194440297</v>
      </c>
      <c r="D25" s="19">
        <v>103.24095247310265</v>
      </c>
      <c r="E25" s="19">
        <v>57.064146061655876</v>
      </c>
      <c r="F25" s="19">
        <v>115.32045479750228</v>
      </c>
      <c r="G25" s="19">
        <v>125.55839051166471</v>
      </c>
      <c r="H25" s="19">
        <v>120.09478099934977</v>
      </c>
      <c r="I25" s="19">
        <v>87.312042792465732</v>
      </c>
      <c r="J25" s="19">
        <v>117.22959939467061</v>
      </c>
      <c r="K25" s="19">
        <v>97.096953437578748</v>
      </c>
      <c r="L25" s="19">
        <v>105.93754706899317</v>
      </c>
      <c r="M25" s="15">
        <v>108.49423751970338</v>
      </c>
      <c r="N25" s="102">
        <v>70.397914008513311</v>
      </c>
      <c r="O25" s="20">
        <v>130.56565598353049</v>
      </c>
      <c r="P25" s="20">
        <v>120.83026196604835</v>
      </c>
      <c r="Q25" s="103">
        <v>89.231037795592442</v>
      </c>
      <c r="R25" s="20">
        <v>100.2114807539604</v>
      </c>
      <c r="S25" s="20">
        <v>104.66057637383682</v>
      </c>
      <c r="T25" s="20">
        <v>95.30942393156748</v>
      </c>
      <c r="U25" s="20">
        <v>102.30310816744974</v>
      </c>
      <c r="V25" s="20">
        <v>116.7433114933096</v>
      </c>
      <c r="W25" s="20">
        <v>96.368466717330918</v>
      </c>
      <c r="X25" s="99">
        <v>108.45193596997535</v>
      </c>
      <c r="Y25" s="101">
        <v>107.60757399325725</v>
      </c>
      <c r="Z25" s="135">
        <v>82.428114796228584</v>
      </c>
      <c r="AA25" s="99">
        <v>107.62832138935146</v>
      </c>
      <c r="AB25" s="99">
        <v>111.83648900221725</v>
      </c>
      <c r="AC25" s="99">
        <v>102.9712600305761</v>
      </c>
      <c r="AD25" s="20">
        <v>100.2829822644897</v>
      </c>
      <c r="AE25" s="138">
        <v>99.426283819396033</v>
      </c>
      <c r="AF25" s="107">
        <v>99.079444566557498</v>
      </c>
    </row>
    <row r="26" spans="1:41" ht="42" customHeight="1" x14ac:dyDescent="0.2">
      <c r="A26" s="28" t="s">
        <v>58</v>
      </c>
      <c r="B26" s="14">
        <f>IF(372548.49281="","-",379831.59944/372548.49281*100)</f>
        <v>101.95494191241148</v>
      </c>
      <c r="C26" s="14">
        <f>IF(459248.98718="","-",484785.07909/459248.98718*100)</f>
        <v>105.56040244460927</v>
      </c>
      <c r="D26" s="14">
        <f>IF(533847.81488="","-",500496.7331/533847.81488*100)</f>
        <v>93.752698643620619</v>
      </c>
      <c r="E26" s="14">
        <f>IF(515591.42554="","-",285604.18681/515591.42554*100)</f>
        <v>55.393509795256001</v>
      </c>
      <c r="F26" s="14">
        <f>IF(481606.75367="","-",329360.04715/481606.75367*100)</f>
        <v>68.38775508029515</v>
      </c>
      <c r="G26" s="14">
        <f>IF(445438.91205="","-",413539.17419/445438.91205*100)</f>
        <v>92.838583025180498</v>
      </c>
      <c r="H26" s="14">
        <f>IF(499106.13257="","-",496638.96559/499106.13257*100)</f>
        <v>99.505682896081424</v>
      </c>
      <c r="I26" s="14">
        <f>IF(464269.56222="","-",433625.62616/464269.56222*100)</f>
        <v>93.399537993946922</v>
      </c>
      <c r="J26" s="14">
        <f>IF(501694.30423="","-",508337.58442/501694.30423*100)</f>
        <v>101.32416894790069</v>
      </c>
      <c r="K26" s="14">
        <f>IF(525340.24848="","-",493580.30765/525340.24848*100)</f>
        <v>93.954405564414117</v>
      </c>
      <c r="L26" s="14">
        <f>IF(504121.79757="","-",522886.87074/504121.79757*100)</f>
        <v>103.7223292586142</v>
      </c>
      <c r="M26" s="16">
        <f>IF(539669.9086="","-",567302.1235/539669.9086*100)</f>
        <v>105.12020671519058</v>
      </c>
      <c r="N26" s="26">
        <f>IF(379831.59944="","-",399368.86107/379831.59944*100)</f>
        <v>105.14366410240868</v>
      </c>
      <c r="O26" s="14">
        <f>IF(484785.07909="","-",521438.57325/484785.07909*100)</f>
        <v>107.56077192573727</v>
      </c>
      <c r="P26" s="14">
        <f>IF(500496.7331="","-",630055.59405/500496.7331*100)</f>
        <v>125.88605526903886</v>
      </c>
      <c r="Q26" s="14">
        <f>IF(285604.18681="","-",562205.14526/285604.18681*100)</f>
        <v>196.84765533007069</v>
      </c>
      <c r="R26" s="14">
        <f>IF(329360.04715="","-",563394.10094/329360.04715*100)</f>
        <v>171.05720800538208</v>
      </c>
      <c r="S26" s="14">
        <f>IF(413539.17419="","-",589651.5133/413539.17419*100)</f>
        <v>142.58661575531545</v>
      </c>
      <c r="T26" s="14">
        <f>IF(496638.96559="","-",561993.46053/496638.96559*100)</f>
        <v>113.15935709199938</v>
      </c>
      <c r="U26" s="14">
        <f>IF(433625.62616="","-",574936.77782/433625.62616*100)</f>
        <v>132.58828425602752</v>
      </c>
      <c r="V26" s="14">
        <f>IF(508337.58442="","-",671200.23342/508337.58442*100)</f>
        <v>132.03828597207149</v>
      </c>
      <c r="W26" s="14">
        <f>IF(493580.30765="","-",646825.37355/493580.30765*100)</f>
        <v>131.0476458490858</v>
      </c>
      <c r="X26" s="134">
        <f>IF(522886.87074="","-",701494.63996/522886.87074*100)</f>
        <v>134.15801375299989</v>
      </c>
      <c r="Y26" s="16">
        <f>IF(567302.1235="","-",754196.91196/567302.1235*100)</f>
        <v>132.94448949123316</v>
      </c>
      <c r="Z26" s="136">
        <f>IF(399368.86107="","-",621670.29638/399368.86107*100)</f>
        <v>155.66318683795325</v>
      </c>
      <c r="AA26" s="134">
        <f>IF(521438.57325="","-",669093.30457/521438.57325*100)</f>
        <v>128.31680257172076</v>
      </c>
      <c r="AB26" s="134">
        <f>IF(630055.59405="","-",748290.45998/630055.59405*100)</f>
        <v>118.765783058918</v>
      </c>
      <c r="AC26" s="134">
        <f>IF(562205.14526="","-",770524.11533/562205.14526*100)</f>
        <v>137.05390671472063</v>
      </c>
      <c r="AD26" s="134">
        <f>IF(563394.10094="","-",772704.56192/563394.10094*100)</f>
        <v>137.15169552375045</v>
      </c>
      <c r="AE26" s="134">
        <f>IF(589651.5133="","-",768271.43082/589651.5133*100)</f>
        <v>130.29245469418862</v>
      </c>
      <c r="AF26" s="108">
        <f>IF(561993.46053="","-",761199.06642/561993.46053*100)</f>
        <v>135.44624980193453</v>
      </c>
    </row>
    <row r="27" spans="1:41" x14ac:dyDescent="0.2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1"/>
    </row>
    <row r="28" spans="1:41" x14ac:dyDescent="0.2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1"/>
      <c r="P28" s="11"/>
      <c r="Q28" s="11"/>
      <c r="R28" s="11"/>
      <c r="S28" s="11"/>
      <c r="T28" s="11"/>
      <c r="Z28" s="61"/>
      <c r="AA28" s="61"/>
      <c r="AB28" s="62"/>
      <c r="AC28" s="63"/>
      <c r="AD28" s="61"/>
      <c r="AE28" s="58"/>
      <c r="AF28" s="58"/>
      <c r="AG28" s="58"/>
      <c r="AH28" s="58"/>
    </row>
    <row r="31" spans="1:41" ht="15.75" x14ac:dyDescent="0.25">
      <c r="S31" s="79"/>
      <c r="T31" s="80"/>
      <c r="U31" s="81"/>
      <c r="V31" s="80"/>
      <c r="W31" s="79"/>
      <c r="X31" s="80"/>
      <c r="Y31" s="81"/>
      <c r="Z31" s="80"/>
      <c r="AA31" s="81"/>
      <c r="AB31" s="80"/>
      <c r="AC31" s="78"/>
      <c r="AD31" s="80"/>
      <c r="AE31" s="78"/>
      <c r="AF31" s="80"/>
      <c r="AG31" s="78"/>
      <c r="AH31" s="80"/>
      <c r="AI31" s="82"/>
      <c r="AJ31" s="80"/>
      <c r="AK31" s="70"/>
      <c r="AL31" s="80"/>
      <c r="AM31" s="78"/>
      <c r="AN31" s="80"/>
      <c r="AO31" s="77"/>
    </row>
    <row r="32" spans="1:41" ht="15.75" x14ac:dyDescent="0.2">
      <c r="X32" s="78"/>
    </row>
  </sheetData>
  <mergeCells count="5">
    <mergeCell ref="A23:A24"/>
    <mergeCell ref="B23:M23"/>
    <mergeCell ref="N23:Y23"/>
    <mergeCell ref="Z23:AF23"/>
    <mergeCell ref="A2:Y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2"/>
  <sheetViews>
    <sheetView workbookViewId="0">
      <selection activeCell="A2" sqref="A2:XFD2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s="183" customFormat="1" x14ac:dyDescent="0.2">
      <c r="A2" s="186" t="s">
        <v>109</v>
      </c>
      <c r="B2" s="186"/>
      <c r="C2" s="186"/>
      <c r="D2" s="186"/>
      <c r="E2" s="186"/>
      <c r="F2" s="186"/>
      <c r="G2" s="186"/>
      <c r="H2" s="185"/>
      <c r="I2" s="185"/>
      <c r="J2" s="185"/>
      <c r="K2" s="185"/>
      <c r="L2" s="185"/>
      <c r="M2" s="18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ht="4.5" customHeight="1" x14ac:dyDescent="0.2">
      <c r="A22" s="40"/>
      <c r="B22" s="40"/>
      <c r="C22" s="40"/>
      <c r="D22" s="40"/>
      <c r="E22" s="40"/>
      <c r="F22" s="40"/>
      <c r="G22" s="40"/>
    </row>
    <row r="23" spans="1:7" x14ac:dyDescent="0.2">
      <c r="A23" s="40"/>
      <c r="B23" s="40"/>
      <c r="C23" s="40"/>
      <c r="D23" s="40"/>
      <c r="E23" s="40"/>
      <c r="F23" s="40"/>
      <c r="G23" s="40"/>
    </row>
    <row r="24" spans="1:7" ht="24" x14ac:dyDescent="0.2">
      <c r="A24" s="52" t="s">
        <v>25</v>
      </c>
      <c r="B24" s="36" t="s">
        <v>91</v>
      </c>
      <c r="C24" s="13" t="s">
        <v>92</v>
      </c>
      <c r="D24" s="13" t="s">
        <v>93</v>
      </c>
      <c r="E24" s="13" t="s">
        <v>94</v>
      </c>
      <c r="F24" s="13" t="s">
        <v>95</v>
      </c>
      <c r="G24" s="13" t="s">
        <v>96</v>
      </c>
    </row>
    <row r="25" spans="1:7" x14ac:dyDescent="0.2">
      <c r="A25" s="43" t="s">
        <v>26</v>
      </c>
      <c r="B25" s="146">
        <v>7.5</v>
      </c>
      <c r="C25" s="115">
        <v>2.2999999999999998</v>
      </c>
      <c r="D25" s="115">
        <v>1.6</v>
      </c>
      <c r="E25" s="115">
        <v>2</v>
      </c>
      <c r="F25" s="115">
        <v>2.9</v>
      </c>
      <c r="G25" s="125">
        <v>2.5</v>
      </c>
    </row>
    <row r="26" spans="1:7" x14ac:dyDescent="0.2">
      <c r="A26" s="44" t="s">
        <v>27</v>
      </c>
      <c r="B26" s="147">
        <v>4.9000000000000004</v>
      </c>
      <c r="C26" s="128">
        <v>4.7</v>
      </c>
      <c r="D26" s="128">
        <v>5.5</v>
      </c>
      <c r="E26" s="128">
        <v>4.7</v>
      </c>
      <c r="F26" s="128">
        <v>5.4</v>
      </c>
      <c r="G26" s="129">
        <v>5.5</v>
      </c>
    </row>
    <row r="27" spans="1:7" x14ac:dyDescent="0.2">
      <c r="A27" s="44" t="s">
        <v>28</v>
      </c>
      <c r="B27" s="147">
        <v>76.400000000000006</v>
      </c>
      <c r="C27" s="128">
        <v>86.5</v>
      </c>
      <c r="D27" s="128">
        <v>85.9</v>
      </c>
      <c r="E27" s="128">
        <v>84.4</v>
      </c>
      <c r="F27" s="128">
        <v>83.4</v>
      </c>
      <c r="G27" s="129">
        <v>83.3</v>
      </c>
    </row>
    <row r="28" spans="1:7" x14ac:dyDescent="0.2">
      <c r="A28" s="44" t="s">
        <v>29</v>
      </c>
      <c r="B28" s="147">
        <v>1.6</v>
      </c>
      <c r="C28" s="128">
        <v>2.4</v>
      </c>
      <c r="D28" s="128">
        <v>2.2000000000000002</v>
      </c>
      <c r="E28" s="128">
        <v>2.6</v>
      </c>
      <c r="F28" s="128">
        <v>2.5</v>
      </c>
      <c r="G28" s="129">
        <v>2.7</v>
      </c>
    </row>
    <row r="29" spans="1:7" x14ac:dyDescent="0.2">
      <c r="A29" s="44" t="s">
        <v>45</v>
      </c>
      <c r="B29" s="147">
        <v>0.1</v>
      </c>
      <c r="C29" s="128">
        <v>0.2</v>
      </c>
      <c r="D29" s="128">
        <v>0.3</v>
      </c>
      <c r="E29" s="128">
        <v>0.2</v>
      </c>
      <c r="F29" s="128">
        <v>0.3</v>
      </c>
      <c r="G29" s="129">
        <v>0.3</v>
      </c>
    </row>
    <row r="30" spans="1:7" x14ac:dyDescent="0.2">
      <c r="A30" s="44" t="s">
        <v>46</v>
      </c>
      <c r="B30" s="147">
        <v>9</v>
      </c>
      <c r="C30" s="128">
        <v>3.3</v>
      </c>
      <c r="D30" s="128">
        <v>4</v>
      </c>
      <c r="E30" s="128">
        <v>5.4</v>
      </c>
      <c r="F30" s="128">
        <v>4.8</v>
      </c>
      <c r="G30" s="129">
        <v>5.0999999999999996</v>
      </c>
    </row>
    <row r="31" spans="1:7" x14ac:dyDescent="0.2">
      <c r="A31" s="45" t="s">
        <v>47</v>
      </c>
      <c r="B31" s="148">
        <v>0.5</v>
      </c>
      <c r="C31" s="132">
        <v>0.6</v>
      </c>
      <c r="D31" s="132">
        <v>0.5</v>
      </c>
      <c r="E31" s="132">
        <v>0.7</v>
      </c>
      <c r="F31" s="132">
        <v>0.7</v>
      </c>
      <c r="G31" s="133">
        <v>0.6</v>
      </c>
    </row>
    <row r="36" spans="2:7" ht="15" x14ac:dyDescent="0.2">
      <c r="B36" s="92"/>
      <c r="C36" s="92"/>
      <c r="D36" s="93"/>
      <c r="E36" s="93"/>
      <c r="F36" s="93"/>
      <c r="G36" s="93"/>
    </row>
    <row r="37" spans="2:7" ht="15" x14ac:dyDescent="0.2">
      <c r="B37" s="92"/>
      <c r="C37" s="92"/>
      <c r="D37" s="93"/>
      <c r="E37" s="93"/>
      <c r="F37" s="93"/>
      <c r="G37" s="93"/>
    </row>
    <row r="38" spans="2:7" ht="15" x14ac:dyDescent="0.2">
      <c r="B38" s="92"/>
      <c r="C38" s="92"/>
      <c r="D38" s="93"/>
      <c r="E38" s="93"/>
      <c r="F38" s="93"/>
      <c r="G38" s="93"/>
    </row>
    <row r="39" spans="2:7" ht="15" x14ac:dyDescent="0.2">
      <c r="B39" s="92"/>
      <c r="C39" s="92"/>
      <c r="D39" s="93"/>
      <c r="E39" s="93"/>
      <c r="F39" s="93"/>
      <c r="G39" s="93"/>
    </row>
    <row r="40" spans="2:7" ht="15" x14ac:dyDescent="0.2">
      <c r="B40" s="92"/>
      <c r="C40" s="92"/>
      <c r="D40" s="93"/>
      <c r="E40" s="93"/>
      <c r="F40" s="93"/>
      <c r="G40" s="93"/>
    </row>
    <row r="41" spans="2:7" ht="15" x14ac:dyDescent="0.2">
      <c r="B41" s="92"/>
      <c r="C41" s="92"/>
      <c r="D41" s="93"/>
      <c r="E41" s="93"/>
      <c r="F41" s="93"/>
      <c r="G41" s="93"/>
    </row>
    <row r="42" spans="2:7" ht="15" x14ac:dyDescent="0.2">
      <c r="B42" s="92"/>
      <c r="C42" s="92"/>
      <c r="D42" s="93"/>
      <c r="E42" s="93"/>
      <c r="F42" s="93"/>
      <c r="G42" s="93"/>
    </row>
  </sheetData>
  <mergeCells count="1">
    <mergeCell ref="A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Doina Cebotari</cp:lastModifiedBy>
  <dcterms:created xsi:type="dcterms:W3CDTF">2017-02-13T11:50:10Z</dcterms:created>
  <dcterms:modified xsi:type="dcterms:W3CDTF">2022-09-14T11:08:43Z</dcterms:modified>
</cp:coreProperties>
</file>