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tables/table1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Doina Cebotari\Desktop\New folder\"/>
    </mc:Choice>
  </mc:AlternateContent>
  <xr:revisionPtr revIDLastSave="0" documentId="13_ncr:1_{9780EF2C-0C97-47A0-9D71-442D71A3EFE2}" xr6:coauthVersionLast="47" xr6:coauthVersionMax="47" xr10:uidLastSave="{00000000-0000-0000-0000-000000000000}"/>
  <bookViews>
    <workbookView xWindow="-120" yWindow="-120" windowWidth="29040" windowHeight="15720" tabRatio="857" xr2:uid="{00000000-000D-0000-FFFF-FFFF00000000}"/>
  </bookViews>
  <sheets>
    <sheet name="Figura 1" sheetId="1" r:id="rId1"/>
    <sheet name="Figura 2" sheetId="2" r:id="rId2"/>
    <sheet name="Figura 3" sheetId="3" r:id="rId3"/>
    <sheet name="Figura 4" sheetId="4" r:id="rId4"/>
    <sheet name="Figura 5" sheetId="5" r:id="rId5"/>
    <sheet name="Figura 6" sheetId="17" r:id="rId6"/>
    <sheet name="Figura 7" sheetId="7" r:id="rId7"/>
    <sheet name="Figura 8" sheetId="8" r:id="rId8"/>
    <sheet name="Figura 9" sheetId="9" r:id="rId9"/>
    <sheet name="Figura 10" sheetId="10" r:id="rId10"/>
    <sheet name="Figura 11" sheetId="16" r:id="rId11"/>
    <sheet name="Figura 12" sheetId="12" r:id="rId12"/>
    <sheet name="Figura 13" sheetId="13" r:id="rId13"/>
    <sheet name="Figura 14" sheetId="14" r:id="rId1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26" i="8" l="1"/>
  <c r="AP26" i="8"/>
  <c r="AO26" i="8"/>
  <c r="AN26" i="8"/>
  <c r="AM26" i="8"/>
  <c r="AL26" i="8"/>
  <c r="AJ26" i="8"/>
  <c r="AM23" i="2"/>
  <c r="G43" i="16"/>
  <c r="F43" i="16"/>
  <c r="E43" i="16"/>
  <c r="D43" i="16"/>
  <c r="C43" i="16"/>
  <c r="B43" i="16"/>
  <c r="G42" i="16"/>
  <c r="F42" i="16"/>
  <c r="E42" i="16"/>
  <c r="D42" i="16"/>
  <c r="C42" i="16"/>
  <c r="B42" i="16"/>
  <c r="G41" i="16"/>
  <c r="F41" i="16"/>
  <c r="E41" i="16"/>
  <c r="D41" i="16"/>
  <c r="C41" i="16"/>
  <c r="B41" i="16"/>
  <c r="G40" i="16"/>
  <c r="F40" i="16"/>
  <c r="E40" i="16"/>
  <c r="D40" i="16"/>
  <c r="C40" i="16"/>
  <c r="B40" i="16"/>
  <c r="G39" i="16"/>
  <c r="F39" i="16"/>
  <c r="E39" i="16"/>
  <c r="D39" i="16"/>
  <c r="C39" i="16"/>
  <c r="B39" i="16"/>
  <c r="G38" i="16"/>
  <c r="F38" i="16"/>
  <c r="E38" i="16"/>
  <c r="D38" i="16"/>
  <c r="C38" i="16"/>
  <c r="B38" i="16"/>
  <c r="G37" i="16"/>
  <c r="F37" i="16"/>
  <c r="E37" i="16"/>
  <c r="D37" i="16"/>
  <c r="C37" i="16"/>
  <c r="B37" i="16"/>
  <c r="G36" i="16"/>
  <c r="F36" i="16"/>
  <c r="E36" i="16"/>
  <c r="D36" i="16"/>
  <c r="C36" i="16"/>
  <c r="B36" i="16"/>
  <c r="G35" i="16"/>
  <c r="F35" i="16"/>
  <c r="E35" i="16"/>
  <c r="D35" i="16"/>
  <c r="C35" i="16"/>
  <c r="B35" i="16"/>
  <c r="G34" i="16"/>
  <c r="F34" i="16"/>
  <c r="E34" i="16"/>
  <c r="D34" i="16"/>
  <c r="C34" i="16"/>
  <c r="B34" i="16"/>
  <c r="G33" i="16"/>
  <c r="F33" i="16"/>
  <c r="E33" i="16"/>
  <c r="D33" i="16"/>
  <c r="C33" i="16"/>
  <c r="B33" i="16"/>
  <c r="G32" i="16"/>
  <c r="F32" i="16"/>
  <c r="E32" i="16"/>
  <c r="D32" i="16"/>
  <c r="C32" i="16"/>
  <c r="B32" i="16"/>
  <c r="G31" i="16"/>
  <c r="F31" i="16"/>
  <c r="E31" i="16"/>
  <c r="D31" i="16"/>
  <c r="C31" i="16"/>
  <c r="B31" i="16"/>
  <c r="G30" i="16"/>
  <c r="F30" i="16"/>
  <c r="E30" i="16"/>
  <c r="D30" i="16"/>
  <c r="C30" i="16"/>
  <c r="B30" i="16"/>
  <c r="G29" i="16"/>
  <c r="F29" i="16"/>
  <c r="E29" i="16"/>
  <c r="D29" i="16"/>
  <c r="C29" i="16"/>
  <c r="B29" i="16"/>
  <c r="G28" i="16"/>
  <c r="F28" i="16"/>
  <c r="E28" i="16"/>
  <c r="D28" i="16"/>
  <c r="C28" i="16"/>
  <c r="B28" i="16"/>
  <c r="G27" i="16"/>
  <c r="F27" i="16"/>
  <c r="E27" i="16"/>
  <c r="D27" i="16"/>
  <c r="C27" i="16"/>
  <c r="B27" i="16"/>
  <c r="G26" i="16"/>
  <c r="F26" i="16"/>
  <c r="E26" i="16"/>
  <c r="D26" i="16"/>
  <c r="C26" i="16"/>
  <c r="B26" i="16"/>
  <c r="G25" i="16"/>
  <c r="F25" i="16"/>
  <c r="E25" i="16"/>
  <c r="D25" i="16"/>
  <c r="C25" i="16"/>
  <c r="B25" i="16"/>
  <c r="G24" i="16"/>
  <c r="F24" i="16"/>
  <c r="E24" i="16"/>
  <c r="D24" i="16"/>
  <c r="C24" i="16"/>
  <c r="B24" i="16"/>
  <c r="G23" i="16"/>
  <c r="F23" i="16"/>
  <c r="E23" i="16"/>
  <c r="D23" i="16"/>
  <c r="C23" i="16"/>
  <c r="B23" i="16"/>
  <c r="G43" i="5" l="1"/>
  <c r="F43" i="5"/>
  <c r="E43" i="5"/>
  <c r="D43" i="5"/>
  <c r="C43" i="5"/>
  <c r="B43" i="5"/>
  <c r="G42" i="5"/>
  <c r="F42" i="5"/>
  <c r="E42" i="5"/>
  <c r="D42" i="5"/>
  <c r="C42" i="5"/>
  <c r="B42" i="5"/>
  <c r="G41" i="5"/>
  <c r="F41" i="5"/>
  <c r="E41" i="5"/>
  <c r="D41" i="5"/>
  <c r="C41" i="5"/>
  <c r="B41" i="5"/>
  <c r="G40" i="5"/>
  <c r="F40" i="5"/>
  <c r="E40" i="5"/>
  <c r="D40" i="5"/>
  <c r="C40" i="5"/>
  <c r="B40" i="5"/>
  <c r="G39" i="5"/>
  <c r="F39" i="5"/>
  <c r="E39" i="5"/>
  <c r="D39" i="5"/>
  <c r="C39" i="5"/>
  <c r="B39" i="5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AQ23" i="2" l="1"/>
  <c r="AK26" i="8" l="1"/>
  <c r="AI26" i="8"/>
  <c r="AH26" i="8"/>
  <c r="AG26" i="8"/>
  <c r="AF26" i="8"/>
  <c r="AE26" i="8"/>
  <c r="AD26" i="8"/>
  <c r="AC26" i="8"/>
  <c r="AB26" i="8"/>
  <c r="AA26" i="8"/>
  <c r="Z26" i="8"/>
  <c r="AP23" i="2" l="1"/>
  <c r="AO23" i="2"/>
  <c r="AN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B23" i="2" l="1"/>
  <c r="C23" i="2"/>
  <c r="D23" i="2"/>
  <c r="E23" i="2"/>
  <c r="F23" i="2"/>
  <c r="G23" i="2"/>
  <c r="H23" i="2"/>
  <c r="I23" i="2"/>
  <c r="J23" i="2"/>
  <c r="K23" i="2"/>
  <c r="L23" i="2"/>
  <c r="M23" i="2"/>
  <c r="T23" i="2" l="1"/>
  <c r="Y26" i="8" l="1"/>
  <c r="X26" i="8"/>
  <c r="W26" i="8"/>
  <c r="V26" i="8"/>
  <c r="U26" i="8"/>
  <c r="T26" i="8"/>
  <c r="S26" i="8"/>
  <c r="R26" i="8"/>
  <c r="Q26" i="8"/>
  <c r="P26" i="8"/>
  <c r="O26" i="8"/>
  <c r="N26" i="8"/>
  <c r="Y23" i="2" l="1"/>
  <c r="X23" i="2"/>
  <c r="W23" i="2"/>
  <c r="V23" i="2"/>
  <c r="U23" i="2"/>
  <c r="S23" i="2"/>
  <c r="R23" i="2"/>
  <c r="Q23" i="2"/>
  <c r="P23" i="2"/>
  <c r="O23" i="2"/>
  <c r="N23" i="2"/>
  <c r="M26" i="8" l="1"/>
  <c r="L26" i="8"/>
  <c r="K26" i="8"/>
  <c r="J26" i="8"/>
  <c r="I26" i="8"/>
  <c r="H26" i="8"/>
  <c r="G26" i="8"/>
  <c r="F26" i="8"/>
  <c r="E26" i="8"/>
  <c r="D26" i="8"/>
  <c r="C26" i="8"/>
  <c r="B26" i="8"/>
</calcChain>
</file>

<file path=xl/sharedStrings.xml><?xml version="1.0" encoding="utf-8"?>
<sst xmlns="http://schemas.openxmlformats.org/spreadsheetml/2006/main" count="306" uniqueCount="116">
  <si>
    <t xml:space="preserve"> 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</si>
  <si>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</si>
  <si>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</si>
  <si>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</si>
  <si>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</si>
  <si>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</si>
  <si>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</si>
  <si>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</si>
  <si>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</si>
  <si>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</si>
  <si>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</si>
  <si>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</si>
  <si>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</si>
  <si>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</t>
  </si>
  <si>
    <t>II</t>
  </si>
  <si>
    <t>III</t>
  </si>
  <si>
    <t>IV</t>
  </si>
  <si>
    <t>V</t>
  </si>
  <si>
    <t xml:space="preserve">VI </t>
  </si>
  <si>
    <t>VII</t>
  </si>
  <si>
    <t xml:space="preserve">VIII </t>
  </si>
  <si>
    <t>IX</t>
  </si>
  <si>
    <t xml:space="preserve">X </t>
  </si>
  <si>
    <t>XI</t>
  </si>
  <si>
    <t>XII</t>
  </si>
  <si>
    <t>VI</t>
  </si>
  <si>
    <t>VIII</t>
  </si>
  <si>
    <t>X</t>
  </si>
  <si>
    <t>Moduri de transport</t>
  </si>
  <si>
    <t>Transport maritim</t>
  </si>
  <si>
    <t>Transport feroviar</t>
  </si>
  <si>
    <t>Transport rutier</t>
  </si>
  <si>
    <t>Transport aerian</t>
  </si>
  <si>
    <t xml:space="preserve">Ţările Uniunii Europene </t>
  </si>
  <si>
    <t xml:space="preserve">Ţările CSI </t>
  </si>
  <si>
    <t xml:space="preserve">Celelalte ţări ale lumii </t>
  </si>
  <si>
    <t>România</t>
  </si>
  <si>
    <t>Germania</t>
  </si>
  <si>
    <t>Turcia</t>
  </si>
  <si>
    <t>Italia</t>
  </si>
  <si>
    <t>Polonia</t>
  </si>
  <si>
    <t>Ucraina</t>
  </si>
  <si>
    <t>Belarus</t>
  </si>
  <si>
    <t>Ungaria</t>
  </si>
  <si>
    <t>Spania</t>
  </si>
  <si>
    <t>Bulgaria</t>
  </si>
  <si>
    <t xml:space="preserve">Regatul Unit </t>
  </si>
  <si>
    <t>%</t>
  </si>
  <si>
    <t>Expedieri poştale</t>
  </si>
  <si>
    <t>Instalaţii fixe de transport</t>
  </si>
  <si>
    <t>Autopropulsie</t>
  </si>
  <si>
    <t>Ţările Uniunii Europene - total</t>
  </si>
  <si>
    <t>Ţările CSI - total</t>
  </si>
  <si>
    <t>Celelalte ţări ale lumii - total</t>
  </si>
  <si>
    <t>China</t>
  </si>
  <si>
    <t>Austria</t>
  </si>
  <si>
    <t>Perioada</t>
  </si>
  <si>
    <t>Export</t>
  </si>
  <si>
    <t>Import</t>
  </si>
  <si>
    <t>Balanţa Comercială</t>
  </si>
  <si>
    <t>În % faţă de luna precedentă</t>
  </si>
  <si>
    <t>În % faţă de luna corespunzătoare din anul precedent</t>
  </si>
  <si>
    <t>Grecia</t>
  </si>
  <si>
    <t>Federația Rusă</t>
  </si>
  <si>
    <t>Elveția</t>
  </si>
  <si>
    <t>Franța</t>
  </si>
  <si>
    <t>Cehia</t>
  </si>
  <si>
    <t>S.U.A.</t>
  </si>
  <si>
    <t>Coreea de Sud</t>
  </si>
  <si>
    <t>Cereale şi preparate pe bază de cereale</t>
  </si>
  <si>
    <t>Legume şi fructe</t>
  </si>
  <si>
    <t>Seminţe şi fructe oleaginoase</t>
  </si>
  <si>
    <t xml:space="preserve">Grăsimi şi uleiuri vegetale </t>
  </si>
  <si>
    <t>Produse medicinale şi farmaceutice</t>
  </si>
  <si>
    <t xml:space="preserve">Maşini şi aparate electrice </t>
  </si>
  <si>
    <t>Mobilă şi părţile ei</t>
  </si>
  <si>
    <t>Îmbrăcăminte şi accesorii</t>
  </si>
  <si>
    <t>Alte mărfuri</t>
  </si>
  <si>
    <t>Băuturi alcoolice şi nealcoolice</t>
  </si>
  <si>
    <t>India</t>
  </si>
  <si>
    <t>Gaz şi produse industriale obţinute din gaz</t>
  </si>
  <si>
    <t xml:space="preserve">Maşini şi aparate specializate </t>
  </si>
  <si>
    <t xml:space="preserve">Vehicule rutiere </t>
  </si>
  <si>
    <t>Liban</t>
  </si>
  <si>
    <t xml:space="preserve">Petrol şi produse petroliere </t>
  </si>
  <si>
    <t xml:space="preserve">Fire, tesături şi articole textile </t>
  </si>
  <si>
    <t xml:space="preserve">Maşini şi aparate industriale </t>
  </si>
  <si>
    <t>Portugalia</t>
  </si>
  <si>
    <t>Netherlands</t>
  </si>
  <si>
    <t>Vehicule rutiere</t>
  </si>
  <si>
    <t>Fier şi oţel</t>
  </si>
  <si>
    <t>Ianuarie-iunie 2022</t>
  </si>
  <si>
    <t>Ianuarie-iunie 2021</t>
  </si>
  <si>
    <t>Ianuarie-iunie 2020</t>
  </si>
  <si>
    <t>Ianuarie-iunie 2019</t>
  </si>
  <si>
    <t>Ianuarie-iunie 2018</t>
  </si>
  <si>
    <t>Ianuarie-iunie 2017</t>
  </si>
  <si>
    <t>Iran</t>
  </si>
  <si>
    <t>Ianuarie - iunie 2021</t>
  </si>
  <si>
    <t>Ianuarie - iunie 2022</t>
  </si>
  <si>
    <t>Japonia</t>
  </si>
  <si>
    <t>Articole prelucrate din metal</t>
  </si>
  <si>
    <r>
      <t xml:space="preserve">Figura 1. </t>
    </r>
    <r>
      <rPr>
        <b/>
        <i/>
        <sz val="9"/>
        <color theme="1"/>
        <rFont val="Arial"/>
        <family val="2"/>
      </rPr>
      <t>Evoluţia lunară a exporturilor de mărfuri,  în anii 2017-2022 (milioane dolari SUA)</t>
    </r>
  </si>
  <si>
    <r>
      <t xml:space="preserve">Figura 13. </t>
    </r>
    <r>
      <rPr>
        <b/>
        <i/>
        <sz val="9"/>
        <color indexed="8"/>
        <rFont val="Arial"/>
        <family val="2"/>
      </rPr>
      <t>Evoluţia lunară a balanţei comerciale, în anii 2017-2022 (milioane dolari SUA)</t>
    </r>
  </si>
  <si>
    <r>
      <t xml:space="preserve">Figura 12. </t>
    </r>
    <r>
      <rPr>
        <b/>
        <i/>
        <sz val="9"/>
        <color theme="1"/>
        <rFont val="Arial"/>
        <family val="2"/>
      </rPr>
      <t>Structura importurilor, pe grupe de mărfuri (%)</t>
    </r>
  </si>
  <si>
    <r>
      <t xml:space="preserve">Figura 11. </t>
    </r>
    <r>
      <rPr>
        <b/>
        <i/>
        <sz val="9"/>
        <color rgb="FF000000"/>
        <rFont val="Arial"/>
        <family val="2"/>
      </rPr>
      <t>Structura importurilor, în ianuarie-iunie 2017-2022, pe principalele ţări de origine a mărfurilor (%)</t>
    </r>
  </si>
  <si>
    <r>
      <t xml:space="preserve">    Figura 10. </t>
    </r>
    <r>
      <rPr>
        <b/>
        <i/>
        <sz val="9"/>
        <color theme="1"/>
        <rFont val="Arial"/>
        <family val="2"/>
      </rPr>
      <t>Structura importurilor de mărfuri, în ianuarie-iunie 2017-2022, pe grupe de ţări (%)</t>
    </r>
  </si>
  <si>
    <r>
      <t xml:space="preserve">Figura 9. </t>
    </r>
    <r>
      <rPr>
        <b/>
        <i/>
        <sz val="9"/>
        <color rgb="FF000000"/>
        <rFont val="Arial"/>
        <family val="2"/>
      </rPr>
      <t>Structura importurilor de mărfuri, în ianuarie-iunie 2017-2022, după modul de transport (%)</t>
    </r>
  </si>
  <si>
    <r>
      <t xml:space="preserve">Figura 8. </t>
    </r>
    <r>
      <rPr>
        <b/>
        <i/>
        <sz val="9"/>
        <color indexed="8"/>
        <rFont val="Arial"/>
        <family val="2"/>
      </rPr>
      <t>Evoluţia lunară a indicilor valorici ai importurilor de mărfuri, în anii 2020-2022 (%)</t>
    </r>
  </si>
  <si>
    <r>
      <rPr>
        <b/>
        <sz val="9"/>
        <color indexed="8"/>
        <rFont val="Arial"/>
        <family val="2"/>
      </rPr>
      <t>Figura 7.</t>
    </r>
    <r>
      <rPr>
        <b/>
        <i/>
        <sz val="9"/>
        <color indexed="8"/>
        <rFont val="Arial"/>
        <family val="2"/>
      </rPr>
      <t xml:space="preserve"> Evoluţia lunară a importurilor de mărfuri, în anii 2017-2022 (milioane dolari SUA)</t>
    </r>
  </si>
  <si>
    <r>
      <rPr>
        <b/>
        <sz val="9"/>
        <color rgb="FF000000"/>
        <rFont val="Arial"/>
        <family val="2"/>
      </rPr>
      <t>Figura 5</t>
    </r>
    <r>
      <rPr>
        <b/>
        <i/>
        <sz val="9"/>
        <color indexed="8"/>
        <rFont val="Arial"/>
        <family val="2"/>
      </rPr>
      <t>. Structura exporturilor, în ianuarie-iunie 2017-2022, pe principalele ţări de destinaţie a mărfurilor (%)</t>
    </r>
  </si>
  <si>
    <r>
      <rPr>
        <b/>
        <sz val="9"/>
        <color rgb="FF000000"/>
        <rFont val="Arial"/>
        <family val="2"/>
      </rPr>
      <t>Figura 4</t>
    </r>
    <r>
      <rPr>
        <b/>
        <i/>
        <sz val="9"/>
        <color indexed="8"/>
        <rFont val="Arial"/>
        <family val="2"/>
      </rPr>
      <t>. Structura exporturilor de mărfuri, în ianuarie-iunie 2017-2022, pe grupe de ţări (%)</t>
    </r>
  </si>
  <si>
    <r>
      <rPr>
        <b/>
        <sz val="9"/>
        <color rgb="FF000000"/>
        <rFont val="Arial"/>
        <family val="2"/>
      </rPr>
      <t>Figura 3</t>
    </r>
    <r>
      <rPr>
        <b/>
        <i/>
        <sz val="9"/>
        <color indexed="8"/>
        <rFont val="Arial"/>
        <family val="2"/>
      </rPr>
      <t>. Structura exporturilor de mărfuri, în ianuarie-iunie 2017-2022, după modul de transport (%)</t>
    </r>
  </si>
  <si>
    <r>
      <rPr>
        <b/>
        <sz val="9"/>
        <color rgb="FF000000"/>
        <rFont val="Arial"/>
        <family val="2"/>
      </rPr>
      <t>Figura 14.</t>
    </r>
    <r>
      <rPr>
        <b/>
        <i/>
        <sz val="9"/>
        <color indexed="8"/>
        <rFont val="Arial"/>
        <family val="2"/>
      </rPr>
      <t xml:space="preserve"> Tendinţele comerţului internaţional cu mărfuri, în ianuarie-iunie 2017-2022 (milioane dolari SUA)</t>
    </r>
  </si>
  <si>
    <r>
      <t xml:space="preserve">Figura 2. </t>
    </r>
    <r>
      <rPr>
        <b/>
        <i/>
        <sz val="9"/>
        <color indexed="8"/>
        <rFont val="Arial"/>
        <family val="2"/>
      </rPr>
      <t>Evoluţia lunară a indicilor valorici ai exporturilor de mărfuri, în anii 2020-2022 (%)</t>
    </r>
  </si>
  <si>
    <r>
      <rPr>
        <b/>
        <sz val="9"/>
        <color theme="1"/>
        <rFont val="Arial"/>
        <family val="2"/>
      </rPr>
      <t xml:space="preserve">Figura 6. </t>
    </r>
    <r>
      <rPr>
        <b/>
        <i/>
        <sz val="9"/>
        <color theme="1"/>
        <rFont val="Arial"/>
        <family val="2"/>
      </rPr>
      <t>Structura exporturilor, pe grupe de mărfuri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</si>
</sst>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38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color rgb="FF008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5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Border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Alignment="1" applyProtection="1"/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Fill="1" applyBorder="1" applyAlignment="1" applyProtection="1">
      <alignment horizontal="center" vertical="justify"/>
    </xf>
    <xf numFmtId="164" fontId="4" fillId="0" borderId="0" xfId="0" applyNumberFormat="1" applyFont="1" applyFill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165" fontId="4" fillId="0" borderId="6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>
      <alignment horizontal="left" wrapText="1" indent="1"/>
    </xf>
    <xf numFmtId="0" fontId="6" fillId="0" borderId="5" xfId="0" applyNumberFormat="1" applyFont="1" applyFill="1" applyBorder="1" applyAlignment="1" applyProtection="1">
      <alignment horizontal="left" wrapText="1" indent="1"/>
    </xf>
    <xf numFmtId="165" fontId="4" fillId="0" borderId="2" xfId="0" applyNumberFormat="1" applyFont="1" applyFill="1" applyBorder="1" applyAlignment="1" applyProtection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Border="1" applyAlignment="1">
      <alignment horizontal="center"/>
    </xf>
    <xf numFmtId="0" fontId="6" fillId="0" borderId="12" xfId="0" applyNumberFormat="1" applyFont="1" applyFill="1" applyBorder="1" applyAlignment="1" applyProtection="1">
      <alignment horizontal="left" wrapText="1" indent="1"/>
    </xf>
    <xf numFmtId="0" fontId="6" fillId="0" borderId="13" xfId="0" applyNumberFormat="1" applyFont="1" applyFill="1" applyBorder="1" applyAlignment="1" applyProtection="1">
      <alignment horizontal="left" wrapText="1" indent="1"/>
    </xf>
    <xf numFmtId="0" fontId="6" fillId="0" borderId="8" xfId="0" applyNumberFormat="1" applyFont="1" applyFill="1" applyBorder="1" applyAlignment="1" applyProtection="1">
      <alignment horizontal="left" wrapText="1" indent="1"/>
    </xf>
    <xf numFmtId="165" fontId="4" fillId="0" borderId="9" xfId="0" applyNumberFormat="1" applyFont="1" applyFill="1" applyBorder="1" applyAlignment="1" applyProtection="1">
      <alignment horizontal="center"/>
    </xf>
    <xf numFmtId="0" fontId="6" fillId="0" borderId="12" xfId="0" applyFont="1" applyBorder="1" applyAlignment="1">
      <alignment horizontal="left" wrapText="1" indent="1"/>
    </xf>
    <xf numFmtId="0" fontId="6" fillId="0" borderId="8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wrapText="1" inden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165" fontId="4" fillId="0" borderId="10" xfId="0" applyNumberFormat="1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left" indent="1"/>
    </xf>
    <xf numFmtId="2" fontId="3" fillId="0" borderId="5" xfId="0" applyNumberFormat="1" applyFont="1" applyBorder="1" applyAlignment="1">
      <alignment horizontal="left" indent="1"/>
    </xf>
    <xf numFmtId="2" fontId="3" fillId="0" borderId="6" xfId="0" applyNumberFormat="1" applyFont="1" applyBorder="1" applyAlignment="1">
      <alignment horizontal="left" indent="1"/>
    </xf>
    <xf numFmtId="165" fontId="2" fillId="0" borderId="0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 vertical="top" wrapText="1"/>
    </xf>
    <xf numFmtId="0" fontId="3" fillId="0" borderId="3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top"/>
    </xf>
    <xf numFmtId="165" fontId="9" fillId="0" borderId="0" xfId="0" applyNumberFormat="1" applyFont="1" applyAlignment="1">
      <alignment horizontal="center" vertical="top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Border="1" applyAlignment="1">
      <alignment horizontal="center" vertical="top"/>
    </xf>
    <xf numFmtId="164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 vertical="top"/>
    </xf>
    <xf numFmtId="164" fontId="14" fillId="0" borderId="0" xfId="0" applyNumberFormat="1" applyFont="1" applyFill="1" applyBorder="1" applyAlignment="1" applyProtection="1">
      <alignment horizontal="center" vertical="top"/>
    </xf>
    <xf numFmtId="165" fontId="14" fillId="0" borderId="0" xfId="1" applyNumberFormat="1" applyFont="1" applyFill="1" applyAlignment="1" applyProtection="1">
      <alignment horizontal="center" vertical="top"/>
    </xf>
    <xf numFmtId="164" fontId="15" fillId="0" borderId="0" xfId="0" applyNumberFormat="1" applyFont="1" applyFill="1" applyBorder="1" applyAlignment="1" applyProtection="1">
      <alignment horizontal="center" vertical="top"/>
    </xf>
    <xf numFmtId="164" fontId="12" fillId="0" borderId="0" xfId="0" applyNumberFormat="1" applyFont="1" applyFill="1" applyBorder="1" applyAlignment="1" applyProtection="1">
      <alignment horizontal="center" vertical="top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4" fillId="0" borderId="0" xfId="0" applyNumberFormat="1" applyFont="1" applyFill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2" xfId="0" applyFont="1" applyBorder="1"/>
    <xf numFmtId="166" fontId="17" fillId="0" borderId="0" xfId="0" applyNumberFormat="1" applyFont="1" applyFill="1" applyAlignment="1" applyProtection="1">
      <alignment horizontal="center" vertical="top"/>
    </xf>
    <xf numFmtId="166" fontId="17" fillId="0" borderId="0" xfId="0" applyNumberFormat="1" applyFont="1" applyFill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18" fillId="0" borderId="0" xfId="0" applyNumberFormat="1" applyFont="1" applyFill="1" applyAlignment="1" applyProtection="1">
      <alignment horizontal="center" vertical="center"/>
    </xf>
    <xf numFmtId="166" fontId="18" fillId="0" borderId="0" xfId="0" applyNumberFormat="1" applyFont="1" applyFill="1" applyAlignment="1" applyProtection="1">
      <alignment horizontal="center" vertical="center"/>
    </xf>
    <xf numFmtId="38" fontId="4" fillId="0" borderId="3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vertical="top"/>
    </xf>
    <xf numFmtId="0" fontId="5" fillId="0" borderId="7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38" fontId="4" fillId="0" borderId="0" xfId="0" applyNumberFormat="1" applyFont="1" applyFill="1" applyAlignment="1" applyProtection="1">
      <alignment horizontal="left" vertical="top" wrapText="1"/>
    </xf>
    <xf numFmtId="38" fontId="4" fillId="0" borderId="0" xfId="0" applyNumberFormat="1" applyFont="1" applyFill="1" applyAlignment="1" applyProtection="1">
      <alignment horizontal="left" vertical="top" wrapText="1" indent="1"/>
    </xf>
    <xf numFmtId="38" fontId="4" fillId="0" borderId="0" xfId="0" applyNumberFormat="1" applyFont="1" applyFill="1" applyBorder="1" applyAlignment="1" applyProtection="1">
      <alignment horizontal="left" vertical="top" wrapText="1" indent="1"/>
    </xf>
    <xf numFmtId="38" fontId="4" fillId="0" borderId="3" xfId="0" applyNumberFormat="1" applyFont="1" applyFill="1" applyBorder="1" applyAlignment="1" applyProtection="1">
      <alignment horizontal="left" vertical="top" wrapText="1" indent="1"/>
    </xf>
    <xf numFmtId="165" fontId="4" fillId="0" borderId="10" xfId="0" applyNumberFormat="1" applyFont="1" applyBorder="1" applyAlignment="1">
      <alignment horizontal="center"/>
    </xf>
    <xf numFmtId="165" fontId="4" fillId="0" borderId="2" xfId="0" applyNumberFormat="1" applyFont="1" applyFill="1" applyBorder="1" applyAlignment="1" applyProtection="1">
      <alignment horizontal="center" wrapText="1"/>
    </xf>
    <xf numFmtId="165" fontId="2" fillId="0" borderId="8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38" fontId="6" fillId="0" borderId="2" xfId="0" applyNumberFormat="1" applyFont="1" applyBorder="1" applyAlignment="1">
      <alignment horizontal="left" vertical="top" wrapText="1" indent="1"/>
    </xf>
    <xf numFmtId="165" fontId="4" fillId="0" borderId="2" xfId="0" applyNumberFormat="1" applyFont="1" applyBorder="1" applyAlignment="1">
      <alignment horizontal="center" vertical="top"/>
    </xf>
    <xf numFmtId="165" fontId="4" fillId="0" borderId="4" xfId="0" applyNumberFormat="1" applyFont="1" applyBorder="1" applyAlignment="1">
      <alignment horizontal="center" vertical="top"/>
    </xf>
    <xf numFmtId="38" fontId="6" fillId="0" borderId="0" xfId="0" applyNumberFormat="1" applyFont="1" applyBorder="1" applyAlignment="1">
      <alignment horizontal="left" vertical="top" wrapText="1" indent="1"/>
    </xf>
    <xf numFmtId="165" fontId="4" fillId="0" borderId="0" xfId="0" applyNumberFormat="1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38" fontId="6" fillId="0" borderId="3" xfId="0" applyNumberFormat="1" applyFont="1" applyBorder="1" applyAlignment="1">
      <alignment horizontal="left" vertical="top" wrapText="1" indent="1"/>
    </xf>
    <xf numFmtId="165" fontId="4" fillId="0" borderId="3" xfId="0" applyNumberFormat="1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164" fontId="2" fillId="0" borderId="12" xfId="0" applyNumberFormat="1" applyFont="1" applyBorder="1" applyAlignment="1">
      <alignment horizontal="center" vertical="top"/>
    </xf>
    <xf numFmtId="164" fontId="2" fillId="0" borderId="13" xfId="0" applyNumberFormat="1" applyFont="1" applyBorder="1" applyAlignment="1">
      <alignment horizontal="center" vertical="top"/>
    </xf>
    <xf numFmtId="165" fontId="4" fillId="0" borderId="8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38" fontId="4" fillId="0" borderId="12" xfId="0" applyNumberFormat="1" applyFont="1" applyFill="1" applyBorder="1" applyAlignment="1" applyProtection="1">
      <alignment horizontal="left" vertical="top" wrapText="1"/>
    </xf>
    <xf numFmtId="38" fontId="4" fillId="0" borderId="13" xfId="0" applyNumberFormat="1" applyFont="1" applyFill="1" applyBorder="1" applyAlignment="1" applyProtection="1">
      <alignment horizontal="left" vertical="top" wrapText="1"/>
    </xf>
    <xf numFmtId="0" fontId="2" fillId="0" borderId="5" xfId="0" applyFont="1" applyBorder="1" applyAlignment="1">
      <alignment vertical="center" wrapText="1"/>
    </xf>
    <xf numFmtId="38" fontId="4" fillId="0" borderId="8" xfId="0" applyNumberFormat="1" applyFont="1" applyFill="1" applyBorder="1" applyAlignment="1" applyProtection="1">
      <alignment horizontal="left" vertical="top" wrapText="1"/>
    </xf>
    <xf numFmtId="164" fontId="2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 wrapText="1"/>
    </xf>
    <xf numFmtId="164" fontId="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/>
    <xf numFmtId="0" fontId="24" fillId="0" borderId="0" xfId="0" applyFont="1"/>
    <xf numFmtId="0" fontId="26" fillId="0" borderId="0" xfId="0" applyFont="1"/>
    <xf numFmtId="0" fontId="2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/>
    <xf numFmtId="0" fontId="2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04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04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04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8345347676611E-2"/>
          <c:y val="8.2707060720548939E-2"/>
          <c:w val="0.95241654652323382"/>
          <c:h val="0.7093322975883620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'Figura 1'!$B$20</c:f>
              <c:strCache>
                <c:ptCount val="1"/>
                <c:pt idx="0">
                  <c:v>Ianuarie</c:v>
                </c:pt>
              </c:strCache>
            </c:strRef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1'!$B$21:$B$26</c:f>
              <c:numCache>
                <c:formatCode>#,##0.0</c:formatCode>
                <c:ptCount val="6"/>
                <c:pt idx="0">
                  <c:v>139.5</c:v>
                </c:pt>
                <c:pt idx="1">
                  <c:v>220.3</c:v>
                </c:pt>
                <c:pt idx="2">
                  <c:v>234.3</c:v>
                </c:pt>
                <c:pt idx="3">
                  <c:v>219.5</c:v>
                </c:pt>
                <c:pt idx="4">
                  <c:v>198.4</c:v>
                </c:pt>
                <c:pt idx="5">
                  <c:v>330.4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20-4AA7-9226-374D1498C729}"/>
            </c:ext>
          </c:extLst>
        </c:ser>
        <c:ser>
          <c:idx val="3"/>
          <c:order val="1"/>
          <c:tx>
            <c:strRef>
              <c:f>'Figura 1'!$C$20</c:f>
              <c:strCache>
                <c:ptCount val="1"/>
                <c:pt idx="0">
                  <c:v>Februarie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1'!$C$21:$C$26</c:f>
              <c:numCache>
                <c:formatCode>#,##0.0</c:formatCode>
                <c:ptCount val="6"/>
                <c:pt idx="0">
                  <c:v>176.6</c:v>
                </c:pt>
                <c:pt idx="1">
                  <c:v>215.5</c:v>
                </c:pt>
                <c:pt idx="2">
                  <c:v>241.4</c:v>
                </c:pt>
                <c:pt idx="3">
                  <c:v>245.3</c:v>
                </c:pt>
                <c:pt idx="4">
                  <c:v>227</c:v>
                </c:pt>
                <c:pt idx="5">
                  <c:v>336.5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20-4AA7-9226-374D1498C729}"/>
            </c:ext>
          </c:extLst>
        </c:ser>
        <c:ser>
          <c:idx val="4"/>
          <c:order val="2"/>
          <c:tx>
            <c:strRef>
              <c:f>'Figura 1'!$D$20</c:f>
              <c:strCache>
                <c:ptCount val="1"/>
                <c:pt idx="0">
                  <c:v>Martie</c:v>
                </c:pt>
              </c:strCache>
            </c:strRef>
          </c:tx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1'!$D$21:$D$26</c:f>
              <c:numCache>
                <c:formatCode>#,##0.0</c:formatCode>
                <c:ptCount val="6"/>
                <c:pt idx="0">
                  <c:v>212.1</c:v>
                </c:pt>
                <c:pt idx="1">
                  <c:v>242.1</c:v>
                </c:pt>
                <c:pt idx="2">
                  <c:v>257.2</c:v>
                </c:pt>
                <c:pt idx="3">
                  <c:v>210.2</c:v>
                </c:pt>
                <c:pt idx="4">
                  <c:v>259.3</c:v>
                </c:pt>
                <c:pt idx="5">
                  <c:v>395.8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20-4AA7-9226-374D1498C729}"/>
            </c:ext>
          </c:extLst>
        </c:ser>
        <c:ser>
          <c:idx val="5"/>
          <c:order val="3"/>
          <c:tx>
            <c:strRef>
              <c:f>'Figura 1'!$E$20</c:f>
              <c:strCache>
                <c:ptCount val="1"/>
                <c:pt idx="0">
                  <c:v>Aprilie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1'!$E$21:$E$26</c:f>
              <c:numCache>
                <c:formatCode>#,##0.0</c:formatCode>
                <c:ptCount val="6"/>
                <c:pt idx="0">
                  <c:v>154.19999999999999</c:v>
                </c:pt>
                <c:pt idx="1">
                  <c:v>199.7</c:v>
                </c:pt>
                <c:pt idx="2">
                  <c:v>215.6</c:v>
                </c:pt>
                <c:pt idx="3">
                  <c:v>149.80000000000001</c:v>
                </c:pt>
                <c:pt idx="4">
                  <c:v>218.2</c:v>
                </c:pt>
                <c:pt idx="5">
                  <c:v>396.3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20-4AA7-9226-374D1498C729}"/>
            </c:ext>
          </c:extLst>
        </c:ser>
        <c:ser>
          <c:idx val="6"/>
          <c:order val="4"/>
          <c:tx>
            <c:strRef>
              <c:f>'Figura 1'!$F$20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1'!$F$21:$F$26</c:f>
              <c:numCache>
                <c:formatCode>#,##0.0</c:formatCode>
                <c:ptCount val="6"/>
                <c:pt idx="0">
                  <c:v>174.7</c:v>
                </c:pt>
                <c:pt idx="1">
                  <c:v>223</c:v>
                </c:pt>
                <c:pt idx="2">
                  <c:v>210.5</c:v>
                </c:pt>
                <c:pt idx="3">
                  <c:v>155.69999999999999</c:v>
                </c:pt>
                <c:pt idx="4">
                  <c:v>201.7</c:v>
                </c:pt>
                <c:pt idx="5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20-4AA7-9226-374D1498C729}"/>
            </c:ext>
          </c:extLst>
        </c:ser>
        <c:ser>
          <c:idx val="7"/>
          <c:order val="5"/>
          <c:tx>
            <c:strRef>
              <c:f>'Figura 1'!$G$20</c:f>
              <c:strCache>
                <c:ptCount val="1"/>
                <c:pt idx="0">
                  <c:v>Iunie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1'!$G$21:$G$26</c:f>
              <c:numCache>
                <c:formatCode>#,##0.0</c:formatCode>
                <c:ptCount val="6"/>
                <c:pt idx="0">
                  <c:v>171.1</c:v>
                </c:pt>
                <c:pt idx="1">
                  <c:v>214.1</c:v>
                </c:pt>
                <c:pt idx="2">
                  <c:v>202.2</c:v>
                </c:pt>
                <c:pt idx="3">
                  <c:v>189.6</c:v>
                </c:pt>
                <c:pt idx="4">
                  <c:v>226.8</c:v>
                </c:pt>
                <c:pt idx="5">
                  <c:v>415.4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20-4AA7-9226-374D1498C729}"/>
            </c:ext>
          </c:extLst>
        </c:ser>
        <c:ser>
          <c:idx val="8"/>
          <c:order val="6"/>
          <c:tx>
            <c:strRef>
              <c:f>'Figura 1'!$H$20</c:f>
              <c:strCache>
                <c:ptCount val="1"/>
                <c:pt idx="0">
                  <c:v>Iulie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1'!$H$21:$H$26</c:f>
              <c:numCache>
                <c:formatCode>#,##0.0</c:formatCode>
                <c:ptCount val="6"/>
                <c:pt idx="0">
                  <c:v>191.6</c:v>
                </c:pt>
                <c:pt idx="1">
                  <c:v>218.8</c:v>
                </c:pt>
                <c:pt idx="2">
                  <c:v>220.2</c:v>
                </c:pt>
                <c:pt idx="3">
                  <c:v>191.1</c:v>
                </c:pt>
                <c:pt idx="4">
                  <c:v>240.7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20-4AA7-9226-374D1498C729}"/>
            </c:ext>
          </c:extLst>
        </c:ser>
        <c:ser>
          <c:idx val="9"/>
          <c:order val="7"/>
          <c:tx>
            <c:strRef>
              <c:f>'Figura 1'!$I$20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1'!$I$21:$I$26</c:f>
              <c:numCache>
                <c:formatCode>#,##0.0</c:formatCode>
                <c:ptCount val="6"/>
                <c:pt idx="0">
                  <c:v>207.9</c:v>
                </c:pt>
                <c:pt idx="1">
                  <c:v>218.6</c:v>
                </c:pt>
                <c:pt idx="2">
                  <c:v>205.8</c:v>
                </c:pt>
                <c:pt idx="3">
                  <c:v>163.9</c:v>
                </c:pt>
                <c:pt idx="4">
                  <c:v>236.3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20-4AA7-9226-374D1498C729}"/>
            </c:ext>
          </c:extLst>
        </c:ser>
        <c:ser>
          <c:idx val="10"/>
          <c:order val="8"/>
          <c:tx>
            <c:strRef>
              <c:f>'Figura 1'!$J$20</c:f>
              <c:strCache>
                <c:ptCount val="1"/>
                <c:pt idx="0">
                  <c:v>Septembrie</c:v>
                </c:pt>
              </c:strCache>
            </c:strRef>
          </c:tx>
          <c:spPr>
            <a:solidFill>
              <a:schemeClr val="accent1">
                <a:shade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1'!$J$21:$J$26</c:f>
              <c:numCache>
                <c:formatCode>#,##0.0</c:formatCode>
                <c:ptCount val="6"/>
                <c:pt idx="0">
                  <c:v>223.9</c:v>
                </c:pt>
                <c:pt idx="1">
                  <c:v>207.3</c:v>
                </c:pt>
                <c:pt idx="2">
                  <c:v>238.8</c:v>
                </c:pt>
                <c:pt idx="3">
                  <c:v>212.3</c:v>
                </c:pt>
                <c:pt idx="4">
                  <c:v>294.89999999999998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20-4AA7-9226-374D1498C729}"/>
            </c:ext>
          </c:extLst>
        </c:ser>
        <c:ser>
          <c:idx val="11"/>
          <c:order val="9"/>
          <c:tx>
            <c:strRef>
              <c:f>'Figura 1'!$K$20</c:f>
              <c:strCache>
                <c:ptCount val="1"/>
                <c:pt idx="0">
                  <c:v>Octombrie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1'!$K$21:$K$26</c:f>
              <c:numCache>
                <c:formatCode>#,##0.0</c:formatCode>
                <c:ptCount val="6"/>
                <c:pt idx="0">
                  <c:v>268.2</c:v>
                </c:pt>
                <c:pt idx="1">
                  <c:v>259</c:v>
                </c:pt>
                <c:pt idx="2">
                  <c:v>268.3</c:v>
                </c:pt>
                <c:pt idx="3">
                  <c:v>249.4</c:v>
                </c:pt>
                <c:pt idx="4">
                  <c:v>352.2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20-4AA7-9226-374D1498C729}"/>
            </c:ext>
          </c:extLst>
        </c:ser>
        <c:ser>
          <c:idx val="12"/>
          <c:order val="10"/>
          <c:tx>
            <c:strRef>
              <c:f>'Figura 1'!$L$20</c:f>
              <c:strCache>
                <c:ptCount val="1"/>
                <c:pt idx="0">
                  <c:v>Noiembrie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1'!$L$21:$L$26</c:f>
              <c:numCache>
                <c:formatCode>#,##0.0</c:formatCode>
                <c:ptCount val="6"/>
                <c:pt idx="0">
                  <c:v>272.10000000000002</c:v>
                </c:pt>
                <c:pt idx="1">
                  <c:v>268.89999999999998</c:v>
                </c:pt>
                <c:pt idx="2">
                  <c:v>266.60000000000002</c:v>
                </c:pt>
                <c:pt idx="3">
                  <c:v>262</c:v>
                </c:pt>
                <c:pt idx="4">
                  <c:v>363.9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6-4ABF-AE3A-BDB053FBE632}"/>
            </c:ext>
          </c:extLst>
        </c:ser>
        <c:ser>
          <c:idx val="0"/>
          <c:order val="11"/>
          <c:tx>
            <c:strRef>
              <c:f>'Figura 1'!$M$20</c:f>
              <c:strCache>
                <c:ptCount val="1"/>
                <c:pt idx="0">
                  <c:v>Decembrie</c:v>
                </c:pt>
              </c:strCache>
            </c:strRef>
          </c:tx>
          <c:spPr>
            <a:solidFill>
              <a:schemeClr val="accent1">
                <a:tint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1'!$A$21:$A$26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1'!$M$21:$M$26</c:f>
              <c:numCache>
                <c:formatCode>#,##0.0</c:formatCode>
                <c:ptCount val="6"/>
                <c:pt idx="0">
                  <c:v>233.1</c:v>
                </c:pt>
                <c:pt idx="1">
                  <c:v>218.8</c:v>
                </c:pt>
                <c:pt idx="2">
                  <c:v>218.3</c:v>
                </c:pt>
                <c:pt idx="3">
                  <c:v>218.3</c:v>
                </c:pt>
                <c:pt idx="4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6-4ABF-AE3A-BDB053FBE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4834544"/>
        <c:axId val="244835104"/>
      </c:barChart>
      <c:catAx>
        <c:axId val="24483454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4835104"/>
        <c:crosses val="autoZero"/>
        <c:auto val="0"/>
        <c:lblAlgn val="ctr"/>
        <c:lblOffset val="100"/>
        <c:tickLblSkip val="1"/>
        <c:noMultiLvlLbl val="0"/>
      </c:catAx>
      <c:valAx>
        <c:axId val="244835104"/>
        <c:scaling>
          <c:orientation val="minMax"/>
          <c:max val="45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483454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"/>
          <c:y val="0.91116886173981615"/>
          <c:w val="1"/>
          <c:h val="8.8762873250709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27925104308713"/>
          <c:y val="3.3573141486810551E-2"/>
          <c:w val="0.76752146427628698"/>
          <c:h val="0.76213761254526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9'!$B$24</c:f>
              <c:strCache>
                <c:ptCount val="1"/>
                <c:pt idx="0">
                  <c:v>Ianuarie-iunie 2022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9'!$A$25:$A$31</c:f>
              <c:strCache>
                <c:ptCount val="7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  <c:pt idx="5">
                  <c:v>Instalaţii fixe de transport</c:v>
                </c:pt>
                <c:pt idx="6">
                  <c:v>Autopropulsie</c:v>
                </c:pt>
              </c:strCache>
            </c:strRef>
          </c:cat>
          <c:val>
            <c:numRef>
              <c:f>'Figura 9'!$B$25:$B$31</c:f>
              <c:numCache>
                <c:formatCode>General</c:formatCode>
                <c:ptCount val="7"/>
                <c:pt idx="0">
                  <c:v>6.8</c:v>
                </c:pt>
                <c:pt idx="1">
                  <c:v>4.9000000000000004</c:v>
                </c:pt>
                <c:pt idx="2">
                  <c:v>76.5</c:v>
                </c:pt>
                <c:pt idx="3">
                  <c:v>1.6</c:v>
                </c:pt>
                <c:pt idx="4">
                  <c:v>0.1</c:v>
                </c:pt>
                <c:pt idx="5">
                  <c:v>9.6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4-4901-8F26-F774DF753091}"/>
            </c:ext>
          </c:extLst>
        </c:ser>
        <c:ser>
          <c:idx val="1"/>
          <c:order val="1"/>
          <c:tx>
            <c:strRef>
              <c:f>'Figura 9'!$C$24</c:f>
              <c:strCache>
                <c:ptCount val="1"/>
                <c:pt idx="0">
                  <c:v>Ianuarie-iunie 2021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9'!$A$25:$A$31</c:f>
              <c:strCache>
                <c:ptCount val="7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  <c:pt idx="5">
                  <c:v>Instalaţii fixe de transport</c:v>
                </c:pt>
                <c:pt idx="6">
                  <c:v>Autopropulsie</c:v>
                </c:pt>
              </c:strCache>
            </c:strRef>
          </c:cat>
          <c:val>
            <c:numRef>
              <c:f>'Figura 9'!$C$25:$C$31</c:f>
              <c:numCache>
                <c:formatCode>General</c:formatCode>
                <c:ptCount val="7"/>
                <c:pt idx="0">
                  <c:v>1.9</c:v>
                </c:pt>
                <c:pt idx="1">
                  <c:v>4.7</c:v>
                </c:pt>
                <c:pt idx="2">
                  <c:v>86.6</c:v>
                </c:pt>
                <c:pt idx="3">
                  <c:v>2.4</c:v>
                </c:pt>
                <c:pt idx="4">
                  <c:v>0.2</c:v>
                </c:pt>
                <c:pt idx="5">
                  <c:v>3.6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54-4901-8F26-F774DF753091}"/>
            </c:ext>
          </c:extLst>
        </c:ser>
        <c:ser>
          <c:idx val="2"/>
          <c:order val="2"/>
          <c:tx>
            <c:strRef>
              <c:f>'Figura 9'!$D$24</c:f>
              <c:strCache>
                <c:ptCount val="1"/>
                <c:pt idx="0">
                  <c:v>Ianuarie-iunie 2020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9'!$A$25:$A$31</c:f>
              <c:strCache>
                <c:ptCount val="7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  <c:pt idx="5">
                  <c:v>Instalaţii fixe de transport</c:v>
                </c:pt>
                <c:pt idx="6">
                  <c:v>Autopropulsie</c:v>
                </c:pt>
              </c:strCache>
            </c:strRef>
          </c:cat>
          <c:val>
            <c:numRef>
              <c:f>'Figura 9'!$D$25:$D$31</c:f>
              <c:numCache>
                <c:formatCode>0.0</c:formatCode>
                <c:ptCount val="7"/>
                <c:pt idx="0">
                  <c:v>1.7</c:v>
                </c:pt>
                <c:pt idx="1">
                  <c:v>4</c:v>
                </c:pt>
                <c:pt idx="2">
                  <c:v>86.6</c:v>
                </c:pt>
                <c:pt idx="3">
                  <c:v>2.4</c:v>
                </c:pt>
                <c:pt idx="4">
                  <c:v>0.2</c:v>
                </c:pt>
                <c:pt idx="5">
                  <c:v>4.7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54-4901-8F26-F774DF753091}"/>
            </c:ext>
          </c:extLst>
        </c:ser>
        <c:ser>
          <c:idx val="3"/>
          <c:order val="3"/>
          <c:tx>
            <c:strRef>
              <c:f>'Figura 9'!$E$24</c:f>
              <c:strCache>
                <c:ptCount val="1"/>
                <c:pt idx="0">
                  <c:v>Ianuarie-iunie 2019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9'!$A$25:$A$31</c:f>
              <c:strCache>
                <c:ptCount val="7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  <c:pt idx="5">
                  <c:v>Instalaţii fixe de transport</c:v>
                </c:pt>
                <c:pt idx="6">
                  <c:v>Autopropulsie</c:v>
                </c:pt>
              </c:strCache>
            </c:strRef>
          </c:cat>
          <c:val>
            <c:numRef>
              <c:f>'Figura 9'!$E$25:$E$31</c:f>
              <c:numCache>
                <c:formatCode>0.0</c:formatCode>
                <c:ptCount val="7"/>
                <c:pt idx="0">
                  <c:v>2.1</c:v>
                </c:pt>
                <c:pt idx="1">
                  <c:v>4.5999999999999996</c:v>
                </c:pt>
                <c:pt idx="2">
                  <c:v>83.8</c:v>
                </c:pt>
                <c:pt idx="3">
                  <c:v>2.6</c:v>
                </c:pt>
                <c:pt idx="4">
                  <c:v>0.2</c:v>
                </c:pt>
                <c:pt idx="5">
                  <c:v>6</c:v>
                </c:pt>
                <c:pt idx="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54-4901-8F26-F774DF753091}"/>
            </c:ext>
          </c:extLst>
        </c:ser>
        <c:ser>
          <c:idx val="4"/>
          <c:order val="4"/>
          <c:tx>
            <c:strRef>
              <c:f>'Figura 9'!$F$24</c:f>
              <c:strCache>
                <c:ptCount val="1"/>
                <c:pt idx="0">
                  <c:v>Ianuarie-iunie 2018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9'!$A$25:$A$31</c:f>
              <c:strCache>
                <c:ptCount val="7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  <c:pt idx="5">
                  <c:v>Instalaţii fixe de transport</c:v>
                </c:pt>
                <c:pt idx="6">
                  <c:v>Autopropulsie</c:v>
                </c:pt>
              </c:strCache>
            </c:strRef>
          </c:cat>
          <c:val>
            <c:numRef>
              <c:f>'Figura 9'!$F$25:$F$31</c:f>
              <c:numCache>
                <c:formatCode>General</c:formatCode>
                <c:ptCount val="7"/>
                <c:pt idx="0">
                  <c:v>2.7</c:v>
                </c:pt>
                <c:pt idx="1">
                  <c:v>5.2</c:v>
                </c:pt>
                <c:pt idx="2">
                  <c:v>83.4</c:v>
                </c:pt>
                <c:pt idx="3">
                  <c:v>2.6</c:v>
                </c:pt>
                <c:pt idx="4">
                  <c:v>0.3</c:v>
                </c:pt>
                <c:pt idx="5">
                  <c:v>5.2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54-4901-8F26-F774DF753091}"/>
            </c:ext>
          </c:extLst>
        </c:ser>
        <c:ser>
          <c:idx val="5"/>
          <c:order val="5"/>
          <c:tx>
            <c:strRef>
              <c:f>'Figura 9'!$G$24</c:f>
              <c:strCache>
                <c:ptCount val="1"/>
                <c:pt idx="0">
                  <c:v>Ianuarie-iunie 2017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9'!$A$25:$A$31</c:f>
              <c:strCache>
                <c:ptCount val="7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  <c:pt idx="5">
                  <c:v>Instalaţii fixe de transport</c:v>
                </c:pt>
                <c:pt idx="6">
                  <c:v>Autopropulsie</c:v>
                </c:pt>
              </c:strCache>
            </c:strRef>
          </c:cat>
          <c:val>
            <c:numRef>
              <c:f>'Figura 9'!$G$25:$G$31</c:f>
              <c:numCache>
                <c:formatCode>0.0</c:formatCode>
                <c:ptCount val="7"/>
                <c:pt idx="0">
                  <c:v>2.4</c:v>
                </c:pt>
                <c:pt idx="1">
                  <c:v>5.5</c:v>
                </c:pt>
                <c:pt idx="2">
                  <c:v>82.8</c:v>
                </c:pt>
                <c:pt idx="3">
                  <c:v>2.7</c:v>
                </c:pt>
                <c:pt idx="4">
                  <c:v>0.3</c:v>
                </c:pt>
                <c:pt idx="5">
                  <c:v>5.7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54-4901-8F26-F774DF753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8075968"/>
        <c:axId val="248076528"/>
      </c:barChart>
      <c:catAx>
        <c:axId val="24807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8076528"/>
        <c:crossesAt val="0"/>
        <c:auto val="1"/>
        <c:lblAlgn val="ctr"/>
        <c:lblOffset val="100"/>
        <c:noMultiLvlLbl val="0"/>
      </c:catAx>
      <c:valAx>
        <c:axId val="2480765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8075968"/>
        <c:crosses val="autoZero"/>
        <c:crossBetween val="between"/>
        <c:minorUnit val="1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5703599550056244"/>
          <c:y val="0.91065882587461389"/>
          <c:w val="0.82029692916493668"/>
          <c:h val="8.7722780633128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69977473288278E-2"/>
          <c:y val="6.8484183803067242E-2"/>
          <c:w val="0.93986930373860744"/>
          <c:h val="0.67220755678921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10'!$A$23</c:f>
              <c:strCache>
                <c:ptCount val="1"/>
                <c:pt idx="0">
                  <c:v>Ţările Uniunii Europene - total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10'!$B$22:$G$22</c:f>
              <c:strCache>
                <c:ptCount val="6"/>
                <c:pt idx="0">
                  <c:v>Ianuarie-iunie 2017</c:v>
                </c:pt>
                <c:pt idx="1">
                  <c:v>Ianuarie-iunie 2018</c:v>
                </c:pt>
                <c:pt idx="2">
                  <c:v>Ianuarie-iunie 2019</c:v>
                </c:pt>
                <c:pt idx="3">
                  <c:v>Ianuarie-iunie 2020</c:v>
                </c:pt>
                <c:pt idx="4">
                  <c:v>Ianuarie-iunie 2021</c:v>
                </c:pt>
                <c:pt idx="5">
                  <c:v>Ianuarie-iunie 2022</c:v>
                </c:pt>
              </c:strCache>
            </c:strRef>
          </c:cat>
          <c:val>
            <c:numRef>
              <c:f>'Figura 10'!$B$23:$G$23</c:f>
              <c:numCache>
                <c:formatCode>#,##0.0</c:formatCode>
                <c:ptCount val="6"/>
                <c:pt idx="0" formatCode="General">
                  <c:v>47.9</c:v>
                </c:pt>
                <c:pt idx="1">
                  <c:v>49.951250053103649</c:v>
                </c:pt>
                <c:pt idx="2" formatCode="0.0">
                  <c:v>49</c:v>
                </c:pt>
                <c:pt idx="3" formatCode="General">
                  <c:v>46.7</c:v>
                </c:pt>
                <c:pt idx="4">
                  <c:v>47.408245079844427</c:v>
                </c:pt>
                <c:pt idx="5" formatCode="General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9-4350-AC6F-7B3B9B8C79B6}"/>
            </c:ext>
          </c:extLst>
        </c:ser>
        <c:ser>
          <c:idx val="1"/>
          <c:order val="1"/>
          <c:tx>
            <c:strRef>
              <c:f>'Figura 10'!$A$24</c:f>
              <c:strCache>
                <c:ptCount val="1"/>
                <c:pt idx="0">
                  <c:v>Ţările CSI -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10'!$B$22:$G$22</c:f>
              <c:strCache>
                <c:ptCount val="6"/>
                <c:pt idx="0">
                  <c:v>Ianuarie-iunie 2017</c:v>
                </c:pt>
                <c:pt idx="1">
                  <c:v>Ianuarie-iunie 2018</c:v>
                </c:pt>
                <c:pt idx="2">
                  <c:v>Ianuarie-iunie 2019</c:v>
                </c:pt>
                <c:pt idx="3">
                  <c:v>Ianuarie-iunie 2020</c:v>
                </c:pt>
                <c:pt idx="4">
                  <c:v>Ianuarie-iunie 2021</c:v>
                </c:pt>
                <c:pt idx="5">
                  <c:v>Ianuarie-iunie 2022</c:v>
                </c:pt>
              </c:strCache>
            </c:strRef>
          </c:cat>
          <c:val>
            <c:numRef>
              <c:f>'Figura 10'!$B$24:$G$24</c:f>
              <c:numCache>
                <c:formatCode>#,##0.0</c:formatCode>
                <c:ptCount val="6"/>
                <c:pt idx="0" formatCode="General">
                  <c:v>24.9</c:v>
                </c:pt>
                <c:pt idx="1">
                  <c:v>23.30852645041497</c:v>
                </c:pt>
                <c:pt idx="2" formatCode="0.0">
                  <c:v>24.8</c:v>
                </c:pt>
                <c:pt idx="3" formatCode="General">
                  <c:v>24.5</c:v>
                </c:pt>
                <c:pt idx="4">
                  <c:v>22.737004197404222</c:v>
                </c:pt>
                <c:pt idx="5" formatCode="General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9-4350-AC6F-7B3B9B8C79B6}"/>
            </c:ext>
          </c:extLst>
        </c:ser>
        <c:ser>
          <c:idx val="2"/>
          <c:order val="2"/>
          <c:tx>
            <c:strRef>
              <c:f>'Figura 10'!$A$25</c:f>
              <c:strCache>
                <c:ptCount val="1"/>
                <c:pt idx="0">
                  <c:v>Celelalte ţări ale lumii - total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10'!$B$22:$G$22</c:f>
              <c:strCache>
                <c:ptCount val="6"/>
                <c:pt idx="0">
                  <c:v>Ianuarie-iunie 2017</c:v>
                </c:pt>
                <c:pt idx="1">
                  <c:v>Ianuarie-iunie 2018</c:v>
                </c:pt>
                <c:pt idx="2">
                  <c:v>Ianuarie-iunie 2019</c:v>
                </c:pt>
                <c:pt idx="3">
                  <c:v>Ianuarie-iunie 2020</c:v>
                </c:pt>
                <c:pt idx="4">
                  <c:v>Ianuarie-iunie 2021</c:v>
                </c:pt>
                <c:pt idx="5">
                  <c:v>Ianuarie-iunie 2022</c:v>
                </c:pt>
              </c:strCache>
            </c:strRef>
          </c:cat>
          <c:val>
            <c:numRef>
              <c:f>'Figura 10'!$B$25:$G$25</c:f>
              <c:numCache>
                <c:formatCode>#,##0.0</c:formatCode>
                <c:ptCount val="6"/>
                <c:pt idx="0" formatCode="General">
                  <c:v>27.2</c:v>
                </c:pt>
                <c:pt idx="1">
                  <c:v>26.740223496481381</c:v>
                </c:pt>
                <c:pt idx="2" formatCode="0.0">
                  <c:v>26.2</c:v>
                </c:pt>
                <c:pt idx="3" formatCode="General">
                  <c:v>28.8</c:v>
                </c:pt>
                <c:pt idx="4">
                  <c:v>29.854750722751337</c:v>
                </c:pt>
                <c:pt idx="5" formatCode="General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9-4350-AC6F-7B3B9B8C7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8552080"/>
        <c:axId val="248552640"/>
      </c:barChart>
      <c:catAx>
        <c:axId val="24855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8552640"/>
        <c:crosses val="autoZero"/>
        <c:auto val="0"/>
        <c:lblAlgn val="ctr"/>
        <c:lblOffset val="100"/>
        <c:noMultiLvlLbl val="0"/>
      </c:catAx>
      <c:valAx>
        <c:axId val="248552640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855208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3.7397860259691489E-2"/>
          <c:y val="0.91097538763219799"/>
          <c:w val="0.93105796047794498"/>
          <c:h val="8.5815523059617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68505608773423E-2"/>
          <c:y val="3.3602647495150066E-2"/>
          <c:w val="0.91068898658274244"/>
          <c:h val="0.62402253075440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11'!$B$22</c:f>
              <c:strCache>
                <c:ptCount val="1"/>
                <c:pt idx="0">
                  <c:v>Ianuarie-iunie 2017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11'!$A$23:$A$43</c:f>
              <c:strCache>
                <c:ptCount val="21"/>
                <c:pt idx="0">
                  <c:v>România</c:v>
                </c:pt>
                <c:pt idx="1">
                  <c:v>Federația Rusă</c:v>
                </c:pt>
                <c:pt idx="2">
                  <c:v>China</c:v>
                </c:pt>
                <c:pt idx="3">
                  <c:v>Ucraina</c:v>
                </c:pt>
                <c:pt idx="4">
                  <c:v>Turcia</c:v>
                </c:pt>
                <c:pt idx="5">
                  <c:v>Germania</c:v>
                </c:pt>
                <c:pt idx="6">
                  <c:v>Italia</c:v>
                </c:pt>
                <c:pt idx="7">
                  <c:v>Polonia</c:v>
                </c:pt>
                <c:pt idx="8">
                  <c:v>India</c:v>
                </c:pt>
                <c:pt idx="9">
                  <c:v>Franța</c:v>
                </c:pt>
                <c:pt idx="10">
                  <c:v>Ungaria</c:v>
                </c:pt>
                <c:pt idx="11">
                  <c:v>S.U.A.</c:v>
                </c:pt>
                <c:pt idx="12">
                  <c:v>Cehia</c:v>
                </c:pt>
                <c:pt idx="13">
                  <c:v>Bulgaria</c:v>
                </c:pt>
                <c:pt idx="14">
                  <c:v>Belarus</c:v>
                </c:pt>
                <c:pt idx="15">
                  <c:v>Spania</c:v>
                </c:pt>
                <c:pt idx="16">
                  <c:v>Netherlands</c:v>
                </c:pt>
                <c:pt idx="17">
                  <c:v>Austria</c:v>
                </c:pt>
                <c:pt idx="18">
                  <c:v>Regatul Unit </c:v>
                </c:pt>
                <c:pt idx="19">
                  <c:v>Coreea de Sud</c:v>
                </c:pt>
                <c:pt idx="20">
                  <c:v>Japonia</c:v>
                </c:pt>
              </c:strCache>
            </c:strRef>
          </c:cat>
          <c:val>
            <c:numRef>
              <c:f>'Figura 11'!$B$23:$B$43</c:f>
              <c:numCache>
                <c:formatCode>#,##0.0</c:formatCode>
                <c:ptCount val="21"/>
                <c:pt idx="0">
                  <c:v>13.763718071486581</c:v>
                </c:pt>
                <c:pt idx="1">
                  <c:v>11.989181719043007</c:v>
                </c:pt>
                <c:pt idx="2">
                  <c:v>10.064544419845738</c:v>
                </c:pt>
                <c:pt idx="3">
                  <c:v>10.299361369830111</c:v>
                </c:pt>
                <c:pt idx="4">
                  <c:v>6.693977419025507</c:v>
                </c:pt>
                <c:pt idx="5">
                  <c:v>7.9669295282208088</c:v>
                </c:pt>
                <c:pt idx="6">
                  <c:v>7.1257720251236805</c:v>
                </c:pt>
                <c:pt idx="7">
                  <c:v>3.2011011968797116</c:v>
                </c:pt>
                <c:pt idx="8">
                  <c:v>0.64372336693242471</c:v>
                </c:pt>
                <c:pt idx="9">
                  <c:v>2.7080227118435434</c:v>
                </c:pt>
                <c:pt idx="10">
                  <c:v>2.0716870632954851</c:v>
                </c:pt>
                <c:pt idx="11">
                  <c:v>1.8206175970616849</c:v>
                </c:pt>
                <c:pt idx="12">
                  <c:v>1.3567316725058562</c:v>
                </c:pt>
                <c:pt idx="13">
                  <c:v>1.4613878272086551</c:v>
                </c:pt>
                <c:pt idx="14">
                  <c:v>2.4435634550605525</c:v>
                </c:pt>
                <c:pt idx="15">
                  <c:v>1.3474546765948141</c:v>
                </c:pt>
                <c:pt idx="16">
                  <c:v>1.0320667591608896</c:v>
                </c:pt>
                <c:pt idx="17">
                  <c:v>1.6304604506604081</c:v>
                </c:pt>
                <c:pt idx="18">
                  <c:v>1.299646359979117</c:v>
                </c:pt>
                <c:pt idx="19">
                  <c:v>0.51354768950122154</c:v>
                </c:pt>
                <c:pt idx="20">
                  <c:v>0.70179937431315154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D-4027-9176-5A5FABFE2538}"/>
            </c:ext>
          </c:extLst>
        </c:ser>
        <c:ser>
          <c:idx val="1"/>
          <c:order val="1"/>
          <c:tx>
            <c:strRef>
              <c:f>'Figura 11'!$C$22</c:f>
              <c:strCache>
                <c:ptCount val="1"/>
                <c:pt idx="0">
                  <c:v>Ianuarie-iunie 2018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11'!$A$23:$A$43</c:f>
              <c:strCache>
                <c:ptCount val="21"/>
                <c:pt idx="0">
                  <c:v>România</c:v>
                </c:pt>
                <c:pt idx="1">
                  <c:v>Federația Rusă</c:v>
                </c:pt>
                <c:pt idx="2">
                  <c:v>China</c:v>
                </c:pt>
                <c:pt idx="3">
                  <c:v>Ucraina</c:v>
                </c:pt>
                <c:pt idx="4">
                  <c:v>Turcia</c:v>
                </c:pt>
                <c:pt idx="5">
                  <c:v>Germania</c:v>
                </c:pt>
                <c:pt idx="6">
                  <c:v>Italia</c:v>
                </c:pt>
                <c:pt idx="7">
                  <c:v>Polonia</c:v>
                </c:pt>
                <c:pt idx="8">
                  <c:v>India</c:v>
                </c:pt>
                <c:pt idx="9">
                  <c:v>Franța</c:v>
                </c:pt>
                <c:pt idx="10">
                  <c:v>Ungaria</c:v>
                </c:pt>
                <c:pt idx="11">
                  <c:v>S.U.A.</c:v>
                </c:pt>
                <c:pt idx="12">
                  <c:v>Cehia</c:v>
                </c:pt>
                <c:pt idx="13">
                  <c:v>Bulgaria</c:v>
                </c:pt>
                <c:pt idx="14">
                  <c:v>Belarus</c:v>
                </c:pt>
                <c:pt idx="15">
                  <c:v>Spania</c:v>
                </c:pt>
                <c:pt idx="16">
                  <c:v>Netherlands</c:v>
                </c:pt>
                <c:pt idx="17">
                  <c:v>Austria</c:v>
                </c:pt>
                <c:pt idx="18">
                  <c:v>Regatul Unit </c:v>
                </c:pt>
                <c:pt idx="19">
                  <c:v>Coreea de Sud</c:v>
                </c:pt>
                <c:pt idx="20">
                  <c:v>Japonia</c:v>
                </c:pt>
              </c:strCache>
            </c:strRef>
          </c:cat>
          <c:val>
            <c:numRef>
              <c:f>'Figura 11'!$C$23:$C$43</c:f>
              <c:numCache>
                <c:formatCode>#,##0.0</c:formatCode>
                <c:ptCount val="21"/>
                <c:pt idx="0">
                  <c:v>14.139015355680339</c:v>
                </c:pt>
                <c:pt idx="1">
                  <c:v>11.83065665513511</c:v>
                </c:pt>
                <c:pt idx="2">
                  <c:v>10.443558450436951</c:v>
                </c:pt>
                <c:pt idx="3">
                  <c:v>9.3518282270953801</c:v>
                </c:pt>
                <c:pt idx="4">
                  <c:v>5.8988937145565741</c:v>
                </c:pt>
                <c:pt idx="5">
                  <c:v>8.6277816200444715</c:v>
                </c:pt>
                <c:pt idx="6">
                  <c:v>7.156083138053301</c:v>
                </c:pt>
                <c:pt idx="7">
                  <c:v>3.5166946934202516</c:v>
                </c:pt>
                <c:pt idx="8">
                  <c:v>0.53510309382486876</c:v>
                </c:pt>
                <c:pt idx="9">
                  <c:v>2.7956147749851934</c:v>
                </c:pt>
                <c:pt idx="10">
                  <c:v>2.2487419514763651</c:v>
                </c:pt>
                <c:pt idx="11">
                  <c:v>1.3807398614042621</c:v>
                </c:pt>
                <c:pt idx="12">
                  <c:v>1.4788027466060283</c:v>
                </c:pt>
                <c:pt idx="13">
                  <c:v>1.2061991017453999</c:v>
                </c:pt>
                <c:pt idx="14">
                  <c:v>1.8258268112910636</c:v>
                </c:pt>
                <c:pt idx="15">
                  <c:v>1.4618325411043904</c:v>
                </c:pt>
                <c:pt idx="16">
                  <c:v>1.1200906480578525</c:v>
                </c:pt>
                <c:pt idx="17">
                  <c:v>2.0344731166272028</c:v>
                </c:pt>
                <c:pt idx="18">
                  <c:v>1.0805138159356096</c:v>
                </c:pt>
                <c:pt idx="19">
                  <c:v>0.639244059024342</c:v>
                </c:pt>
                <c:pt idx="20">
                  <c:v>1.0304864250454961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D-4027-9176-5A5FABFE2538}"/>
            </c:ext>
          </c:extLst>
        </c:ser>
        <c:ser>
          <c:idx val="2"/>
          <c:order val="2"/>
          <c:tx>
            <c:strRef>
              <c:f>'Figura 11'!$D$22</c:f>
              <c:strCache>
                <c:ptCount val="1"/>
                <c:pt idx="0">
                  <c:v>Ianuarie-iunie 2019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11'!$A$23:$A$43</c:f>
              <c:strCache>
                <c:ptCount val="21"/>
                <c:pt idx="0">
                  <c:v>România</c:v>
                </c:pt>
                <c:pt idx="1">
                  <c:v>Federația Rusă</c:v>
                </c:pt>
                <c:pt idx="2">
                  <c:v>China</c:v>
                </c:pt>
                <c:pt idx="3">
                  <c:v>Ucraina</c:v>
                </c:pt>
                <c:pt idx="4">
                  <c:v>Turcia</c:v>
                </c:pt>
                <c:pt idx="5">
                  <c:v>Germania</c:v>
                </c:pt>
                <c:pt idx="6">
                  <c:v>Italia</c:v>
                </c:pt>
                <c:pt idx="7">
                  <c:v>Polonia</c:v>
                </c:pt>
                <c:pt idx="8">
                  <c:v>India</c:v>
                </c:pt>
                <c:pt idx="9">
                  <c:v>Franța</c:v>
                </c:pt>
                <c:pt idx="10">
                  <c:v>Ungaria</c:v>
                </c:pt>
                <c:pt idx="11">
                  <c:v>S.U.A.</c:v>
                </c:pt>
                <c:pt idx="12">
                  <c:v>Cehia</c:v>
                </c:pt>
                <c:pt idx="13">
                  <c:v>Bulgaria</c:v>
                </c:pt>
                <c:pt idx="14">
                  <c:v>Belarus</c:v>
                </c:pt>
                <c:pt idx="15">
                  <c:v>Spania</c:v>
                </c:pt>
                <c:pt idx="16">
                  <c:v>Netherlands</c:v>
                </c:pt>
                <c:pt idx="17">
                  <c:v>Austria</c:v>
                </c:pt>
                <c:pt idx="18">
                  <c:v>Regatul Unit </c:v>
                </c:pt>
                <c:pt idx="19">
                  <c:v>Coreea de Sud</c:v>
                </c:pt>
                <c:pt idx="20">
                  <c:v>Japonia</c:v>
                </c:pt>
              </c:strCache>
            </c:strRef>
          </c:cat>
          <c:val>
            <c:numRef>
              <c:f>'Figura 11'!$D$23:$D$43</c:f>
              <c:numCache>
                <c:formatCode>#,##0.0</c:formatCode>
                <c:ptCount val="21"/>
                <c:pt idx="0">
                  <c:v>14.198556170110946</c:v>
                </c:pt>
                <c:pt idx="1">
                  <c:v>12.436527185618736</c:v>
                </c:pt>
                <c:pt idx="2">
                  <c:v>9.89707503286437</c:v>
                </c:pt>
                <c:pt idx="3">
                  <c:v>9.6977678108540779</c:v>
                </c:pt>
                <c:pt idx="4">
                  <c:v>6.4704781380766878</c:v>
                </c:pt>
                <c:pt idx="5">
                  <c:v>8.4760774473974543</c:v>
                </c:pt>
                <c:pt idx="6">
                  <c:v>7.1469719616262601</c:v>
                </c:pt>
                <c:pt idx="7">
                  <c:v>3.3462200572891363</c:v>
                </c:pt>
                <c:pt idx="8">
                  <c:v>0.64949592925857758</c:v>
                </c:pt>
                <c:pt idx="9">
                  <c:v>2.7215256142856434</c:v>
                </c:pt>
                <c:pt idx="10">
                  <c:v>2.0337658563855014</c:v>
                </c:pt>
                <c:pt idx="11">
                  <c:v>1.2795590994507835</c:v>
                </c:pt>
                <c:pt idx="12">
                  <c:v>1.9129447282554433</c:v>
                </c:pt>
                <c:pt idx="13">
                  <c:v>0.83936822687135648</c:v>
                </c:pt>
                <c:pt idx="14">
                  <c:v>2.2577749920432999</c:v>
                </c:pt>
                <c:pt idx="15">
                  <c:v>1.4690843881570459</c:v>
                </c:pt>
                <c:pt idx="16">
                  <c:v>1.0596006789405017</c:v>
                </c:pt>
                <c:pt idx="17">
                  <c:v>1.6750335914339369</c:v>
                </c:pt>
                <c:pt idx="18">
                  <c:v>0.98084319461756941</c:v>
                </c:pt>
                <c:pt idx="19">
                  <c:v>0.58372059024270651</c:v>
                </c:pt>
                <c:pt idx="20">
                  <c:v>0.80963721819061651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D-4027-9176-5A5FABFE2538}"/>
            </c:ext>
          </c:extLst>
        </c:ser>
        <c:ser>
          <c:idx val="3"/>
          <c:order val="3"/>
          <c:tx>
            <c:strRef>
              <c:f>'Figura 11'!$E$22</c:f>
              <c:strCache>
                <c:ptCount val="1"/>
                <c:pt idx="0">
                  <c:v>Ianuarie-iunie 2020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11'!$A$23:$A$43</c:f>
              <c:strCache>
                <c:ptCount val="21"/>
                <c:pt idx="0">
                  <c:v>România</c:v>
                </c:pt>
                <c:pt idx="1">
                  <c:v>Federația Rusă</c:v>
                </c:pt>
                <c:pt idx="2">
                  <c:v>China</c:v>
                </c:pt>
                <c:pt idx="3">
                  <c:v>Ucraina</c:v>
                </c:pt>
                <c:pt idx="4">
                  <c:v>Turcia</c:v>
                </c:pt>
                <c:pt idx="5">
                  <c:v>Germania</c:v>
                </c:pt>
                <c:pt idx="6">
                  <c:v>Italia</c:v>
                </c:pt>
                <c:pt idx="7">
                  <c:v>Polonia</c:v>
                </c:pt>
                <c:pt idx="8">
                  <c:v>India</c:v>
                </c:pt>
                <c:pt idx="9">
                  <c:v>Franța</c:v>
                </c:pt>
                <c:pt idx="10">
                  <c:v>Ungaria</c:v>
                </c:pt>
                <c:pt idx="11">
                  <c:v>S.U.A.</c:v>
                </c:pt>
                <c:pt idx="12">
                  <c:v>Cehia</c:v>
                </c:pt>
                <c:pt idx="13">
                  <c:v>Bulgaria</c:v>
                </c:pt>
                <c:pt idx="14">
                  <c:v>Belarus</c:v>
                </c:pt>
                <c:pt idx="15">
                  <c:v>Spania</c:v>
                </c:pt>
                <c:pt idx="16">
                  <c:v>Netherlands</c:v>
                </c:pt>
                <c:pt idx="17">
                  <c:v>Austria</c:v>
                </c:pt>
                <c:pt idx="18">
                  <c:v>Regatul Unit </c:v>
                </c:pt>
                <c:pt idx="19">
                  <c:v>Coreea de Sud</c:v>
                </c:pt>
                <c:pt idx="20">
                  <c:v>Japonia</c:v>
                </c:pt>
              </c:strCache>
            </c:strRef>
          </c:cat>
          <c:val>
            <c:numRef>
              <c:f>'Figura 11'!$E$23:$E$43</c:f>
              <c:numCache>
                <c:formatCode>#,##0.0</c:formatCode>
                <c:ptCount val="21"/>
                <c:pt idx="0">
                  <c:v>12.284593693949148</c:v>
                </c:pt>
                <c:pt idx="1">
                  <c:v>12.352346322381507</c:v>
                </c:pt>
                <c:pt idx="2">
                  <c:v>10.970096423960381</c:v>
                </c:pt>
                <c:pt idx="3">
                  <c:v>9.5531514722986</c:v>
                </c:pt>
                <c:pt idx="4">
                  <c:v>6.8274689599240208</c:v>
                </c:pt>
                <c:pt idx="5">
                  <c:v>8.2657867568872092</c:v>
                </c:pt>
                <c:pt idx="6">
                  <c:v>6.7186773363658556</c:v>
                </c:pt>
                <c:pt idx="7">
                  <c:v>3.889265969837076</c:v>
                </c:pt>
                <c:pt idx="8">
                  <c:v>0.70843337370759929</c:v>
                </c:pt>
                <c:pt idx="9">
                  <c:v>2.7593556075558738</c:v>
                </c:pt>
                <c:pt idx="10">
                  <c:v>2.0287704560190756</c:v>
                </c:pt>
                <c:pt idx="11">
                  <c:v>1.3601023154989453</c:v>
                </c:pt>
                <c:pt idx="12">
                  <c:v>1.6151330739543053</c:v>
                </c:pt>
                <c:pt idx="13">
                  <c:v>1.079046561528336</c:v>
                </c:pt>
                <c:pt idx="14">
                  <c:v>1.9520536772587735</c:v>
                </c:pt>
                <c:pt idx="15">
                  <c:v>1.5336452926234876</c:v>
                </c:pt>
                <c:pt idx="16">
                  <c:v>1.1010509348117929</c:v>
                </c:pt>
                <c:pt idx="17">
                  <c:v>1.1486096652064359</c:v>
                </c:pt>
                <c:pt idx="18">
                  <c:v>0.98669712064317527</c:v>
                </c:pt>
                <c:pt idx="19">
                  <c:v>0.76866353369337781</c:v>
                </c:pt>
                <c:pt idx="20">
                  <c:v>1.0104631075504817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5D-4027-9176-5A5FABFE2538}"/>
            </c:ext>
          </c:extLst>
        </c:ser>
        <c:ser>
          <c:idx val="4"/>
          <c:order val="4"/>
          <c:tx>
            <c:strRef>
              <c:f>'Figura 11'!$F$22</c:f>
              <c:strCache>
                <c:ptCount val="1"/>
                <c:pt idx="0">
                  <c:v>Ianuarie-iunie 2021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11'!$A$23:$A$43</c:f>
              <c:strCache>
                <c:ptCount val="21"/>
                <c:pt idx="0">
                  <c:v>România</c:v>
                </c:pt>
                <c:pt idx="1">
                  <c:v>Federația Rusă</c:v>
                </c:pt>
                <c:pt idx="2">
                  <c:v>China</c:v>
                </c:pt>
                <c:pt idx="3">
                  <c:v>Ucraina</c:v>
                </c:pt>
                <c:pt idx="4">
                  <c:v>Turcia</c:v>
                </c:pt>
                <c:pt idx="5">
                  <c:v>Germania</c:v>
                </c:pt>
                <c:pt idx="6">
                  <c:v>Italia</c:v>
                </c:pt>
                <c:pt idx="7">
                  <c:v>Polonia</c:v>
                </c:pt>
                <c:pt idx="8">
                  <c:v>India</c:v>
                </c:pt>
                <c:pt idx="9">
                  <c:v>Franța</c:v>
                </c:pt>
                <c:pt idx="10">
                  <c:v>Ungaria</c:v>
                </c:pt>
                <c:pt idx="11">
                  <c:v>S.U.A.</c:v>
                </c:pt>
                <c:pt idx="12">
                  <c:v>Cehia</c:v>
                </c:pt>
                <c:pt idx="13">
                  <c:v>Bulgaria</c:v>
                </c:pt>
                <c:pt idx="14">
                  <c:v>Belarus</c:v>
                </c:pt>
                <c:pt idx="15">
                  <c:v>Spania</c:v>
                </c:pt>
                <c:pt idx="16">
                  <c:v>Netherlands</c:v>
                </c:pt>
                <c:pt idx="17">
                  <c:v>Austria</c:v>
                </c:pt>
                <c:pt idx="18">
                  <c:v>Regatul Unit </c:v>
                </c:pt>
                <c:pt idx="19">
                  <c:v>Coreea de Sud</c:v>
                </c:pt>
                <c:pt idx="20">
                  <c:v>Japonia</c:v>
                </c:pt>
              </c:strCache>
            </c:strRef>
          </c:cat>
          <c:val>
            <c:numRef>
              <c:f>'Figura 11'!$F$23:$F$43</c:f>
              <c:numCache>
                <c:formatCode>#,##0.0</c:formatCode>
                <c:ptCount val="21"/>
                <c:pt idx="0">
                  <c:v>12.859368660082863</c:v>
                </c:pt>
                <c:pt idx="1">
                  <c:v>11.486881629579432</c:v>
                </c:pt>
                <c:pt idx="2">
                  <c:v>11.775738363078379</c:v>
                </c:pt>
                <c:pt idx="3">
                  <c:v>9.030433136022129</c:v>
                </c:pt>
                <c:pt idx="4">
                  <c:v>7.1790047343363623</c:v>
                </c:pt>
                <c:pt idx="5">
                  <c:v>8.3236366800708872</c:v>
                </c:pt>
                <c:pt idx="6">
                  <c:v>6.7367613022904811</c:v>
                </c:pt>
                <c:pt idx="7">
                  <c:v>3.8124334624362497</c:v>
                </c:pt>
                <c:pt idx="8">
                  <c:v>0.67543172292189779</c:v>
                </c:pt>
                <c:pt idx="9">
                  <c:v>2.6475204691625942</c:v>
                </c:pt>
                <c:pt idx="10">
                  <c:v>1.9544178122964015</c:v>
                </c:pt>
                <c:pt idx="11">
                  <c:v>1.6296335099430563</c:v>
                </c:pt>
                <c:pt idx="12">
                  <c:v>1.7119031834608409</c:v>
                </c:pt>
                <c:pt idx="13">
                  <c:v>1.1354130342220654</c:v>
                </c:pt>
                <c:pt idx="14">
                  <c:v>1.7825116741559546</c:v>
                </c:pt>
                <c:pt idx="15">
                  <c:v>1.4077742857815614</c:v>
                </c:pt>
                <c:pt idx="16">
                  <c:v>1.0904066720598138</c:v>
                </c:pt>
                <c:pt idx="17">
                  <c:v>1.5010298101699615</c:v>
                </c:pt>
                <c:pt idx="18">
                  <c:v>0.94829635100370202</c:v>
                </c:pt>
                <c:pt idx="19">
                  <c:v>0.66228393941249197</c:v>
                </c:pt>
                <c:pt idx="20">
                  <c:v>0.973966471044032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D-4027-9176-5A5FABFE2538}"/>
            </c:ext>
          </c:extLst>
        </c:ser>
        <c:ser>
          <c:idx val="5"/>
          <c:order val="5"/>
          <c:tx>
            <c:strRef>
              <c:f>'Figura 11'!$G$22</c:f>
              <c:strCache>
                <c:ptCount val="1"/>
                <c:pt idx="0">
                  <c:v>Ianuarie-iunie 2022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11'!$A$23:$A$43</c:f>
              <c:strCache>
                <c:ptCount val="21"/>
                <c:pt idx="0">
                  <c:v>România</c:v>
                </c:pt>
                <c:pt idx="1">
                  <c:v>Federația Rusă</c:v>
                </c:pt>
                <c:pt idx="2">
                  <c:v>China</c:v>
                </c:pt>
                <c:pt idx="3">
                  <c:v>Ucraina</c:v>
                </c:pt>
                <c:pt idx="4">
                  <c:v>Turcia</c:v>
                </c:pt>
                <c:pt idx="5">
                  <c:v>Germania</c:v>
                </c:pt>
                <c:pt idx="6">
                  <c:v>Italia</c:v>
                </c:pt>
                <c:pt idx="7">
                  <c:v>Polonia</c:v>
                </c:pt>
                <c:pt idx="8">
                  <c:v>India</c:v>
                </c:pt>
                <c:pt idx="9">
                  <c:v>Franța</c:v>
                </c:pt>
                <c:pt idx="10">
                  <c:v>Ungaria</c:v>
                </c:pt>
                <c:pt idx="11">
                  <c:v>S.U.A.</c:v>
                </c:pt>
                <c:pt idx="12">
                  <c:v>Cehia</c:v>
                </c:pt>
                <c:pt idx="13">
                  <c:v>Bulgaria</c:v>
                </c:pt>
                <c:pt idx="14">
                  <c:v>Belarus</c:v>
                </c:pt>
                <c:pt idx="15">
                  <c:v>Spania</c:v>
                </c:pt>
                <c:pt idx="16">
                  <c:v>Netherlands</c:v>
                </c:pt>
                <c:pt idx="17">
                  <c:v>Austria</c:v>
                </c:pt>
                <c:pt idx="18">
                  <c:v>Regatul Unit </c:v>
                </c:pt>
                <c:pt idx="19">
                  <c:v>Coreea de Sud</c:v>
                </c:pt>
                <c:pt idx="20">
                  <c:v>Japonia</c:v>
                </c:pt>
              </c:strCache>
            </c:strRef>
          </c:cat>
          <c:val>
            <c:numRef>
              <c:f>'Figura 11'!$G$23:$G$43</c:f>
              <c:numCache>
                <c:formatCode>#,##0.0</c:formatCode>
                <c:ptCount val="21"/>
                <c:pt idx="0">
                  <c:v>16.161037482492475</c:v>
                </c:pt>
                <c:pt idx="1">
                  <c:v>15.266299699645216</c:v>
                </c:pt>
                <c:pt idx="2">
                  <c:v>9.4239882071727088</c:v>
                </c:pt>
                <c:pt idx="3">
                  <c:v>9.1174022490837103</c:v>
                </c:pt>
                <c:pt idx="4">
                  <c:v>7.0909000838433229</c:v>
                </c:pt>
                <c:pt idx="5">
                  <c:v>6.618752401426728</c:v>
                </c:pt>
                <c:pt idx="6">
                  <c:v>5.2508162975150814</c:v>
                </c:pt>
                <c:pt idx="7">
                  <c:v>3.3380740690315553</c:v>
                </c:pt>
                <c:pt idx="8">
                  <c:v>2.5870878412154661</c:v>
                </c:pt>
                <c:pt idx="9">
                  <c:v>2.367884742808958</c:v>
                </c:pt>
                <c:pt idx="10">
                  <c:v>2.1300703630900477</c:v>
                </c:pt>
                <c:pt idx="11">
                  <c:v>1.6159672415502868</c:v>
                </c:pt>
                <c:pt idx="12">
                  <c:v>1.4829499999991613</c:v>
                </c:pt>
                <c:pt idx="13">
                  <c:v>1.452824319900019</c:v>
                </c:pt>
                <c:pt idx="14">
                  <c:v>1.2657467483576186</c:v>
                </c:pt>
                <c:pt idx="15">
                  <c:v>1.2521014351927497</c:v>
                </c:pt>
                <c:pt idx="16">
                  <c:v>1.0151222500560735</c:v>
                </c:pt>
                <c:pt idx="17">
                  <c:v>0.9394370928388398</c:v>
                </c:pt>
                <c:pt idx="18">
                  <c:v>0.83269505362258589</c:v>
                </c:pt>
                <c:pt idx="19">
                  <c:v>0.70925626645012652</c:v>
                </c:pt>
                <c:pt idx="20">
                  <c:v>0.66294095148086529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5D-4027-9176-5A5FABFE2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8629776"/>
        <c:axId val="248630336"/>
      </c:barChart>
      <c:catAx>
        <c:axId val="24862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8630336"/>
        <c:crosses val="autoZero"/>
        <c:auto val="1"/>
        <c:lblAlgn val="ctr"/>
        <c:lblOffset val="100"/>
        <c:noMultiLvlLbl val="0"/>
      </c:catAx>
      <c:valAx>
        <c:axId val="24863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8629776"/>
        <c:crosses val="autoZero"/>
        <c:crossBetween val="between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"/>
          <c:y val="0.90757910550459586"/>
          <c:w val="0.99832789915345088"/>
          <c:h val="9.048044299340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1" baseline="0">
                <a:solidFill>
                  <a:sysClr val="windowText" lastClr="000000"/>
                </a:solidFill>
              </a:rPr>
              <a:t>Ianuarie-</a:t>
            </a:r>
            <a:r>
              <a:rPr lang="ro-RO" sz="800" b="1" baseline="0">
                <a:solidFill>
                  <a:sysClr val="windowText" lastClr="000000"/>
                </a:solidFill>
              </a:rPr>
              <a:t>iunie</a:t>
            </a:r>
            <a:r>
              <a:rPr lang="en-US" sz="800" b="1" baseline="0">
                <a:solidFill>
                  <a:sysClr val="windowText" lastClr="000000"/>
                </a:solidFill>
              </a:rPr>
              <a:t>  2021</a:t>
            </a:r>
          </a:p>
        </c:rich>
      </c:tx>
      <c:layout>
        <c:manualLayout>
          <c:xMode val="edge"/>
          <c:yMode val="edge"/>
          <c:x val="0.33090265356174742"/>
          <c:y val="1.486787602877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934465480216228"/>
          <c:y val="0.23413635579289613"/>
          <c:w val="0.53320872274143305"/>
          <c:h val="0.59637630662020902"/>
        </c:manualLayout>
      </c:layout>
      <c:pieChart>
        <c:varyColors val="1"/>
        <c:ser>
          <c:idx val="0"/>
          <c:order val="0"/>
          <c:tx>
            <c:strRef>
              <c:f>'Figura 12'!$B$24</c:f>
              <c:strCache>
                <c:ptCount val="1"/>
                <c:pt idx="0">
                  <c:v>%</c:v>
                </c:pt>
              </c:strCache>
            </c:strRef>
          </c:tx>
          <c:spPr>
            <a:effectLst>
              <a:outerShdw sx="1000" sy="1000" algn="ctr" rotWithShape="0">
                <a:schemeClr val="bg1"/>
              </a:outerShdw>
            </a:effectLst>
          </c:spPr>
          <c:dPt>
            <c:idx val="0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631-4CA1-BC5D-E5ED86221948}"/>
              </c:ext>
            </c:extLst>
          </c:dPt>
          <c:dPt>
            <c:idx val="1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631-4CA1-BC5D-E5ED86221948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631-4CA1-BC5D-E5ED86221948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631-4CA1-BC5D-E5ED86221948}"/>
              </c:ext>
            </c:extLst>
          </c:dPt>
          <c:dPt>
            <c:idx val="4"/>
            <c:bubble3D val="0"/>
            <c:spPr>
              <a:solidFill>
                <a:schemeClr val="accent1">
                  <a:tint val="89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631-4CA1-BC5D-E5ED86221948}"/>
              </c:ext>
            </c:extLst>
          </c:dPt>
          <c:dPt>
            <c:idx val="5"/>
            <c:bubble3D val="0"/>
            <c:spPr>
              <a:solidFill>
                <a:schemeClr val="accent1">
                  <a:shade val="88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631-4CA1-BC5D-E5ED86221948}"/>
              </c:ext>
            </c:extLst>
          </c:dPt>
          <c:dPt>
            <c:idx val="6"/>
            <c:bubble3D val="0"/>
            <c:spPr>
              <a:solidFill>
                <a:schemeClr val="accent1">
                  <a:tint val="89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631-4CA1-BC5D-E5ED86221948}"/>
              </c:ext>
            </c:extLst>
          </c:dPt>
          <c:dPt>
            <c:idx val="7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631-4CA1-BC5D-E5ED86221948}"/>
              </c:ext>
            </c:extLst>
          </c:dPt>
          <c:dPt>
            <c:idx val="8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EF1-414D-94DA-30AF092260C4}"/>
              </c:ext>
            </c:extLst>
          </c:dPt>
          <c:dPt>
            <c:idx val="9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EF1-414D-94DA-30AF092260C4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0EF1-414D-94DA-30AF092260C4}"/>
              </c:ext>
            </c:extLst>
          </c:dPt>
          <c:dPt>
            <c:idx val="1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>
                <a:outerShdw sx="1000" sy="1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A78A-4588-BE1A-3F21F157C1F5}"/>
              </c:ext>
            </c:extLst>
          </c:dPt>
          <c:dLbls>
            <c:dLbl>
              <c:idx val="0"/>
              <c:layout>
                <c:manualLayout>
                  <c:x val="-0.14519881736094464"/>
                  <c:y val="1.5484790064958694E-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9186904915574"/>
                      <c:h val="0.155988200589970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631-4CA1-BC5D-E5ED86221948}"/>
                </c:ext>
              </c:extLst>
            </c:dLbl>
            <c:dLbl>
              <c:idx val="1"/>
              <c:layout>
                <c:manualLayout>
                  <c:x val="-7.8063889554789254E-2"/>
                  <c:y val="3.93329152440015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1670569867289"/>
                      <c:h val="0.155988200589970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631-4CA1-BC5D-E5ED86221948}"/>
                </c:ext>
              </c:extLst>
            </c:dLbl>
            <c:dLbl>
              <c:idx val="2"/>
              <c:layout>
                <c:manualLayout>
                  <c:x val="3.747072599531615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31-4CA1-BC5D-E5ED86221948}"/>
                </c:ext>
              </c:extLst>
            </c:dLbl>
            <c:dLbl>
              <c:idx val="3"/>
              <c:layout>
                <c:manualLayout>
                  <c:x val="-1.873536299765808E-2"/>
                  <c:y val="-2.55655432451474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2396565183451"/>
                      <c:h val="0.150521140609636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631-4CA1-BC5D-E5ED86221948}"/>
                </c:ext>
              </c:extLst>
            </c:dLbl>
            <c:dLbl>
              <c:idx val="4"/>
              <c:layout>
                <c:manualLayout>
                  <c:x val="1.873536299765808E-2"/>
                  <c:y val="-2.1632251720747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81120802522635"/>
                      <c:h val="0.13162257372695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631-4CA1-BC5D-E5ED86221948}"/>
                </c:ext>
              </c:extLst>
            </c:dLbl>
            <c:dLbl>
              <c:idx val="5"/>
              <c:layout>
                <c:manualLayout>
                  <c:x val="6.2451209992193599E-3"/>
                  <c:y val="7.866273352999017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31-4CA1-BC5D-E5ED86221948}"/>
                </c:ext>
              </c:extLst>
            </c:dLbl>
            <c:dLbl>
              <c:idx val="6"/>
              <c:layout>
                <c:manualLayout>
                  <c:x val="1.56128024980484E-2"/>
                  <c:y val="6.29301868239921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31-4CA1-BC5D-E5ED86221948}"/>
                </c:ext>
              </c:extLst>
            </c:dLbl>
            <c:dLbl>
              <c:idx val="7"/>
              <c:layout>
                <c:manualLayout>
                  <c:x val="-5.9328649492583922E-2"/>
                  <c:y val="2.753195673549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31-4CA1-BC5D-E5ED86221948}"/>
                </c:ext>
              </c:extLst>
            </c:dLbl>
            <c:dLbl>
              <c:idx val="8"/>
              <c:layout>
                <c:manualLayout>
                  <c:x val="-0.1249024199843872"/>
                  <c:y val="3.93313667649950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F1-414D-94DA-30AF092260C4}"/>
                </c:ext>
              </c:extLst>
            </c:dLbl>
            <c:dLbl>
              <c:idx val="9"/>
              <c:layout>
                <c:manualLayout>
                  <c:x val="-0.18735362997658081"/>
                  <c:y val="1.9665683382497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47306791569087"/>
                      <c:h val="0.134215037279632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0EF1-414D-94DA-30AF092260C4}"/>
                </c:ext>
              </c:extLst>
            </c:dLbl>
            <c:dLbl>
              <c:idx val="10"/>
              <c:layout>
                <c:manualLayout>
                  <c:x val="-0.23419203747072603"/>
                  <c:y val="-5.8997050147492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EF1-414D-94DA-30AF092260C4}"/>
                </c:ext>
              </c:extLst>
            </c:dLbl>
            <c:dLbl>
              <c:idx val="11"/>
              <c:layout>
                <c:manualLayout>
                  <c:x val="2.3419203747072601E-2"/>
                  <c:y val="-4.12979351032449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59184815012876"/>
                      <c:h val="0.166253687315634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78A-4588-BE1A-3F21F157C1F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'Figura 12'!$A$25:$A$36</c:f>
              <c:strCache>
                <c:ptCount val="12"/>
                <c:pt idx="0">
                  <c:v>Petrol şi produse petroliere </c:v>
                </c:pt>
                <c:pt idx="1">
                  <c:v>Gaz şi produse industriale obţinute din gaz</c:v>
                </c:pt>
                <c:pt idx="2">
                  <c:v>Maşini şi aparate electrice </c:v>
                </c:pt>
                <c:pt idx="3">
                  <c:v>Vehicule rutiere </c:v>
                </c:pt>
                <c:pt idx="4">
                  <c:v>Fire, tesături şi articole textile </c:v>
                </c:pt>
                <c:pt idx="5">
                  <c:v>Maşini şi aparate specializate </c:v>
                </c:pt>
                <c:pt idx="6">
                  <c:v>Produse medicinale şi farmaceutice</c:v>
                </c:pt>
                <c:pt idx="7">
                  <c:v>Maşini şi aparate industriale </c:v>
                </c:pt>
                <c:pt idx="8">
                  <c:v>Legume şi fructe</c:v>
                </c:pt>
                <c:pt idx="9">
                  <c:v>Fier şi oţel</c:v>
                </c:pt>
                <c:pt idx="10">
                  <c:v>Articole prelucrate din metal</c:v>
                </c:pt>
                <c:pt idx="11">
                  <c:v>Alte mărfuri</c:v>
                </c:pt>
              </c:strCache>
            </c:strRef>
          </c:cat>
          <c:val>
            <c:numRef>
              <c:f>'Figura 12'!$B$25:$B$36</c:f>
              <c:numCache>
                <c:formatCode>0.0</c:formatCode>
                <c:ptCount val="12"/>
                <c:pt idx="0">
                  <c:v>7.7</c:v>
                </c:pt>
                <c:pt idx="1">
                  <c:v>3.9</c:v>
                </c:pt>
                <c:pt idx="2">
                  <c:v>8</c:v>
                </c:pt>
                <c:pt idx="3">
                  <c:v>6.3</c:v>
                </c:pt>
                <c:pt idx="4">
                  <c:v>4.9000000000000004</c:v>
                </c:pt>
                <c:pt idx="5">
                  <c:v>3</c:v>
                </c:pt>
                <c:pt idx="6">
                  <c:v>4.5999999999999996</c:v>
                </c:pt>
                <c:pt idx="7">
                  <c:v>3.6</c:v>
                </c:pt>
                <c:pt idx="8">
                  <c:v>3.1</c:v>
                </c:pt>
                <c:pt idx="9">
                  <c:v>2.5</c:v>
                </c:pt>
                <c:pt idx="10">
                  <c:v>3</c:v>
                </c:pt>
                <c:pt idx="11" formatCode="#,##0.0">
                  <c:v>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31-4CA1-BC5D-E5ED8622194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Ianuarie-</a:t>
            </a:r>
            <a:r>
              <a:rPr lang="ro-RO" sz="8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iunie</a:t>
            </a:r>
            <a:r>
              <a:rPr lang="en-US" sz="8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2022</a:t>
            </a:r>
          </a:p>
        </c:rich>
      </c:tx>
      <c:layout>
        <c:manualLayout>
          <c:xMode val="edge"/>
          <c:yMode val="edge"/>
          <c:x val="0.34746249973970206"/>
          <c:y val="3.6569200779727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616653979550996"/>
          <c:y val="0.19537413086522076"/>
          <c:w val="0.53843885501773103"/>
          <c:h val="0.645721784776903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4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4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4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D3-4FE3-A741-BA04960B805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D3-4FE3-A741-BA04960B805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tint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D3-4FE3-A741-BA04960B805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D3-4FE3-A741-BA04960B805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tint val="89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89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89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D3-4FE3-A741-BA04960B805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8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8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8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D3-4FE3-A741-BA04960B805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tint val="89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89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89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D3-4FE3-A741-BA04960B805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1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3D3-4FE3-A741-BA04960B805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CD-4C13-890E-399C32D1EB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1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FCD-4C13-890E-399C32D1EB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51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51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FCD-4C13-890E-399C32D1EBED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1">
                      <a:shade val="41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41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41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027-44E0-9897-C542FAFF950C}"/>
              </c:ext>
            </c:extLst>
          </c:dPt>
          <c:dLbls>
            <c:dLbl>
              <c:idx val="0"/>
              <c:layout>
                <c:manualLayout>
                  <c:x val="-0.10835596961570772"/>
                  <c:y val="2.32556755512882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23182946665526"/>
                      <c:h val="0.188907214128800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3D3-4FE3-A741-BA04960B8052}"/>
                </c:ext>
              </c:extLst>
            </c:dLbl>
            <c:dLbl>
              <c:idx val="1"/>
              <c:layout>
                <c:manualLayout>
                  <c:x val="-5.5096402797798223E-3"/>
                  <c:y val="-4.8506392841245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57801650636167"/>
                      <c:h val="0.178315912265352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3D3-4FE3-A741-BA04960B8052}"/>
                </c:ext>
              </c:extLst>
            </c:dLbl>
            <c:dLbl>
              <c:idx val="2"/>
              <c:layout>
                <c:manualLayout>
                  <c:x val="2.5711654638972372E-2"/>
                  <c:y val="-6.98128961949931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D3-4FE3-A741-BA04960B8052}"/>
                </c:ext>
              </c:extLst>
            </c:dLbl>
            <c:dLbl>
              <c:idx val="3"/>
              <c:layout>
                <c:manualLayout>
                  <c:x val="3.3057841678678937E-2"/>
                  <c:y val="-4.66703504167242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D3-4FE3-A741-BA04960B8052}"/>
                </c:ext>
              </c:extLst>
            </c:dLbl>
            <c:dLbl>
              <c:idx val="4"/>
              <c:layout>
                <c:manualLayout>
                  <c:x val="5.5096402797798226E-2"/>
                  <c:y val="-3.11889303310770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55778499156639"/>
                      <c:h val="0.15660235453024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3D3-4FE3-A741-BA04960B8052}"/>
                </c:ext>
              </c:extLst>
            </c:dLbl>
            <c:dLbl>
              <c:idx val="5"/>
              <c:layout>
                <c:manualLayout>
                  <c:x val="1.1019280559559645E-2"/>
                  <c:y val="1.9357185614956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D3-4FE3-A741-BA04960B8052}"/>
                </c:ext>
              </c:extLst>
            </c:dLbl>
            <c:dLbl>
              <c:idx val="6"/>
              <c:layout>
                <c:manualLayout>
                  <c:x val="-0.11019280559559645"/>
                  <c:y val="2.24589031634202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D3-4FE3-A741-BA04960B8052}"/>
                </c:ext>
              </c:extLst>
            </c:dLbl>
            <c:dLbl>
              <c:idx val="7"/>
              <c:layout>
                <c:manualLayout>
                  <c:x val="-0.15426992783383503"/>
                  <c:y val="3.94406839495940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D3-4FE3-A741-BA04960B8052}"/>
                </c:ext>
              </c:extLst>
            </c:dLbl>
            <c:dLbl>
              <c:idx val="8"/>
              <c:layout>
                <c:manualLayout>
                  <c:x val="-0.20569323711178006"/>
                  <c:y val="-1.47558748138938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CD-4C13-890E-399C32D1EBED}"/>
                </c:ext>
              </c:extLst>
            </c:dLbl>
            <c:dLbl>
              <c:idx val="9"/>
              <c:layout>
                <c:manualLayout>
                  <c:x val="-0.19100086303236719"/>
                  <c:y val="-9.96193458273857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CD-4C13-890E-399C32D1EBED}"/>
                </c:ext>
              </c:extLst>
            </c:dLbl>
            <c:dLbl>
              <c:idx val="10"/>
              <c:layout>
                <c:manualLayout>
                  <c:x val="-0.15794302135368826"/>
                  <c:y val="-0.257309941520467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CD-4C13-890E-399C32D1EBED}"/>
                </c:ext>
              </c:extLst>
            </c:dLbl>
            <c:dLbl>
              <c:idx val="11"/>
              <c:layout>
                <c:manualLayout>
                  <c:x val="3.122129491875231E-2"/>
                  <c:y val="-4.82795352335344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91114700009488"/>
                      <c:h val="0.142685760771131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027-44E0-9897-C542FAFF950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'Figura 12'!$A$39:$A$50</c:f>
              <c:strCache>
                <c:ptCount val="12"/>
                <c:pt idx="0">
                  <c:v>Petrol şi produse petroliere </c:v>
                </c:pt>
                <c:pt idx="1">
                  <c:v>Gaz şi produse industriale obţinute din gaz</c:v>
                </c:pt>
                <c:pt idx="2">
                  <c:v>Maşini şi aparate electrice </c:v>
                </c:pt>
                <c:pt idx="3">
                  <c:v>Vehicule rutiere </c:v>
                </c:pt>
                <c:pt idx="4">
                  <c:v>Fire, tesături şi articole textile </c:v>
                </c:pt>
                <c:pt idx="5">
                  <c:v>Maşini şi aparate specializate </c:v>
                </c:pt>
                <c:pt idx="6">
                  <c:v>Produse medicinale şi farmaceutice</c:v>
                </c:pt>
                <c:pt idx="7">
                  <c:v>Maşini şi aparate industriale </c:v>
                </c:pt>
                <c:pt idx="8">
                  <c:v>Legume şi fructe</c:v>
                </c:pt>
                <c:pt idx="9">
                  <c:v>Fier şi oţel</c:v>
                </c:pt>
                <c:pt idx="10">
                  <c:v>Articole prelucrate din metal</c:v>
                </c:pt>
                <c:pt idx="11">
                  <c:v>Alte mărfuri</c:v>
                </c:pt>
              </c:strCache>
            </c:strRef>
          </c:cat>
          <c:val>
            <c:numRef>
              <c:f>'Figura 12'!$B$39:$B$50</c:f>
              <c:numCache>
                <c:formatCode>0.0</c:formatCode>
                <c:ptCount val="12"/>
                <c:pt idx="0">
                  <c:v>14.7</c:v>
                </c:pt>
                <c:pt idx="1">
                  <c:v>10</c:v>
                </c:pt>
                <c:pt idx="2">
                  <c:v>6.1</c:v>
                </c:pt>
                <c:pt idx="3">
                  <c:v>5.6</c:v>
                </c:pt>
                <c:pt idx="4">
                  <c:v>3.8</c:v>
                </c:pt>
                <c:pt idx="5">
                  <c:v>3.6</c:v>
                </c:pt>
                <c:pt idx="6">
                  <c:v>3.4</c:v>
                </c:pt>
                <c:pt idx="7">
                  <c:v>2.7</c:v>
                </c:pt>
                <c:pt idx="8">
                  <c:v>2.5</c:v>
                </c:pt>
                <c:pt idx="9">
                  <c:v>2.2000000000000002</c:v>
                </c:pt>
                <c:pt idx="10">
                  <c:v>2.2000000000000002</c:v>
                </c:pt>
                <c:pt idx="11" formatCode="#,##0.0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3D3-4FE3-A741-BA04960B8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439292310683395E-2"/>
          <c:y val="8.3241273945234451E-2"/>
          <c:w val="0.93642881088462071"/>
          <c:h val="0.70397265640302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'Figura 13'!$B$22</c:f>
              <c:strCache>
                <c:ptCount val="1"/>
                <c:pt idx="0">
                  <c:v>Ianuarie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13'!$B$23:$B$28</c:f>
              <c:numCache>
                <c:formatCode>#,##0.0</c:formatCode>
                <c:ptCount val="6"/>
                <c:pt idx="0">
                  <c:v>-127.3</c:v>
                </c:pt>
                <c:pt idx="1">
                  <c:v>-154</c:v>
                </c:pt>
                <c:pt idx="2">
                  <c:v>-138.30000000000001</c:v>
                </c:pt>
                <c:pt idx="3">
                  <c:v>-160.30000000000001</c:v>
                </c:pt>
                <c:pt idx="4">
                  <c:v>-201</c:v>
                </c:pt>
                <c:pt idx="5">
                  <c:v>-291.3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3-4221-BB37-7103809F1204}"/>
            </c:ext>
          </c:extLst>
        </c:ser>
        <c:ser>
          <c:idx val="2"/>
          <c:order val="1"/>
          <c:tx>
            <c:strRef>
              <c:f>'Figura 13'!$C$22</c:f>
              <c:strCache>
                <c:ptCount val="1"/>
                <c:pt idx="0">
                  <c:v>Februarie</c:v>
                </c:pt>
              </c:strCache>
            </c:strRef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13'!$C$23:$C$28</c:f>
              <c:numCache>
                <c:formatCode>#,##0.0</c:formatCode>
                <c:ptCount val="6"/>
                <c:pt idx="0">
                  <c:v>-156.1</c:v>
                </c:pt>
                <c:pt idx="1">
                  <c:v>-212.1</c:v>
                </c:pt>
                <c:pt idx="2">
                  <c:v>-217.9</c:v>
                </c:pt>
                <c:pt idx="3">
                  <c:v>-239.5</c:v>
                </c:pt>
                <c:pt idx="4">
                  <c:v>-294.39999999999998</c:v>
                </c:pt>
                <c:pt idx="5">
                  <c:v>-332.6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3-4221-BB37-7103809F1204}"/>
            </c:ext>
          </c:extLst>
        </c:ser>
        <c:ser>
          <c:idx val="3"/>
          <c:order val="2"/>
          <c:tx>
            <c:strRef>
              <c:f>'Figura 13'!$D$22</c:f>
              <c:strCache>
                <c:ptCount val="1"/>
                <c:pt idx="0">
                  <c:v>Martie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13'!$D$23:$D$28</c:f>
              <c:numCache>
                <c:formatCode>#,##0.0</c:formatCode>
                <c:ptCount val="6"/>
                <c:pt idx="0">
                  <c:v>-219.1</c:v>
                </c:pt>
                <c:pt idx="1">
                  <c:v>-282</c:v>
                </c:pt>
                <c:pt idx="2">
                  <c:v>-276.60000000000002</c:v>
                </c:pt>
                <c:pt idx="3">
                  <c:v>-290.3</c:v>
                </c:pt>
                <c:pt idx="4">
                  <c:v>-370.8</c:v>
                </c:pt>
                <c:pt idx="5">
                  <c:v>-352.5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3-4221-BB37-7103809F1204}"/>
            </c:ext>
          </c:extLst>
        </c:ser>
        <c:ser>
          <c:idx val="4"/>
          <c:order val="3"/>
          <c:tx>
            <c:strRef>
              <c:f>'Figura 13'!$E$22</c:f>
              <c:strCache>
                <c:ptCount val="1"/>
                <c:pt idx="0">
                  <c:v>Aprilie</c:v>
                </c:pt>
              </c:strCache>
            </c:strRef>
          </c:tx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13'!$E$23:$E$28</c:f>
              <c:numCache>
                <c:formatCode>#,##0.0</c:formatCode>
                <c:ptCount val="6"/>
                <c:pt idx="0">
                  <c:v>-207.3</c:v>
                </c:pt>
                <c:pt idx="1">
                  <c:v>-244.9</c:v>
                </c:pt>
                <c:pt idx="2">
                  <c:v>-300</c:v>
                </c:pt>
                <c:pt idx="3">
                  <c:v>-135.80000000000001</c:v>
                </c:pt>
                <c:pt idx="4">
                  <c:v>-344</c:v>
                </c:pt>
                <c:pt idx="5">
                  <c:v>-374.2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3-4221-BB37-7103809F1204}"/>
            </c:ext>
          </c:extLst>
        </c:ser>
        <c:ser>
          <c:idx val="5"/>
          <c:order val="4"/>
          <c:tx>
            <c:strRef>
              <c:f>'Figura 13'!$F$22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13'!$F$23:$F$28</c:f>
              <c:numCache>
                <c:formatCode>#,##0.0</c:formatCode>
                <c:ptCount val="6"/>
                <c:pt idx="0">
                  <c:v>-225.7</c:v>
                </c:pt>
                <c:pt idx="1">
                  <c:v>-282.60000000000002</c:v>
                </c:pt>
                <c:pt idx="2">
                  <c:v>-271.10000000000002</c:v>
                </c:pt>
                <c:pt idx="3">
                  <c:v>-173.7</c:v>
                </c:pt>
                <c:pt idx="4">
                  <c:v>-361.7</c:v>
                </c:pt>
                <c:pt idx="5">
                  <c:v>-356.7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33-4221-BB37-7103809F1204}"/>
            </c:ext>
          </c:extLst>
        </c:ser>
        <c:ser>
          <c:idx val="6"/>
          <c:order val="5"/>
          <c:tx>
            <c:strRef>
              <c:f>'Figura 13'!$G$22</c:f>
              <c:strCache>
                <c:ptCount val="1"/>
                <c:pt idx="0">
                  <c:v>Iunie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13'!$G$23:$G$28</c:f>
              <c:numCache>
                <c:formatCode>#,##0.0</c:formatCode>
                <c:ptCount val="6"/>
                <c:pt idx="0">
                  <c:v>-217.7</c:v>
                </c:pt>
                <c:pt idx="1">
                  <c:v>-244.6</c:v>
                </c:pt>
                <c:pt idx="2">
                  <c:v>-243.2</c:v>
                </c:pt>
                <c:pt idx="3">
                  <c:v>-223.9</c:v>
                </c:pt>
                <c:pt idx="4">
                  <c:v>-362.8</c:v>
                </c:pt>
                <c:pt idx="5">
                  <c:v>-349.4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3-4221-BB37-7103809F1204}"/>
            </c:ext>
          </c:extLst>
        </c:ser>
        <c:ser>
          <c:idx val="7"/>
          <c:order val="6"/>
          <c:tx>
            <c:strRef>
              <c:f>'Figura 13'!$H$22</c:f>
              <c:strCache>
                <c:ptCount val="1"/>
                <c:pt idx="0">
                  <c:v>Iulie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13'!$H$23:$H$28</c:f>
              <c:numCache>
                <c:formatCode>#,##0.0</c:formatCode>
                <c:ptCount val="6"/>
                <c:pt idx="0">
                  <c:v>-205.3</c:v>
                </c:pt>
                <c:pt idx="1">
                  <c:v>-269.2</c:v>
                </c:pt>
                <c:pt idx="2">
                  <c:v>-278.89999999999998</c:v>
                </c:pt>
                <c:pt idx="3">
                  <c:v>-305.5</c:v>
                </c:pt>
                <c:pt idx="4">
                  <c:v>-321.3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33-4221-BB37-7103809F1204}"/>
            </c:ext>
          </c:extLst>
        </c:ser>
        <c:ser>
          <c:idx val="8"/>
          <c:order val="7"/>
          <c:tx>
            <c:strRef>
              <c:f>'Figura 13'!$I$22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13'!$I$23:$I$28</c:f>
              <c:numCache>
                <c:formatCode>#,##0.0</c:formatCode>
                <c:ptCount val="6"/>
                <c:pt idx="0">
                  <c:v>-221.8</c:v>
                </c:pt>
                <c:pt idx="1">
                  <c:v>-262.10000000000002</c:v>
                </c:pt>
                <c:pt idx="2">
                  <c:v>-258.5</c:v>
                </c:pt>
                <c:pt idx="3">
                  <c:v>-269.7</c:v>
                </c:pt>
                <c:pt idx="4">
                  <c:v>-338.6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33-4221-BB37-7103809F1204}"/>
            </c:ext>
          </c:extLst>
        </c:ser>
        <c:ser>
          <c:idx val="9"/>
          <c:order val="8"/>
          <c:tx>
            <c:strRef>
              <c:f>'Figura 13'!$J$22</c:f>
              <c:strCache>
                <c:ptCount val="1"/>
                <c:pt idx="0">
                  <c:v>Septembrie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13'!$J$23:$J$28</c:f>
              <c:numCache>
                <c:formatCode>#,##0.0</c:formatCode>
                <c:ptCount val="6"/>
                <c:pt idx="0">
                  <c:v>-206.9</c:v>
                </c:pt>
                <c:pt idx="1">
                  <c:v>-266.7</c:v>
                </c:pt>
                <c:pt idx="2">
                  <c:v>-262.89999999999998</c:v>
                </c:pt>
                <c:pt idx="3">
                  <c:v>-296</c:v>
                </c:pt>
                <c:pt idx="4">
                  <c:v>-376.3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33-4221-BB37-7103809F1204}"/>
            </c:ext>
          </c:extLst>
        </c:ser>
        <c:ser>
          <c:idx val="10"/>
          <c:order val="9"/>
          <c:tx>
            <c:strRef>
              <c:f>'Figura 13'!$K$22</c:f>
              <c:strCache>
                <c:ptCount val="1"/>
                <c:pt idx="0">
                  <c:v>Octombrie</c:v>
                </c:pt>
              </c:strCache>
            </c:strRef>
          </c:tx>
          <c:spPr>
            <a:solidFill>
              <a:schemeClr val="accent1">
                <a:shade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13'!$K$23:$K$28</c:f>
              <c:numCache>
                <c:formatCode>#,##0.0</c:formatCode>
                <c:ptCount val="6"/>
                <c:pt idx="0">
                  <c:v>-197.7</c:v>
                </c:pt>
                <c:pt idx="1">
                  <c:v>-281.60000000000002</c:v>
                </c:pt>
                <c:pt idx="2">
                  <c:v>-257</c:v>
                </c:pt>
                <c:pt idx="3">
                  <c:v>-244.2</c:v>
                </c:pt>
                <c:pt idx="4">
                  <c:v>-294.60000000000002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33-4221-BB37-7103809F1204}"/>
            </c:ext>
          </c:extLst>
        </c:ser>
        <c:ser>
          <c:idx val="11"/>
          <c:order val="10"/>
          <c:tx>
            <c:strRef>
              <c:f>'Figura 13'!$L$22</c:f>
              <c:strCache>
                <c:ptCount val="1"/>
                <c:pt idx="0">
                  <c:v>Noiembrie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13'!$L$23:$L$28</c:f>
              <c:numCache>
                <c:formatCode>#,##0.0</c:formatCode>
                <c:ptCount val="6"/>
                <c:pt idx="0">
                  <c:v>-183.2</c:v>
                </c:pt>
                <c:pt idx="1">
                  <c:v>-253.70000000000005</c:v>
                </c:pt>
                <c:pt idx="2">
                  <c:v>-237.5</c:v>
                </c:pt>
                <c:pt idx="3">
                  <c:v>-260.89999999999998</c:v>
                </c:pt>
                <c:pt idx="4">
                  <c:v>-337.6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33-4221-BB37-7103809F1204}"/>
            </c:ext>
          </c:extLst>
        </c:ser>
        <c:ser>
          <c:idx val="12"/>
          <c:order val="11"/>
          <c:tx>
            <c:strRef>
              <c:f>'Figura 13'!$M$22</c:f>
              <c:strCache>
                <c:ptCount val="1"/>
                <c:pt idx="0">
                  <c:v>Decembrie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13'!$A$23:$A$28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13'!$M$23:$M$28</c:f>
              <c:numCache>
                <c:formatCode>#,##0.0</c:formatCode>
                <c:ptCount val="6"/>
                <c:pt idx="0">
                  <c:v>-238.3</c:v>
                </c:pt>
                <c:pt idx="1">
                  <c:v>-300.49999999999994</c:v>
                </c:pt>
                <c:pt idx="2">
                  <c:v>-321.39999999999998</c:v>
                </c:pt>
                <c:pt idx="3">
                  <c:v>-349</c:v>
                </c:pt>
                <c:pt idx="4">
                  <c:v>-429.2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1-46B9-BC71-3BBF0CA16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9016032"/>
        <c:axId val="249016592"/>
      </c:barChart>
      <c:catAx>
        <c:axId val="24901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2225" cap="flat" cmpd="sng" algn="ctr">
            <a:gradFill>
              <a:gsLst>
                <a:gs pos="0">
                  <a:schemeClr val="tx1">
                    <a:alpha val="98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901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9016592"/>
        <c:scaling>
          <c:orientation val="minMax"/>
          <c:min val="-4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901603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egendEntry>
        <c:idx val="7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"/>
          <c:y val="0.9095502632723057"/>
          <c:w val="1"/>
          <c:h val="7.3858659458612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62778414308116E-2"/>
          <c:y val="6.8799149302478671E-2"/>
          <c:w val="0.90019805713940926"/>
          <c:h val="0.713620074036443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14'!$B$24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084676830592919E-2"/>
                  <c:y val="1.286169091102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13-450B-8629-87951D3C5A06}"/>
                </c:ext>
              </c:extLst>
            </c:dLbl>
            <c:dLbl>
              <c:idx val="1"/>
              <c:layout>
                <c:manualLayout>
                  <c:x val="-1.8787287811933725E-2"/>
                  <c:y val="8.78422025276465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13-450B-8629-87951D3C5A06}"/>
                </c:ext>
              </c:extLst>
            </c:dLbl>
            <c:dLbl>
              <c:idx val="2"/>
              <c:layout>
                <c:manualLayout>
                  <c:x val="-1.4421873301340364E-2"/>
                  <c:y val="4.5542457706676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13-450B-8629-87951D3C5A06}"/>
                </c:ext>
              </c:extLst>
            </c:dLbl>
            <c:dLbl>
              <c:idx val="3"/>
              <c:layout>
                <c:manualLayout>
                  <c:x val="-1.4134246532792941E-2"/>
                  <c:y val="8.57456762757984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13-450B-8629-87951D3C5A06}"/>
                </c:ext>
              </c:extLst>
            </c:dLbl>
            <c:dLbl>
              <c:idx val="4"/>
              <c:layout>
                <c:manualLayout>
                  <c:x val="-1.4030049649366584E-2"/>
                  <c:y val="8.1549413165285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13-450B-8629-87951D3C5A06}"/>
                </c:ext>
              </c:extLst>
            </c:dLbl>
            <c:dLbl>
              <c:idx val="5"/>
              <c:layout>
                <c:manualLayout>
                  <c:x val="-1.6289867791293891E-2"/>
                  <c:y val="4.28712328344902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13-450B-8629-87951D3C5A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14'!$A$25:$A$30</c:f>
              <c:strCache>
                <c:ptCount val="6"/>
                <c:pt idx="0">
                  <c:v>Ianuarie-iunie 2017</c:v>
                </c:pt>
                <c:pt idx="1">
                  <c:v>Ianuarie-iunie 2018</c:v>
                </c:pt>
                <c:pt idx="2">
                  <c:v>Ianuarie-iunie 2019</c:v>
                </c:pt>
                <c:pt idx="3">
                  <c:v>Ianuarie-iunie 2020</c:v>
                </c:pt>
                <c:pt idx="4">
                  <c:v>Ianuarie-iunie 2021</c:v>
                </c:pt>
                <c:pt idx="5">
                  <c:v>Ianuarie-iunie 2022</c:v>
                </c:pt>
              </c:strCache>
            </c:strRef>
          </c:cat>
          <c:val>
            <c:numRef>
              <c:f>'Figura 14'!$B$25:$B$30</c:f>
              <c:numCache>
                <c:formatCode>General</c:formatCode>
                <c:ptCount val="6"/>
                <c:pt idx="0">
                  <c:v>1028.2</c:v>
                </c:pt>
                <c:pt idx="1">
                  <c:v>1314.8</c:v>
                </c:pt>
                <c:pt idx="2">
                  <c:v>1361.2</c:v>
                </c:pt>
                <c:pt idx="3">
                  <c:v>1170.2</c:v>
                </c:pt>
                <c:pt idx="4">
                  <c:v>1331.5</c:v>
                </c:pt>
                <c:pt idx="5">
                  <c:v>2290.4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2C-4A3E-9B06-2ADBC8010143}"/>
            </c:ext>
          </c:extLst>
        </c:ser>
        <c:ser>
          <c:idx val="1"/>
          <c:order val="1"/>
          <c:tx>
            <c:strRef>
              <c:f>'Figura 14'!$C$24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1905333867164703E-3"/>
                  <c:y val="8.0644099551864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2C-4A3E-9B06-2ADBC8010143}"/>
                </c:ext>
              </c:extLst>
            </c:dLbl>
            <c:dLbl>
              <c:idx val="1"/>
              <c:layout>
                <c:manualLayout>
                  <c:x val="2.6707724999212147E-3"/>
                  <c:y val="6.7770500650035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2C-4A3E-9B06-2ADBC8010143}"/>
                </c:ext>
              </c:extLst>
            </c:dLbl>
            <c:dLbl>
              <c:idx val="2"/>
              <c:layout>
                <c:manualLayout>
                  <c:x val="6.7796610169491523E-3"/>
                  <c:y val="7.5543290207694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2C-4A3E-9B06-2ADBC8010143}"/>
                </c:ext>
              </c:extLst>
            </c:dLbl>
            <c:dLbl>
              <c:idx val="3"/>
              <c:layout>
                <c:manualLayout>
                  <c:x val="2.5473295128049822E-3"/>
                  <c:y val="8.3645939417133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13-450B-8629-87951D3C5A06}"/>
                </c:ext>
              </c:extLst>
            </c:dLbl>
            <c:dLbl>
              <c:idx val="4"/>
              <c:layout>
                <c:manualLayout>
                  <c:x val="0"/>
                  <c:y val="8.5744908896034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13-450B-8629-87951D3C5A06}"/>
                </c:ext>
              </c:extLst>
            </c:dLbl>
            <c:dLbl>
              <c:idx val="5"/>
              <c:layout>
                <c:manualLayout>
                  <c:x val="2.2598290136545966E-3"/>
                  <c:y val="4.5543372498998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13-450B-8629-87951D3C5A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14'!$A$25:$A$30</c:f>
              <c:strCache>
                <c:ptCount val="6"/>
                <c:pt idx="0">
                  <c:v>Ianuarie-iunie 2017</c:v>
                </c:pt>
                <c:pt idx="1">
                  <c:v>Ianuarie-iunie 2018</c:v>
                </c:pt>
                <c:pt idx="2">
                  <c:v>Ianuarie-iunie 2019</c:v>
                </c:pt>
                <c:pt idx="3">
                  <c:v>Ianuarie-iunie 2020</c:v>
                </c:pt>
                <c:pt idx="4">
                  <c:v>Ianuarie-iunie 2021</c:v>
                </c:pt>
                <c:pt idx="5">
                  <c:v>Ianuarie-iunie 2022</c:v>
                </c:pt>
              </c:strCache>
            </c:strRef>
          </c:cat>
          <c:val>
            <c:numRef>
              <c:f>'Figura 14'!$C$25:$C$30</c:f>
              <c:numCache>
                <c:formatCode>General</c:formatCode>
                <c:ptCount val="6"/>
                <c:pt idx="0">
                  <c:v>2181.4</c:v>
                </c:pt>
                <c:pt idx="1">
                  <c:v>2734.9</c:v>
                </c:pt>
                <c:pt idx="2">
                  <c:v>2808.3</c:v>
                </c:pt>
                <c:pt idx="3">
                  <c:v>2393.6</c:v>
                </c:pt>
                <c:pt idx="4">
                  <c:v>3266.1</c:v>
                </c:pt>
                <c:pt idx="5" formatCode="0.0">
                  <c:v>4347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D2C-4A3E-9B06-2ADBC8010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248762544"/>
        <c:axId val="248763104"/>
      </c:barChart>
      <c:lineChart>
        <c:grouping val="standard"/>
        <c:varyColors val="0"/>
        <c:ser>
          <c:idx val="2"/>
          <c:order val="2"/>
          <c:tx>
            <c:strRef>
              <c:f>'Figura 14'!$D$24</c:f>
              <c:strCache>
                <c:ptCount val="1"/>
                <c:pt idx="0">
                  <c:v>Balanţa Comercială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65000"/>
                </a:schemeClr>
              </a:solidFill>
              <a:ln w="9525">
                <a:solidFill>
                  <a:schemeClr val="accent1">
                    <a:shade val="6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7939023101988433E-2"/>
                  <c:y val="-2.559399436731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2C-4A3E-9B06-2ADBC8010143}"/>
                </c:ext>
              </c:extLst>
            </c:dLbl>
            <c:dLbl>
              <c:idx val="1"/>
              <c:layout>
                <c:manualLayout>
                  <c:x val="-5.369853639650108E-2"/>
                  <c:y val="4.186392588776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D2C-4A3E-9B06-2ADBC8010143}"/>
                </c:ext>
              </c:extLst>
            </c:dLbl>
            <c:dLbl>
              <c:idx val="2"/>
              <c:layout>
                <c:manualLayout>
                  <c:x val="-4.6674860325135174E-2"/>
                  <c:y val="-2.9605645088756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D2C-4A3E-9B06-2ADBC8010143}"/>
                </c:ext>
              </c:extLst>
            </c:dLbl>
            <c:dLbl>
              <c:idx val="3"/>
              <c:layout>
                <c:manualLayout>
                  <c:x val="-4.6930379465278706E-2"/>
                  <c:y val="3.8082554793191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D2C-4A3E-9B06-2ADBC8010143}"/>
                </c:ext>
              </c:extLst>
            </c:dLbl>
            <c:dLbl>
              <c:idx val="4"/>
              <c:layout>
                <c:manualLayout>
                  <c:x val="-3.9005712521228961E-2"/>
                  <c:y val="-3.4431510693247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13-450B-8629-87951D3C5A06}"/>
                </c:ext>
              </c:extLst>
            </c:dLbl>
            <c:dLbl>
              <c:idx val="5"/>
              <c:layout>
                <c:manualLayout>
                  <c:x val="-4.9162918407247942E-3"/>
                  <c:y val="-1.7454463963506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13-450B-8629-87951D3C5A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14'!$A$25:$A$30</c:f>
              <c:strCache>
                <c:ptCount val="6"/>
                <c:pt idx="0">
                  <c:v>Ianuarie-iunie 2017</c:v>
                </c:pt>
                <c:pt idx="1">
                  <c:v>Ianuarie-iunie 2018</c:v>
                </c:pt>
                <c:pt idx="2">
                  <c:v>Ianuarie-iunie 2019</c:v>
                </c:pt>
                <c:pt idx="3">
                  <c:v>Ianuarie-iunie 2020</c:v>
                </c:pt>
                <c:pt idx="4">
                  <c:v>Ianuarie-iunie 2021</c:v>
                </c:pt>
                <c:pt idx="5">
                  <c:v>Ianuarie-iunie 2022</c:v>
                </c:pt>
              </c:strCache>
            </c:strRef>
          </c:cat>
          <c:val>
            <c:numRef>
              <c:f>'Figura 14'!$D$25:$D$30</c:f>
              <c:numCache>
                <c:formatCode>General</c:formatCode>
                <c:ptCount val="6"/>
                <c:pt idx="0">
                  <c:v>-1153.2</c:v>
                </c:pt>
                <c:pt idx="1">
                  <c:v>-1420.1</c:v>
                </c:pt>
                <c:pt idx="2">
                  <c:v>-1447.1</c:v>
                </c:pt>
                <c:pt idx="3">
                  <c:v>-1223.4000000000001</c:v>
                </c:pt>
                <c:pt idx="4">
                  <c:v>-1934.6</c:v>
                </c:pt>
                <c:pt idx="5" formatCode="#,##0.0">
                  <c:v>-2056.6136402100001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D2C-4A3E-9B06-2ADBC8010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762544"/>
        <c:axId val="248763104"/>
      </c:lineChart>
      <c:catAx>
        <c:axId val="24876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8763104"/>
        <c:crosses val="autoZero"/>
        <c:auto val="1"/>
        <c:lblAlgn val="ctr"/>
        <c:lblOffset val="100"/>
        <c:noMultiLvlLbl val="0"/>
      </c:catAx>
      <c:valAx>
        <c:axId val="248763104"/>
        <c:scaling>
          <c:orientation val="minMax"/>
          <c:max val="5000"/>
          <c:min val="-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876254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724427456859489E-2"/>
          <c:y val="0.9276522267513988"/>
          <c:w val="0.8834227501223364"/>
          <c:h val="6.8060527803799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119049934028941E-2"/>
          <c:y val="5.1785146574987985E-2"/>
          <c:w val="0.95488729892687907"/>
          <c:h val="0.71028397256794518"/>
        </c:manualLayout>
      </c:layout>
      <c:lineChart>
        <c:grouping val="standard"/>
        <c:varyColors val="0"/>
        <c:ser>
          <c:idx val="0"/>
          <c:order val="0"/>
          <c:tx>
            <c:strRef>
              <c:f>'Figura 2'!$A$22</c:f>
              <c:strCache>
                <c:ptCount val="1"/>
                <c:pt idx="0">
                  <c:v>În % faţă de luna precedentă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2.8957389171235363E-2"/>
                  <c:y val="3.6139869613072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9D-446E-B46D-AAA2B51203E9}"/>
                </c:ext>
              </c:extLst>
            </c:dLbl>
            <c:dLbl>
              <c:idx val="11"/>
              <c:layout>
                <c:manualLayout>
                  <c:x val="-2.7282347074262064E-2"/>
                  <c:y val="3.6139869613072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9D-446E-B46D-AAA2B51203E9}"/>
                </c:ext>
              </c:extLst>
            </c:dLbl>
            <c:dLbl>
              <c:idx val="14"/>
              <c:layout>
                <c:manualLayout>
                  <c:x val="-9.233702532835111E-3"/>
                  <c:y val="-1.547303361273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A9D-446E-B46D-AAA2B51203E9}"/>
                </c:ext>
              </c:extLst>
            </c:dLbl>
            <c:dLbl>
              <c:idx val="17"/>
              <c:layout>
                <c:manualLayout>
                  <c:x val="-3.1009249793488413E-2"/>
                  <c:y val="4.4742020150706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9D-446E-B46D-AAA2B51203E9}"/>
                </c:ext>
              </c:extLst>
            </c:dLbl>
            <c:dLbl>
              <c:idx val="18"/>
              <c:layout>
                <c:manualLayout>
                  <c:x val="-3.1009249793488413E-2"/>
                  <c:y val="-3.6978409956819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9D-446E-B46D-AAA2B51203E9}"/>
                </c:ext>
              </c:extLst>
            </c:dLbl>
            <c:dLbl>
              <c:idx val="19"/>
              <c:layout>
                <c:manualLayout>
                  <c:x val="-2.7282347074262126E-2"/>
                  <c:y val="3.6139869613072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9D-446E-B46D-AAA2B51203E9}"/>
                </c:ext>
              </c:extLst>
            </c:dLbl>
            <c:dLbl>
              <c:idx val="20"/>
              <c:layout>
                <c:manualLayout>
                  <c:x val="-2.9334207696515083E-2"/>
                  <c:y val="4.044094488188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A9D-446E-B46D-AAA2B51203E9}"/>
                </c:ext>
              </c:extLst>
            </c:dLbl>
            <c:dLbl>
              <c:idx val="21"/>
              <c:layout>
                <c:manualLayout>
                  <c:x val="-3.1009249793488413E-2"/>
                  <c:y val="-3.6978409956819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A9D-446E-B46D-AAA2B51203E9}"/>
                </c:ext>
              </c:extLst>
            </c:dLbl>
            <c:dLbl>
              <c:idx val="25"/>
              <c:layout>
                <c:manualLayout>
                  <c:x val="-3.1009249793488534E-2"/>
                  <c:y val="4.044094488188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A9D-446E-B46D-AAA2B51203E9}"/>
                </c:ext>
              </c:extLst>
            </c:dLbl>
            <c:dLbl>
              <c:idx val="26"/>
              <c:layout>
                <c:manualLayout>
                  <c:x val="-3.1009249793488413E-2"/>
                  <c:y val="-4.1279485225637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A9D-446E-B46D-AAA2B51203E9}"/>
                </c:ext>
              </c:extLst>
            </c:dLbl>
            <c:dLbl>
              <c:idx val="27"/>
              <c:layout>
                <c:manualLayout>
                  <c:x val="-3.4359333987435077E-2"/>
                  <c:y val="3.6139869613072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A9D-446E-B46D-AAA2B51203E9}"/>
                </c:ext>
              </c:extLst>
            </c:dLbl>
            <c:dLbl>
              <c:idx val="29"/>
              <c:layout>
                <c:manualLayout>
                  <c:x val="-1.2283500144429233E-16"/>
                  <c:y val="4.044094488188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A9D-446E-B46D-AAA2B51203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'Figura 2'!$N$20:$AQ$21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'Figura 2'!$N$22:$AQ$22</c:f>
              <c:numCache>
                <c:formatCode>#,##0.0</c:formatCode>
                <c:ptCount val="30"/>
                <c:pt idx="0">
                  <c:v>100.54069338788538</c:v>
                </c:pt>
                <c:pt idx="1">
                  <c:v>111.77933359663091</c:v>
                </c:pt>
                <c:pt idx="2">
                  <c:v>85.694935103741471</c:v>
                </c:pt>
                <c:pt idx="3">
                  <c:v>71.283537880135214</c:v>
                </c:pt>
                <c:pt idx="4">
                  <c:v>103.90424682350312</c:v>
                </c:pt>
                <c:pt idx="5">
                  <c:v>121.75061963317823</c:v>
                </c:pt>
                <c:pt idx="6">
                  <c:v>100.8184202333199</c:v>
                </c:pt>
                <c:pt idx="7">
                  <c:v>78.376764810035453</c:v>
                </c:pt>
                <c:pt idx="8">
                  <c:v>129.49769232961904</c:v>
                </c:pt>
                <c:pt idx="9">
                  <c:v>117.47585360993436</c:v>
                </c:pt>
                <c:pt idx="10">
                  <c:v>105.08585699580438</c:v>
                </c:pt>
                <c:pt idx="11">
                  <c:v>83.287463510424814</c:v>
                </c:pt>
                <c:pt idx="12">
                  <c:v>90.925213233797848</c:v>
                </c:pt>
                <c:pt idx="13">
                  <c:v>114.41147354263464</c:v>
                </c:pt>
                <c:pt idx="14">
                  <c:v>114.20579997969134</c:v>
                </c:pt>
                <c:pt idx="15">
                  <c:v>84.167356355788357</c:v>
                </c:pt>
                <c:pt idx="16">
                  <c:v>92.421884276527052</c:v>
                </c:pt>
                <c:pt idx="17">
                  <c:v>112.45124175218632</c:v>
                </c:pt>
                <c:pt idx="18">
                  <c:v>106.13290668113962</c:v>
                </c:pt>
                <c:pt idx="19">
                  <c:v>98.163759117159898</c:v>
                </c:pt>
                <c:pt idx="20">
                  <c:v>124.79747973247373</c:v>
                </c:pt>
                <c:pt idx="21">
                  <c:v>119.44752327758337</c:v>
                </c:pt>
                <c:pt idx="22">
                  <c:v>103.29810746017232</c:v>
                </c:pt>
                <c:pt idx="23">
                  <c:v>89.310814590947814</c:v>
                </c:pt>
                <c:pt idx="24">
                  <c:v>101.65548055101389</c:v>
                </c:pt>
                <c:pt idx="25">
                  <c:v>101.84864374682041</c:v>
                </c:pt>
                <c:pt idx="26">
                  <c:v>117.60123789264428</c:v>
                </c:pt>
                <c:pt idx="27">
                  <c:v>100.1282722557787</c:v>
                </c:pt>
                <c:pt idx="28">
                  <c:v>104.98638136927103</c:v>
                </c:pt>
                <c:pt idx="29" formatCode="0.0">
                  <c:v>99.838214144690781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D8C-45EE-B332-341AC82C0A62}"/>
            </c:ext>
          </c:extLst>
        </c:ser>
        <c:ser>
          <c:idx val="1"/>
          <c:order val="1"/>
          <c:tx>
            <c:strRef>
              <c:f>'Figura 2'!$A$23</c:f>
              <c:strCache>
                <c:ptCount val="1"/>
                <c:pt idx="0">
                  <c:v>În % faţă de luna corespunzătoare din anul precedent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282347074262001E-2"/>
                  <c:y val="3.6139869613072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A9D-446E-B46D-AAA2B51203E9}"/>
                </c:ext>
              </c:extLst>
            </c:dLbl>
            <c:dLbl>
              <c:idx val="1"/>
              <c:layout>
                <c:manualLayout>
                  <c:x val="-3.2684291890461757E-2"/>
                  <c:y val="4.044094488188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A9D-446E-B46D-AAA2B51203E9}"/>
                </c:ext>
              </c:extLst>
            </c:dLbl>
            <c:dLbl>
              <c:idx val="2"/>
              <c:layout>
                <c:manualLayout>
                  <c:x val="-3.2307473365181992E-2"/>
                  <c:y val="4.0440944881889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A9D-446E-B46D-AAA2B51203E9}"/>
                </c:ext>
              </c:extLst>
            </c:dLbl>
            <c:dLbl>
              <c:idx val="3"/>
              <c:layout>
                <c:manualLayout>
                  <c:x val="-2.7282347074262001E-2"/>
                  <c:y val="5.3344170688341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A9D-446E-B46D-AAA2B51203E9}"/>
                </c:ext>
              </c:extLst>
            </c:dLbl>
            <c:dLbl>
              <c:idx val="4"/>
              <c:layout>
                <c:manualLayout>
                  <c:x val="-2.3932262880315341E-2"/>
                  <c:y val="3.1838794344255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A9D-446E-B46D-AAA2B51203E9}"/>
                </c:ext>
              </c:extLst>
            </c:dLbl>
            <c:dLbl>
              <c:idx val="6"/>
              <c:layout>
                <c:manualLayout>
                  <c:x val="-2.7282347074262032E-2"/>
                  <c:y val="3.613986961307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A9D-446E-B46D-AAA2B51203E9}"/>
                </c:ext>
              </c:extLst>
            </c:dLbl>
            <c:dLbl>
              <c:idx val="7"/>
              <c:layout>
                <c:manualLayout>
                  <c:x val="-3.0632431268208693E-2"/>
                  <c:y val="-4.1279485225637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A9D-446E-B46D-AAA2B51203E9}"/>
                </c:ext>
              </c:extLst>
            </c:dLbl>
            <c:dLbl>
              <c:idx val="10"/>
              <c:layout>
                <c:manualLayout>
                  <c:x val="-3.0632431268208665E-2"/>
                  <c:y val="4.4742020150706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A9D-446E-B46D-AAA2B51203E9}"/>
                </c:ext>
              </c:extLst>
            </c:dLbl>
            <c:dLbl>
              <c:idx val="11"/>
              <c:layout>
                <c:manualLayout>
                  <c:x val="-3.1009249793488413E-2"/>
                  <c:y val="-3.6978409956819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A9D-446E-B46D-AAA2B51203E9}"/>
                </c:ext>
              </c:extLst>
            </c:dLbl>
            <c:dLbl>
              <c:idx val="12"/>
              <c:layout>
                <c:manualLayout>
                  <c:x val="-2.3932262880315403E-2"/>
                  <c:y val="5.3344170688341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A9D-446E-B46D-AAA2B51203E9}"/>
                </c:ext>
              </c:extLst>
            </c:dLbl>
            <c:dLbl>
              <c:idx val="19"/>
              <c:layout>
                <c:manualLayout>
                  <c:x val="-3.6034376084408404E-2"/>
                  <c:y val="-4.1279485225637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A9D-446E-B46D-AAA2B51203E9}"/>
                </c:ext>
              </c:extLst>
            </c:dLbl>
            <c:dLbl>
              <c:idx val="20"/>
              <c:layout>
                <c:manualLayout>
                  <c:x val="-3.2684291890461743E-2"/>
                  <c:y val="-4.9881635763271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A9D-446E-B46D-AAA2B51203E9}"/>
                </c:ext>
              </c:extLst>
            </c:dLbl>
            <c:dLbl>
              <c:idx val="21"/>
              <c:layout>
                <c:manualLayout>
                  <c:x val="-2.7659165599541749E-2"/>
                  <c:y val="-3.6978409956819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A9D-446E-B46D-AAA2B51203E9}"/>
                </c:ext>
              </c:extLst>
            </c:dLbl>
            <c:dLbl>
              <c:idx val="22"/>
              <c:layout>
                <c:manualLayout>
                  <c:x val="-2.0958997211648428E-2"/>
                  <c:y val="-4.9881635763271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A9D-446E-B46D-AAA2B51203E9}"/>
                </c:ext>
              </c:extLst>
            </c:dLbl>
            <c:dLbl>
              <c:idx val="23"/>
              <c:layout>
                <c:manualLayout>
                  <c:x val="-2.9334207696515083E-2"/>
                  <c:y val="3.6139869613072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A9D-446E-B46D-AAA2B51203E9}"/>
                </c:ext>
              </c:extLst>
            </c:dLbl>
            <c:dLbl>
              <c:idx val="25"/>
              <c:layout>
                <c:manualLayout>
                  <c:x val="-3.1009249793488534E-2"/>
                  <c:y val="4.0440944881889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2A9D-446E-B46D-AAA2B51203E9}"/>
                </c:ext>
              </c:extLst>
            </c:dLbl>
            <c:dLbl>
              <c:idx val="26"/>
              <c:layout>
                <c:manualLayout>
                  <c:x val="-3.7709418181381855E-2"/>
                  <c:y val="-4.5580560494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2A9D-446E-B46D-AAA2B51203E9}"/>
                </c:ext>
              </c:extLst>
            </c:dLbl>
            <c:dLbl>
              <c:idx val="29"/>
              <c:layout>
                <c:manualLayout>
                  <c:x val="0"/>
                  <c:y val="3.6139869613072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2A9D-446E-B46D-AAA2B51203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'Figura 2'!$N$20:$AQ$21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'Figura 2'!$N$23:$AQ$23</c:f>
              <c:numCache>
                <c:formatCode>#,##0.0</c:formatCode>
                <c:ptCount val="30"/>
                <c:pt idx="0">
                  <c:v>93.68976480021378</c:v>
                </c:pt>
                <c:pt idx="1">
                  <c:v>101.62156394157972</c:v>
                </c:pt>
                <c:pt idx="2">
                  <c:v>81.728010071364707</c:v>
                </c:pt>
                <c:pt idx="3">
                  <c:v>69.517656214361068</c:v>
                </c:pt>
                <c:pt idx="4">
                  <c:v>73.959803043393492</c:v>
                </c:pt>
                <c:pt idx="5">
                  <c:v>93.752330261178145</c:v>
                </c:pt>
                <c:pt idx="6">
                  <c:v>86.811663105059509</c:v>
                </c:pt>
                <c:pt idx="7">
                  <c:v>79.643812518387932</c:v>
                </c:pt>
                <c:pt idx="8">
                  <c:v>88.887920831852767</c:v>
                </c:pt>
                <c:pt idx="9">
                  <c:v>92.923464078044901</c:v>
                </c:pt>
                <c:pt idx="10">
                  <c:v>98.30519698859753</c:v>
                </c:pt>
                <c:pt idx="11">
                  <c:v>99.977310656379856</c:v>
                </c:pt>
                <c:pt idx="12">
                  <c:v>90.415711128050958</c:v>
                </c:pt>
                <c:pt idx="13">
                  <c:v>92.544788099159774</c:v>
                </c:pt>
                <c:pt idx="14">
                  <c:v>123.33461185332185</c:v>
                </c:pt>
                <c:pt idx="15">
                  <c:v>145.62616468779689</c:v>
                </c:pt>
                <c:pt idx="16">
                  <c:v>129.53315145310887</c:v>
                </c:pt>
                <c:pt idx="17">
                  <c:v>119.63933960141166</c:v>
                </c:pt>
                <c:pt idx="18">
                  <c:v>125.94594158412818</c:v>
                </c:pt>
                <c:pt idx="19">
                  <c:v>144.1652577242715</c:v>
                </c:pt>
                <c:pt idx="20">
                  <c:v>138.93267521074247</c:v>
                </c:pt>
                <c:pt idx="21">
                  <c:v>141.26446794210585</c:v>
                </c:pt>
                <c:pt idx="22">
                  <c:v>138.86123791492062</c:v>
                </c:pt>
                <c:pt idx="23">
                  <c:v>148.90368550768355</c:v>
                </c:pt>
                <c:pt idx="24">
                  <c:v>166.47364542706634</c:v>
                </c:pt>
                <c:pt idx="25" formatCode="0.0">
                  <c:v>148.19932435921535</c:v>
                </c:pt>
                <c:pt idx="26">
                  <c:v>152.66035698218914</c:v>
                </c:pt>
                <c:pt idx="27">
                  <c:v>181.60981243888315</c:v>
                </c:pt>
                <c:pt idx="28">
                  <c:v>206.29915943030915</c:v>
                </c:pt>
                <c:pt idx="29" formatCode="0.0">
                  <c:v>183.13123212450395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2D8C-45EE-B332-341AC82C0A6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838464"/>
        <c:axId val="244839024"/>
      </c:lineChart>
      <c:catAx>
        <c:axId val="2448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4839024"/>
        <c:crossesAt val="30"/>
        <c:auto val="0"/>
        <c:lblAlgn val="ctr"/>
        <c:lblOffset val="100"/>
        <c:noMultiLvlLbl val="0"/>
      </c:catAx>
      <c:valAx>
        <c:axId val="244839024"/>
        <c:scaling>
          <c:orientation val="minMax"/>
          <c:max val="240"/>
          <c:min val="30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483846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4.74852012668594E-2"/>
          <c:y val="0.92998052662771991"/>
          <c:w val="0.90022613392334228"/>
          <c:h val="6.78598947061441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4224392622983"/>
          <c:y val="2.5787355527927429E-2"/>
          <c:w val="0.79270742942846428"/>
          <c:h val="0.744733158355205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3'!$B$22</c:f>
              <c:strCache>
                <c:ptCount val="1"/>
                <c:pt idx="0">
                  <c:v>Ianuarie-iunie 2022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3'!$A$23:$A$27</c:f>
              <c:strCache>
                <c:ptCount val="5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</c:strCache>
            </c:strRef>
          </c:cat>
          <c:val>
            <c:numRef>
              <c:f>'Figura 3'!$B$23:$B$27</c:f>
              <c:numCache>
                <c:formatCode>0.0</c:formatCode>
                <c:ptCount val="5"/>
                <c:pt idx="0">
                  <c:v>16.600000000000001</c:v>
                </c:pt>
                <c:pt idx="1">
                  <c:v>9.6</c:v>
                </c:pt>
                <c:pt idx="2">
                  <c:v>73.099999999999994</c:v>
                </c:pt>
                <c:pt idx="3">
                  <c:v>0.7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2-423F-8D54-2DEAA91EB392}"/>
            </c:ext>
          </c:extLst>
        </c:ser>
        <c:ser>
          <c:idx val="1"/>
          <c:order val="1"/>
          <c:tx>
            <c:strRef>
              <c:f>'Figura 3'!$C$22</c:f>
              <c:strCache>
                <c:ptCount val="1"/>
                <c:pt idx="0">
                  <c:v>Ianuarie-iunie 2021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3'!$A$23:$A$27</c:f>
              <c:strCache>
                <c:ptCount val="5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</c:strCache>
            </c:strRef>
          </c:cat>
          <c:val>
            <c:numRef>
              <c:f>'Figura 3'!$C$23:$C$27</c:f>
              <c:numCache>
                <c:formatCode>0.0</c:formatCode>
                <c:ptCount val="5"/>
                <c:pt idx="0">
                  <c:v>6.1</c:v>
                </c:pt>
                <c:pt idx="1">
                  <c:v>0.7</c:v>
                </c:pt>
                <c:pt idx="2">
                  <c:v>92</c:v>
                </c:pt>
                <c:pt idx="3">
                  <c:v>1.1000000000000001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D-49BF-AD38-66FEB4074930}"/>
            </c:ext>
          </c:extLst>
        </c:ser>
        <c:ser>
          <c:idx val="2"/>
          <c:order val="2"/>
          <c:tx>
            <c:strRef>
              <c:f>'Figura 3'!$D$22</c:f>
              <c:strCache>
                <c:ptCount val="1"/>
                <c:pt idx="0">
                  <c:v>Ianuarie-iunie 2020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3'!$A$23:$A$27</c:f>
              <c:strCache>
                <c:ptCount val="5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</c:strCache>
            </c:strRef>
          </c:cat>
          <c:val>
            <c:numRef>
              <c:f>'Figura 3'!$D$23:$D$27</c:f>
              <c:numCache>
                <c:formatCode>0.0</c:formatCode>
                <c:ptCount val="5"/>
                <c:pt idx="0">
                  <c:v>9.5</c:v>
                </c:pt>
                <c:pt idx="1">
                  <c:v>4.3</c:v>
                </c:pt>
                <c:pt idx="2">
                  <c:v>85</c:v>
                </c:pt>
                <c:pt idx="3">
                  <c:v>1.1000000000000001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D-49BF-AD38-66FEB4074930}"/>
            </c:ext>
          </c:extLst>
        </c:ser>
        <c:ser>
          <c:idx val="3"/>
          <c:order val="3"/>
          <c:tx>
            <c:strRef>
              <c:f>'Figura 3'!$E$22</c:f>
              <c:strCache>
                <c:ptCount val="1"/>
                <c:pt idx="0">
                  <c:v>Ianuarie-iunie 2019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3'!$A$23:$A$27</c:f>
              <c:strCache>
                <c:ptCount val="5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</c:strCache>
            </c:strRef>
          </c:cat>
          <c:val>
            <c:numRef>
              <c:f>'Figura 3'!$E$23:$E$27</c:f>
              <c:numCache>
                <c:formatCode>0.0</c:formatCode>
                <c:ptCount val="5"/>
                <c:pt idx="0">
                  <c:v>7.5</c:v>
                </c:pt>
                <c:pt idx="1">
                  <c:v>4.3</c:v>
                </c:pt>
                <c:pt idx="2">
                  <c:v>86.6</c:v>
                </c:pt>
                <c:pt idx="3">
                  <c:v>1.6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7D-49BF-AD38-66FEB4074930}"/>
            </c:ext>
          </c:extLst>
        </c:ser>
        <c:ser>
          <c:idx val="4"/>
          <c:order val="4"/>
          <c:tx>
            <c:strRef>
              <c:f>'Figura 3'!$F$22</c:f>
              <c:strCache>
                <c:ptCount val="1"/>
                <c:pt idx="0">
                  <c:v>Ianuarie-iunie 2018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3'!$A$23:$A$27</c:f>
              <c:strCache>
                <c:ptCount val="5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</c:strCache>
            </c:strRef>
          </c:cat>
          <c:val>
            <c:numRef>
              <c:f>'Figura 3'!$F$23:$F$27</c:f>
              <c:numCache>
                <c:formatCode>0.0</c:formatCode>
                <c:ptCount val="5"/>
                <c:pt idx="0">
                  <c:v>7.8</c:v>
                </c:pt>
                <c:pt idx="1">
                  <c:v>2.9</c:v>
                </c:pt>
                <c:pt idx="2">
                  <c:v>87</c:v>
                </c:pt>
                <c:pt idx="3">
                  <c:v>2.2000000000000002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7D-49BF-AD38-66FEB4074930}"/>
            </c:ext>
          </c:extLst>
        </c:ser>
        <c:ser>
          <c:idx val="5"/>
          <c:order val="5"/>
          <c:tx>
            <c:strRef>
              <c:f>'Figura 3'!$G$22</c:f>
              <c:strCache>
                <c:ptCount val="1"/>
                <c:pt idx="0">
                  <c:v>Ianuarie-iunie 2017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3'!$A$23:$A$27</c:f>
              <c:strCache>
                <c:ptCount val="5"/>
                <c:pt idx="0">
                  <c:v>Transport maritim</c:v>
                </c:pt>
                <c:pt idx="1">
                  <c:v>Transport feroviar</c:v>
                </c:pt>
                <c:pt idx="2">
                  <c:v>Transport rutier</c:v>
                </c:pt>
                <c:pt idx="3">
                  <c:v>Transport aerian</c:v>
                </c:pt>
                <c:pt idx="4">
                  <c:v>Expedieri poştale</c:v>
                </c:pt>
              </c:strCache>
            </c:strRef>
          </c:cat>
          <c:val>
            <c:numRef>
              <c:f>'Figura 3'!$G$23:$G$27</c:f>
              <c:numCache>
                <c:formatCode>0.0</c:formatCode>
                <c:ptCount val="5"/>
                <c:pt idx="0">
                  <c:v>6.8</c:v>
                </c:pt>
                <c:pt idx="1">
                  <c:v>1.6</c:v>
                </c:pt>
                <c:pt idx="2">
                  <c:v>88.7</c:v>
                </c:pt>
                <c:pt idx="3">
                  <c:v>2.8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7D-49BF-AD38-66FEB4074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5861504"/>
        <c:axId val="245862064"/>
      </c:barChart>
      <c:catAx>
        <c:axId val="245861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5862064"/>
        <c:crossesAt val="0"/>
        <c:auto val="1"/>
        <c:lblAlgn val="ctr"/>
        <c:lblOffset val="100"/>
        <c:noMultiLvlLbl val="0"/>
      </c:catAx>
      <c:valAx>
        <c:axId val="245862064"/>
        <c:scaling>
          <c:orientation val="minMax"/>
        </c:scaling>
        <c:delete val="0"/>
        <c:axPos val="b"/>
        <c:numFmt formatCode="0.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5861504"/>
        <c:crosses val="autoZero"/>
        <c:crossBetween val="between"/>
        <c:minorUnit val="1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b"/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5367679212229254"/>
          <c:y val="0.91334309527098589"/>
          <c:w val="0.84632320787770732"/>
          <c:h val="8.665690472901413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04656893772519E-2"/>
          <c:y val="7.3647867187333294E-2"/>
          <c:w val="0.91824273573520354"/>
          <c:h val="0.706147048074686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4'!$A$21</c:f>
              <c:strCache>
                <c:ptCount val="1"/>
                <c:pt idx="0">
                  <c:v>Ţările Uniunii Europene 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4'!$B$20:$G$20</c:f>
              <c:strCache>
                <c:ptCount val="6"/>
                <c:pt idx="0">
                  <c:v>Ianuarie-iunie 2017</c:v>
                </c:pt>
                <c:pt idx="1">
                  <c:v>Ianuarie-iunie 2018</c:v>
                </c:pt>
                <c:pt idx="2">
                  <c:v>Ianuarie-iunie 2019</c:v>
                </c:pt>
                <c:pt idx="3">
                  <c:v>Ianuarie-iunie 2020</c:v>
                </c:pt>
                <c:pt idx="4">
                  <c:v>Ianuarie-iunie 2021</c:v>
                </c:pt>
                <c:pt idx="5">
                  <c:v>Ianuarie-iunie 2022</c:v>
                </c:pt>
              </c:strCache>
            </c:strRef>
          </c:cat>
          <c:val>
            <c:numRef>
              <c:f>'Figura 4'!$B$21:$G$21</c:f>
              <c:numCache>
                <c:formatCode>#,##0.0</c:formatCode>
                <c:ptCount val="6"/>
                <c:pt idx="0" formatCode="General">
                  <c:v>57.5</c:v>
                </c:pt>
                <c:pt idx="1">
                  <c:v>65.226046049697587</c:v>
                </c:pt>
                <c:pt idx="2" formatCode="General">
                  <c:v>62.7</c:v>
                </c:pt>
                <c:pt idx="3" formatCode="0.0">
                  <c:v>63.4</c:v>
                </c:pt>
                <c:pt idx="4" formatCode="General">
                  <c:v>64.5</c:v>
                </c:pt>
                <c:pt idx="5" formatCode="General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9-4207-A2A3-2E8D24AB4E7A}"/>
            </c:ext>
          </c:extLst>
        </c:ser>
        <c:ser>
          <c:idx val="1"/>
          <c:order val="1"/>
          <c:tx>
            <c:strRef>
              <c:f>'Figura 4'!$A$22</c:f>
              <c:strCache>
                <c:ptCount val="1"/>
                <c:pt idx="0">
                  <c:v>Ţările CSI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4'!$B$20:$G$20</c:f>
              <c:strCache>
                <c:ptCount val="6"/>
                <c:pt idx="0">
                  <c:v>Ianuarie-iunie 2017</c:v>
                </c:pt>
                <c:pt idx="1">
                  <c:v>Ianuarie-iunie 2018</c:v>
                </c:pt>
                <c:pt idx="2">
                  <c:v>Ianuarie-iunie 2019</c:v>
                </c:pt>
                <c:pt idx="3">
                  <c:v>Ianuarie-iunie 2020</c:v>
                </c:pt>
                <c:pt idx="4">
                  <c:v>Ianuarie-iunie 2021</c:v>
                </c:pt>
                <c:pt idx="5">
                  <c:v>Ianuarie-iunie 2022</c:v>
                </c:pt>
              </c:strCache>
            </c:strRef>
          </c:cat>
          <c:val>
            <c:numRef>
              <c:f>'Figura 4'!$B$22:$G$22</c:f>
              <c:numCache>
                <c:formatCode>#,##0.0</c:formatCode>
                <c:ptCount val="6"/>
                <c:pt idx="0" formatCode="General">
                  <c:v>21.1</c:v>
                </c:pt>
                <c:pt idx="1">
                  <c:v>15.840903585725504</c:v>
                </c:pt>
                <c:pt idx="2" formatCode="General">
                  <c:v>14.9</c:v>
                </c:pt>
                <c:pt idx="3" formatCode="0.0">
                  <c:v>16.600000000000001</c:v>
                </c:pt>
                <c:pt idx="4" formatCode="General">
                  <c:v>15.7</c:v>
                </c:pt>
                <c:pt idx="5" formatCode="General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9-4207-A2A3-2E8D24AB4E7A}"/>
            </c:ext>
          </c:extLst>
        </c:ser>
        <c:ser>
          <c:idx val="2"/>
          <c:order val="2"/>
          <c:tx>
            <c:strRef>
              <c:f>'Figura 4'!$A$23</c:f>
              <c:strCache>
                <c:ptCount val="1"/>
                <c:pt idx="0">
                  <c:v>Celelalte ţări ale lumii 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4'!$B$20:$G$20</c:f>
              <c:strCache>
                <c:ptCount val="6"/>
                <c:pt idx="0">
                  <c:v>Ianuarie-iunie 2017</c:v>
                </c:pt>
                <c:pt idx="1">
                  <c:v>Ianuarie-iunie 2018</c:v>
                </c:pt>
                <c:pt idx="2">
                  <c:v>Ianuarie-iunie 2019</c:v>
                </c:pt>
                <c:pt idx="3">
                  <c:v>Ianuarie-iunie 2020</c:v>
                </c:pt>
                <c:pt idx="4">
                  <c:v>Ianuarie-iunie 2021</c:v>
                </c:pt>
                <c:pt idx="5">
                  <c:v>Ianuarie-iunie 2022</c:v>
                </c:pt>
              </c:strCache>
            </c:strRef>
          </c:cat>
          <c:val>
            <c:numRef>
              <c:f>'Figura 4'!$B$23:$G$23</c:f>
              <c:numCache>
                <c:formatCode>#,##0.0</c:formatCode>
                <c:ptCount val="6"/>
                <c:pt idx="0" formatCode="General">
                  <c:v>21.4</c:v>
                </c:pt>
                <c:pt idx="1">
                  <c:v>18.933050364576911</c:v>
                </c:pt>
                <c:pt idx="2" formatCode="General">
                  <c:v>22.4</c:v>
                </c:pt>
                <c:pt idx="3" formatCode="0.0">
                  <c:v>20</c:v>
                </c:pt>
                <c:pt idx="4" formatCode="General">
                  <c:v>19.8</c:v>
                </c:pt>
                <c:pt idx="5" formatCode="General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9-4207-A2A3-2E8D24AB4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5865984"/>
        <c:axId val="245866544"/>
      </c:barChart>
      <c:catAx>
        <c:axId val="24586598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5866544"/>
        <c:crosses val="autoZero"/>
        <c:auto val="1"/>
        <c:lblAlgn val="ctr"/>
        <c:lblOffset val="100"/>
        <c:noMultiLvlLbl val="0"/>
      </c:catAx>
      <c:valAx>
        <c:axId val="245866544"/>
        <c:scaling>
          <c:orientation val="minMax"/>
          <c:max val="100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5865984"/>
        <c:crosses val="autoZero"/>
        <c:crossBetween val="between"/>
        <c:majorUnit val="10"/>
      </c:valAx>
      <c:spPr>
        <a:noFill/>
        <a:ln w="31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93755372041909391"/>
          <c:w val="1"/>
          <c:h val="6.2446458898520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141699880107581E-2"/>
          <c:y val="3.9900389809764354E-2"/>
          <c:w val="0.94076377536801559"/>
          <c:h val="0.63684441343566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5'!$B$22</c:f>
              <c:strCache>
                <c:ptCount val="1"/>
                <c:pt idx="0">
                  <c:v>Ianuarie-iunie 2017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5'!$A$23:$A$43</c:f>
              <c:strCache>
                <c:ptCount val="21"/>
                <c:pt idx="0">
                  <c:v>România</c:v>
                </c:pt>
                <c:pt idx="1">
                  <c:v>Ucraina</c:v>
                </c:pt>
                <c:pt idx="2">
                  <c:v>Turcia</c:v>
                </c:pt>
                <c:pt idx="3">
                  <c:v>Italia</c:v>
                </c:pt>
                <c:pt idx="4">
                  <c:v>Germania</c:v>
                </c:pt>
                <c:pt idx="5">
                  <c:v>Federația Rusă</c:v>
                </c:pt>
                <c:pt idx="6">
                  <c:v>Bulgaria</c:v>
                </c:pt>
                <c:pt idx="7">
                  <c:v>Polonia</c:v>
                </c:pt>
                <c:pt idx="8">
                  <c:v>Elveția</c:v>
                </c:pt>
                <c:pt idx="9">
                  <c:v>Cehia</c:v>
                </c:pt>
                <c:pt idx="10">
                  <c:v>Netherlands</c:v>
                </c:pt>
                <c:pt idx="11">
                  <c:v>Iran</c:v>
                </c:pt>
                <c:pt idx="12">
                  <c:v>Regatul Unit </c:v>
                </c:pt>
                <c:pt idx="13">
                  <c:v>Belarus</c:v>
                </c:pt>
                <c:pt idx="14">
                  <c:v>Ungaria</c:v>
                </c:pt>
                <c:pt idx="15">
                  <c:v>Franța</c:v>
                </c:pt>
                <c:pt idx="16">
                  <c:v>S.U.A.</c:v>
                </c:pt>
                <c:pt idx="17">
                  <c:v>Grecia</c:v>
                </c:pt>
                <c:pt idx="18">
                  <c:v>Liban</c:v>
                </c:pt>
                <c:pt idx="19">
                  <c:v>Spania</c:v>
                </c:pt>
                <c:pt idx="20">
                  <c:v>Portugalia</c:v>
                </c:pt>
              </c:strCache>
            </c:strRef>
          </c:cat>
          <c:val>
            <c:numRef>
              <c:f>'Figura 5'!$B$23:$B$43</c:f>
              <c:numCache>
                <c:formatCode>#,##0.0</c:formatCode>
                <c:ptCount val="21"/>
                <c:pt idx="0">
                  <c:v>24.38443052335672</c:v>
                </c:pt>
                <c:pt idx="1">
                  <c:v>2.8991751172823754</c:v>
                </c:pt>
                <c:pt idx="2">
                  <c:v>4.8481371387124366</c:v>
                </c:pt>
                <c:pt idx="3">
                  <c:v>9.0147622146328512</c:v>
                </c:pt>
                <c:pt idx="4">
                  <c:v>6.9064810097243177</c:v>
                </c:pt>
                <c:pt idx="5">
                  <c:v>11.338539184438821</c:v>
                </c:pt>
                <c:pt idx="6">
                  <c:v>3.5027221523954077</c:v>
                </c:pt>
                <c:pt idx="7">
                  <c:v>3.2740845610734879</c:v>
                </c:pt>
                <c:pt idx="8">
                  <c:v>1.1926758549485763</c:v>
                </c:pt>
                <c:pt idx="9">
                  <c:v>1.4634916415005164</c:v>
                </c:pt>
                <c:pt idx="10">
                  <c:v>1.1164027580551308</c:v>
                </c:pt>
                <c:pt idx="11">
                  <c:v>9.2142731364944355E-5</c:v>
                </c:pt>
                <c:pt idx="12">
                  <c:v>5.8830564357523905</c:v>
                </c:pt>
                <c:pt idx="13">
                  <c:v>5.5606068726950406</c:v>
                </c:pt>
                <c:pt idx="14">
                  <c:v>0.32712321278912471</c:v>
                </c:pt>
                <c:pt idx="15">
                  <c:v>1.6847874869181725</c:v>
                </c:pt>
                <c:pt idx="16">
                  <c:v>0.81108551751315228</c:v>
                </c:pt>
                <c:pt idx="17">
                  <c:v>1.139109435713515</c:v>
                </c:pt>
                <c:pt idx="18">
                  <c:v>0.48086535484398557</c:v>
                </c:pt>
                <c:pt idx="19">
                  <c:v>1.0071054592038231</c:v>
                </c:pt>
                <c:pt idx="20">
                  <c:v>4.7155876099301622E-3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D-42D8-B371-6A71C526E757}"/>
            </c:ext>
          </c:extLst>
        </c:ser>
        <c:ser>
          <c:idx val="1"/>
          <c:order val="1"/>
          <c:tx>
            <c:strRef>
              <c:f>'Figura 5'!$C$22</c:f>
              <c:strCache>
                <c:ptCount val="1"/>
                <c:pt idx="0">
                  <c:v>Ianuarie-iunie 2018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5'!$A$23:$A$43</c:f>
              <c:strCache>
                <c:ptCount val="21"/>
                <c:pt idx="0">
                  <c:v>România</c:v>
                </c:pt>
                <c:pt idx="1">
                  <c:v>Ucraina</c:v>
                </c:pt>
                <c:pt idx="2">
                  <c:v>Turcia</c:v>
                </c:pt>
                <c:pt idx="3">
                  <c:v>Italia</c:v>
                </c:pt>
                <c:pt idx="4">
                  <c:v>Germania</c:v>
                </c:pt>
                <c:pt idx="5">
                  <c:v>Federația Rusă</c:v>
                </c:pt>
                <c:pt idx="6">
                  <c:v>Bulgaria</c:v>
                </c:pt>
                <c:pt idx="7">
                  <c:v>Polonia</c:v>
                </c:pt>
                <c:pt idx="8">
                  <c:v>Elveția</c:v>
                </c:pt>
                <c:pt idx="9">
                  <c:v>Cehia</c:v>
                </c:pt>
                <c:pt idx="10">
                  <c:v>Netherlands</c:v>
                </c:pt>
                <c:pt idx="11">
                  <c:v>Iran</c:v>
                </c:pt>
                <c:pt idx="12">
                  <c:v>Regatul Unit </c:v>
                </c:pt>
                <c:pt idx="13">
                  <c:v>Belarus</c:v>
                </c:pt>
                <c:pt idx="14">
                  <c:v>Ungaria</c:v>
                </c:pt>
                <c:pt idx="15">
                  <c:v>Franța</c:v>
                </c:pt>
                <c:pt idx="16">
                  <c:v>S.U.A.</c:v>
                </c:pt>
                <c:pt idx="17">
                  <c:v>Grecia</c:v>
                </c:pt>
                <c:pt idx="18">
                  <c:v>Liban</c:v>
                </c:pt>
                <c:pt idx="19">
                  <c:v>Spania</c:v>
                </c:pt>
                <c:pt idx="20">
                  <c:v>Portugalia</c:v>
                </c:pt>
              </c:strCache>
            </c:strRef>
          </c:cat>
          <c:val>
            <c:numRef>
              <c:f>'Figura 5'!$C$23:$C$43</c:f>
              <c:numCache>
                <c:formatCode>#,##0.0</c:formatCode>
                <c:ptCount val="21"/>
                <c:pt idx="0">
                  <c:v>26.34514039399679</c:v>
                </c:pt>
                <c:pt idx="1">
                  <c:v>2.9377102384110194</c:v>
                </c:pt>
                <c:pt idx="2">
                  <c:v>3.8423150688076682</c:v>
                </c:pt>
                <c:pt idx="3">
                  <c:v>11.208831829102861</c:v>
                </c:pt>
                <c:pt idx="4">
                  <c:v>8.6151322959585031</c:v>
                </c:pt>
                <c:pt idx="5">
                  <c:v>8.1724110057205746</c:v>
                </c:pt>
                <c:pt idx="6">
                  <c:v>2.2402315740802838</c:v>
                </c:pt>
                <c:pt idx="7">
                  <c:v>3.5081966858443185</c:v>
                </c:pt>
                <c:pt idx="8">
                  <c:v>2.2123816200239084</c:v>
                </c:pt>
                <c:pt idx="9">
                  <c:v>1.5784591410721982</c:v>
                </c:pt>
                <c:pt idx="10">
                  <c:v>1.4593585110599621</c:v>
                </c:pt>
                <c:pt idx="11">
                  <c:v>1.4331218662319985E-2</c:v>
                </c:pt>
                <c:pt idx="12">
                  <c:v>3.2543883879133122</c:v>
                </c:pt>
                <c:pt idx="13">
                  <c:v>3.7285161204639974</c:v>
                </c:pt>
                <c:pt idx="14">
                  <c:v>0.29238227420584578</c:v>
                </c:pt>
                <c:pt idx="15">
                  <c:v>2.0529877855390901</c:v>
                </c:pt>
                <c:pt idx="16">
                  <c:v>0.84571318752491054</c:v>
                </c:pt>
                <c:pt idx="17">
                  <c:v>1.350868680510743</c:v>
                </c:pt>
                <c:pt idx="18">
                  <c:v>0.64591695000578886</c:v>
                </c:pt>
                <c:pt idx="19">
                  <c:v>1.3352143524334812</c:v>
                </c:pt>
                <c:pt idx="20">
                  <c:v>0.70172943971063328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D-42D8-B371-6A71C526E757}"/>
            </c:ext>
          </c:extLst>
        </c:ser>
        <c:ser>
          <c:idx val="2"/>
          <c:order val="2"/>
          <c:tx>
            <c:strRef>
              <c:f>'Figura 5'!$D$22</c:f>
              <c:strCache>
                <c:ptCount val="1"/>
                <c:pt idx="0">
                  <c:v>Ianuarie-iunie 2019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5'!$A$23:$A$43</c:f>
              <c:strCache>
                <c:ptCount val="21"/>
                <c:pt idx="0">
                  <c:v>România</c:v>
                </c:pt>
                <c:pt idx="1">
                  <c:v>Ucraina</c:v>
                </c:pt>
                <c:pt idx="2">
                  <c:v>Turcia</c:v>
                </c:pt>
                <c:pt idx="3">
                  <c:v>Italia</c:v>
                </c:pt>
                <c:pt idx="4">
                  <c:v>Germania</c:v>
                </c:pt>
                <c:pt idx="5">
                  <c:v>Federația Rusă</c:v>
                </c:pt>
                <c:pt idx="6">
                  <c:v>Bulgaria</c:v>
                </c:pt>
                <c:pt idx="7">
                  <c:v>Polonia</c:v>
                </c:pt>
                <c:pt idx="8">
                  <c:v>Elveția</c:v>
                </c:pt>
                <c:pt idx="9">
                  <c:v>Cehia</c:v>
                </c:pt>
                <c:pt idx="10">
                  <c:v>Netherlands</c:v>
                </c:pt>
                <c:pt idx="11">
                  <c:v>Iran</c:v>
                </c:pt>
                <c:pt idx="12">
                  <c:v>Regatul Unit </c:v>
                </c:pt>
                <c:pt idx="13">
                  <c:v>Belarus</c:v>
                </c:pt>
                <c:pt idx="14">
                  <c:v>Ungaria</c:v>
                </c:pt>
                <c:pt idx="15">
                  <c:v>Franța</c:v>
                </c:pt>
                <c:pt idx="16">
                  <c:v>S.U.A.</c:v>
                </c:pt>
                <c:pt idx="17">
                  <c:v>Grecia</c:v>
                </c:pt>
                <c:pt idx="18">
                  <c:v>Liban</c:v>
                </c:pt>
                <c:pt idx="19">
                  <c:v>Spania</c:v>
                </c:pt>
                <c:pt idx="20">
                  <c:v>Portugalia</c:v>
                </c:pt>
              </c:strCache>
            </c:strRef>
          </c:cat>
          <c:val>
            <c:numRef>
              <c:f>'Figura 5'!$D$23:$D$43</c:f>
              <c:numCache>
                <c:formatCode>#,##0.0</c:formatCode>
                <c:ptCount val="21"/>
                <c:pt idx="0">
                  <c:v>27.950415127956578</c:v>
                </c:pt>
                <c:pt idx="1">
                  <c:v>2.7038597222645273</c:v>
                </c:pt>
                <c:pt idx="2">
                  <c:v>8.9327299812967862</c:v>
                </c:pt>
                <c:pt idx="3">
                  <c:v>9.9765345873948732</c:v>
                </c:pt>
                <c:pt idx="4">
                  <c:v>9.160723217525879</c:v>
                </c:pt>
                <c:pt idx="5">
                  <c:v>8.4064039231951728</c:v>
                </c:pt>
                <c:pt idx="6">
                  <c:v>1.4781274648166591</c:v>
                </c:pt>
                <c:pt idx="7">
                  <c:v>3.8312638341394432</c:v>
                </c:pt>
                <c:pt idx="8">
                  <c:v>2.467055680680001</c:v>
                </c:pt>
                <c:pt idx="9">
                  <c:v>1.8097061388192031</c:v>
                </c:pt>
                <c:pt idx="10">
                  <c:v>1.3686558525887722</c:v>
                </c:pt>
                <c:pt idx="11">
                  <c:v>0</c:v>
                </c:pt>
                <c:pt idx="12">
                  <c:v>1.9207642465051764</c:v>
                </c:pt>
                <c:pt idx="13">
                  <c:v>3.0711799847789547</c:v>
                </c:pt>
                <c:pt idx="14">
                  <c:v>0.30815359004600767</c:v>
                </c:pt>
                <c:pt idx="15">
                  <c:v>1.3169638820433149</c:v>
                </c:pt>
                <c:pt idx="16">
                  <c:v>0.81606187135576758</c:v>
                </c:pt>
                <c:pt idx="17">
                  <c:v>0.78209847343595051</c:v>
                </c:pt>
                <c:pt idx="18">
                  <c:v>0.57272262339461777</c:v>
                </c:pt>
                <c:pt idx="19">
                  <c:v>1.4644868453965914</c:v>
                </c:pt>
                <c:pt idx="20">
                  <c:v>5.7330529908284833E-3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D-42D8-B371-6A71C526E757}"/>
            </c:ext>
          </c:extLst>
        </c:ser>
        <c:ser>
          <c:idx val="3"/>
          <c:order val="3"/>
          <c:tx>
            <c:strRef>
              <c:f>'Figura 5'!$E$22</c:f>
              <c:strCache>
                <c:ptCount val="1"/>
                <c:pt idx="0">
                  <c:v>Ianuarie-iunie 2020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5'!$A$23:$A$43</c:f>
              <c:strCache>
                <c:ptCount val="21"/>
                <c:pt idx="0">
                  <c:v>România</c:v>
                </c:pt>
                <c:pt idx="1">
                  <c:v>Ucraina</c:v>
                </c:pt>
                <c:pt idx="2">
                  <c:v>Turcia</c:v>
                </c:pt>
                <c:pt idx="3">
                  <c:v>Italia</c:v>
                </c:pt>
                <c:pt idx="4">
                  <c:v>Germania</c:v>
                </c:pt>
                <c:pt idx="5">
                  <c:v>Federația Rusă</c:v>
                </c:pt>
                <c:pt idx="6">
                  <c:v>Bulgaria</c:v>
                </c:pt>
                <c:pt idx="7">
                  <c:v>Polonia</c:v>
                </c:pt>
                <c:pt idx="8">
                  <c:v>Elveția</c:v>
                </c:pt>
                <c:pt idx="9">
                  <c:v>Cehia</c:v>
                </c:pt>
                <c:pt idx="10">
                  <c:v>Netherlands</c:v>
                </c:pt>
                <c:pt idx="11">
                  <c:v>Iran</c:v>
                </c:pt>
                <c:pt idx="12">
                  <c:v>Regatul Unit </c:v>
                </c:pt>
                <c:pt idx="13">
                  <c:v>Belarus</c:v>
                </c:pt>
                <c:pt idx="14">
                  <c:v>Ungaria</c:v>
                </c:pt>
                <c:pt idx="15">
                  <c:v>Franța</c:v>
                </c:pt>
                <c:pt idx="16">
                  <c:v>S.U.A.</c:v>
                </c:pt>
                <c:pt idx="17">
                  <c:v>Grecia</c:v>
                </c:pt>
                <c:pt idx="18">
                  <c:v>Liban</c:v>
                </c:pt>
                <c:pt idx="19">
                  <c:v>Spania</c:v>
                </c:pt>
                <c:pt idx="20">
                  <c:v>Portugalia</c:v>
                </c:pt>
              </c:strCache>
            </c:strRef>
          </c:cat>
          <c:val>
            <c:numRef>
              <c:f>'Figura 5'!$E$23:$E$43</c:f>
              <c:numCache>
                <c:formatCode>#,##0.0</c:formatCode>
                <c:ptCount val="21"/>
                <c:pt idx="0">
                  <c:v>25.13325321361145</c:v>
                </c:pt>
                <c:pt idx="1">
                  <c:v>2.3437733351542649</c:v>
                </c:pt>
                <c:pt idx="2">
                  <c:v>7.289897422224902</c:v>
                </c:pt>
                <c:pt idx="3">
                  <c:v>9.0715248542585911</c:v>
                </c:pt>
                <c:pt idx="4">
                  <c:v>8.8504403341887876</c:v>
                </c:pt>
                <c:pt idx="5">
                  <c:v>10.579742003328773</c:v>
                </c:pt>
                <c:pt idx="6">
                  <c:v>1.5960807378370714</c:v>
                </c:pt>
                <c:pt idx="7">
                  <c:v>3.9991225037181581</c:v>
                </c:pt>
                <c:pt idx="8">
                  <c:v>3.4460316411561847</c:v>
                </c:pt>
                <c:pt idx="9">
                  <c:v>3.3524445980298099</c:v>
                </c:pt>
                <c:pt idx="10">
                  <c:v>1.4738076990946971</c:v>
                </c:pt>
                <c:pt idx="11">
                  <c:v>5.986478775343221E-3</c:v>
                </c:pt>
                <c:pt idx="12">
                  <c:v>1.5910005616295826</c:v>
                </c:pt>
                <c:pt idx="13">
                  <c:v>2.786895367398126</c:v>
                </c:pt>
                <c:pt idx="14">
                  <c:v>0.73834581359906759</c:v>
                </c:pt>
                <c:pt idx="15">
                  <c:v>1.5711171284282912</c:v>
                </c:pt>
                <c:pt idx="16">
                  <c:v>1.0572447115991079</c:v>
                </c:pt>
                <c:pt idx="17">
                  <c:v>1.7599074144088451</c:v>
                </c:pt>
                <c:pt idx="18">
                  <c:v>0.70668414047546935</c:v>
                </c:pt>
                <c:pt idx="19">
                  <c:v>1.8581973077699394</c:v>
                </c:pt>
                <c:pt idx="20">
                  <c:v>0.76584428668620952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DD-42D8-B371-6A71C526E757}"/>
            </c:ext>
          </c:extLst>
        </c:ser>
        <c:ser>
          <c:idx val="4"/>
          <c:order val="4"/>
          <c:tx>
            <c:strRef>
              <c:f>'Figura 5'!$F$22</c:f>
              <c:strCache>
                <c:ptCount val="1"/>
                <c:pt idx="0">
                  <c:v>Ianuarie-iunie 2021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5'!$A$23:$A$43</c:f>
              <c:strCache>
                <c:ptCount val="21"/>
                <c:pt idx="0">
                  <c:v>România</c:v>
                </c:pt>
                <c:pt idx="1">
                  <c:v>Ucraina</c:v>
                </c:pt>
                <c:pt idx="2">
                  <c:v>Turcia</c:v>
                </c:pt>
                <c:pt idx="3">
                  <c:v>Italia</c:v>
                </c:pt>
                <c:pt idx="4">
                  <c:v>Germania</c:v>
                </c:pt>
                <c:pt idx="5">
                  <c:v>Federația Rusă</c:v>
                </c:pt>
                <c:pt idx="6">
                  <c:v>Bulgaria</c:v>
                </c:pt>
                <c:pt idx="7">
                  <c:v>Polonia</c:v>
                </c:pt>
                <c:pt idx="8">
                  <c:v>Elveția</c:v>
                </c:pt>
                <c:pt idx="9">
                  <c:v>Cehia</c:v>
                </c:pt>
                <c:pt idx="10">
                  <c:v>Netherlands</c:v>
                </c:pt>
                <c:pt idx="11">
                  <c:v>Iran</c:v>
                </c:pt>
                <c:pt idx="12">
                  <c:v>Regatul Unit </c:v>
                </c:pt>
                <c:pt idx="13">
                  <c:v>Belarus</c:v>
                </c:pt>
                <c:pt idx="14">
                  <c:v>Ungaria</c:v>
                </c:pt>
                <c:pt idx="15">
                  <c:v>Franța</c:v>
                </c:pt>
                <c:pt idx="16">
                  <c:v>S.U.A.</c:v>
                </c:pt>
                <c:pt idx="17">
                  <c:v>Grecia</c:v>
                </c:pt>
                <c:pt idx="18">
                  <c:v>Liban</c:v>
                </c:pt>
                <c:pt idx="19">
                  <c:v>Spania</c:v>
                </c:pt>
                <c:pt idx="20">
                  <c:v>Portugalia</c:v>
                </c:pt>
              </c:strCache>
            </c:strRef>
          </c:cat>
          <c:val>
            <c:numRef>
              <c:f>'Figura 5'!$F$23:$F$43</c:f>
              <c:numCache>
                <c:formatCode>#,##0.0</c:formatCode>
                <c:ptCount val="21"/>
                <c:pt idx="0">
                  <c:v>27.998286917499144</c:v>
                </c:pt>
                <c:pt idx="1">
                  <c:v>2.7784198656254522</c:v>
                </c:pt>
                <c:pt idx="2">
                  <c:v>8.6332022837369671</c:v>
                </c:pt>
                <c:pt idx="3">
                  <c:v>7.0793865040003876</c:v>
                </c:pt>
                <c:pt idx="4">
                  <c:v>10.111839304167276</c:v>
                </c:pt>
                <c:pt idx="5">
                  <c:v>9.6521564615520123</c:v>
                </c:pt>
                <c:pt idx="6">
                  <c:v>1.2364647049169104</c:v>
                </c:pt>
                <c:pt idx="7">
                  <c:v>3.8889345576490895</c:v>
                </c:pt>
                <c:pt idx="8">
                  <c:v>1.1823737695957297</c:v>
                </c:pt>
                <c:pt idx="9">
                  <c:v>3.1954097731589366</c:v>
                </c:pt>
                <c:pt idx="10">
                  <c:v>1.4117914203378279</c:v>
                </c:pt>
                <c:pt idx="11">
                  <c:v>1.3380757549670353E-3</c:v>
                </c:pt>
                <c:pt idx="12">
                  <c:v>1.9473931974507592</c:v>
                </c:pt>
                <c:pt idx="13">
                  <c:v>2.3003011598152643</c:v>
                </c:pt>
                <c:pt idx="14">
                  <c:v>1.4433529645500158</c:v>
                </c:pt>
                <c:pt idx="15">
                  <c:v>1.3399144359252682</c:v>
                </c:pt>
                <c:pt idx="16">
                  <c:v>0.86423493874454305</c:v>
                </c:pt>
                <c:pt idx="17">
                  <c:v>1.0218705917640165</c:v>
                </c:pt>
                <c:pt idx="18">
                  <c:v>1.0714227404721364</c:v>
                </c:pt>
                <c:pt idx="19">
                  <c:v>1.3973617393599889</c:v>
                </c:pt>
                <c:pt idx="20">
                  <c:v>1.2105101677454477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DD-42D8-B371-6A71C526E757}"/>
            </c:ext>
          </c:extLst>
        </c:ser>
        <c:ser>
          <c:idx val="5"/>
          <c:order val="5"/>
          <c:tx>
            <c:strRef>
              <c:f>'Figura 5'!$G$22</c:f>
              <c:strCache>
                <c:ptCount val="1"/>
                <c:pt idx="0">
                  <c:v>Ianuarie-iunie 2022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'Figura 5'!$A$23:$A$43</c:f>
              <c:strCache>
                <c:ptCount val="21"/>
                <c:pt idx="0">
                  <c:v>România</c:v>
                </c:pt>
                <c:pt idx="1">
                  <c:v>Ucraina</c:v>
                </c:pt>
                <c:pt idx="2">
                  <c:v>Turcia</c:v>
                </c:pt>
                <c:pt idx="3">
                  <c:v>Italia</c:v>
                </c:pt>
                <c:pt idx="4">
                  <c:v>Germania</c:v>
                </c:pt>
                <c:pt idx="5">
                  <c:v>Federația Rusă</c:v>
                </c:pt>
                <c:pt idx="6">
                  <c:v>Bulgaria</c:v>
                </c:pt>
                <c:pt idx="7">
                  <c:v>Polonia</c:v>
                </c:pt>
                <c:pt idx="8">
                  <c:v>Elveția</c:v>
                </c:pt>
                <c:pt idx="9">
                  <c:v>Cehia</c:v>
                </c:pt>
                <c:pt idx="10">
                  <c:v>Netherlands</c:v>
                </c:pt>
                <c:pt idx="11">
                  <c:v>Iran</c:v>
                </c:pt>
                <c:pt idx="12">
                  <c:v>Regatul Unit </c:v>
                </c:pt>
                <c:pt idx="13">
                  <c:v>Belarus</c:v>
                </c:pt>
                <c:pt idx="14">
                  <c:v>Ungaria</c:v>
                </c:pt>
                <c:pt idx="15">
                  <c:v>Franța</c:v>
                </c:pt>
                <c:pt idx="16">
                  <c:v>S.U.A.</c:v>
                </c:pt>
                <c:pt idx="17">
                  <c:v>Grecia</c:v>
                </c:pt>
                <c:pt idx="18">
                  <c:v>Liban</c:v>
                </c:pt>
                <c:pt idx="19">
                  <c:v>Spania</c:v>
                </c:pt>
                <c:pt idx="20">
                  <c:v>Portugalia</c:v>
                </c:pt>
              </c:strCache>
            </c:strRef>
          </c:cat>
          <c:val>
            <c:numRef>
              <c:f>'Figura 5'!$G$23:$G$43</c:f>
              <c:numCache>
                <c:formatCode>#,##0.0</c:formatCode>
                <c:ptCount val="21"/>
                <c:pt idx="0">
                  <c:v>28.994870970192522</c:v>
                </c:pt>
                <c:pt idx="1">
                  <c:v>10.843025035425478</c:v>
                </c:pt>
                <c:pt idx="2">
                  <c:v>9.2406524002092532</c:v>
                </c:pt>
                <c:pt idx="3">
                  <c:v>8.5085226135326746</c:v>
                </c:pt>
                <c:pt idx="4">
                  <c:v>5.628521622955347</c:v>
                </c:pt>
                <c:pt idx="5">
                  <c:v>5.1038185614551947</c:v>
                </c:pt>
                <c:pt idx="6">
                  <c:v>4.865605073731655</c:v>
                </c:pt>
                <c:pt idx="7">
                  <c:v>2.7511584620062717</c:v>
                </c:pt>
                <c:pt idx="8">
                  <c:v>2.4017910015428034</c:v>
                </c:pt>
                <c:pt idx="9">
                  <c:v>2.1932726160055314</c:v>
                </c:pt>
                <c:pt idx="10">
                  <c:v>1.9636834230065767</c:v>
                </c:pt>
                <c:pt idx="11">
                  <c:v>1.6458661277329787</c:v>
                </c:pt>
                <c:pt idx="12">
                  <c:v>1.6432868882196319</c:v>
                </c:pt>
                <c:pt idx="13">
                  <c:v>1.3608102199341467</c:v>
                </c:pt>
                <c:pt idx="14">
                  <c:v>1.1960606481481022</c:v>
                </c:pt>
                <c:pt idx="15">
                  <c:v>1.0197365942286456</c:v>
                </c:pt>
                <c:pt idx="16">
                  <c:v>0.93705335600967388</c:v>
                </c:pt>
                <c:pt idx="17">
                  <c:v>0.85944752490600929</c:v>
                </c:pt>
                <c:pt idx="18">
                  <c:v>0.67230573585025377</c:v>
                </c:pt>
                <c:pt idx="19">
                  <c:v>0.64170034619607019</c:v>
                </c:pt>
                <c:pt idx="20">
                  <c:v>0.63521211379087783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DD-42D8-B371-6A71C526E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5762464"/>
        <c:axId val="245763024"/>
      </c:barChart>
      <c:catAx>
        <c:axId val="24576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5763024"/>
        <c:crosses val="autoZero"/>
        <c:auto val="1"/>
        <c:lblAlgn val="ctr"/>
        <c:lblOffset val="100"/>
        <c:noMultiLvlLbl val="0"/>
      </c:catAx>
      <c:valAx>
        <c:axId val="245763024"/>
        <c:scaling>
          <c:orientation val="minMax"/>
          <c:max val="35"/>
        </c:scaling>
        <c:delete val="0"/>
        <c:axPos val="l"/>
        <c:numFmt formatCode="0.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5762464"/>
        <c:crosses val="autoZero"/>
        <c:crossBetween val="between"/>
        <c:majorUnit val="5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"/>
          <c:y val="0.90392338615900858"/>
          <c:w val="1"/>
          <c:h val="9.0482408053423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1" baseline="0">
                <a:solidFill>
                  <a:sysClr val="windowText" lastClr="000000"/>
                </a:solidFill>
              </a:rPr>
              <a:t>Ianuarie-i</a:t>
            </a:r>
            <a:r>
              <a:rPr lang="ro-RO" sz="800" b="1" baseline="0">
                <a:solidFill>
                  <a:sysClr val="windowText" lastClr="000000"/>
                </a:solidFill>
              </a:rPr>
              <a:t>unie</a:t>
            </a:r>
            <a:r>
              <a:rPr lang="en-US" sz="800" b="1" baseline="0">
                <a:solidFill>
                  <a:sysClr val="windowText" lastClr="000000"/>
                </a:solidFill>
              </a:rPr>
              <a:t>  2021</a:t>
            </a:r>
          </a:p>
        </c:rich>
      </c:tx>
      <c:layout>
        <c:manualLayout>
          <c:xMode val="edge"/>
          <c:yMode val="edge"/>
          <c:x val="0.33018857772446841"/>
          <c:y val="3.797052821391778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750134653080686"/>
          <c:y val="0.15936408764121876"/>
          <c:w val="0.52484583099504412"/>
          <c:h val="0.57519206008434975"/>
        </c:manualLayout>
      </c:layout>
      <c:pieChart>
        <c:varyColors val="1"/>
        <c:ser>
          <c:idx val="0"/>
          <c:order val="0"/>
          <c:tx>
            <c:strRef>
              <c:f>'Figura 6'!$B$27</c:f>
              <c:strCache>
                <c:ptCount val="1"/>
                <c:pt idx="0">
                  <c:v>%</c:v>
                </c:pt>
              </c:strCache>
            </c:strRef>
          </c:tx>
          <c:spPr>
            <a:effectLst>
              <a:outerShdw blurRad="254000" sx="102000" sy="102000" algn="ctr" rotWithShape="0">
                <a:schemeClr val="bg1">
                  <a:alpha val="20000"/>
                </a:schemeClr>
              </a:outerShdw>
            </a:effectLst>
          </c:spPr>
          <c:dPt>
            <c:idx val="0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812-4B6E-845E-70CFFD92003C}"/>
              </c:ext>
            </c:extLst>
          </c:dPt>
          <c:dPt>
            <c:idx val="1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812-4B6E-845E-70CFFD92003C}"/>
              </c:ext>
            </c:extLst>
          </c:dPt>
          <c:dPt>
            <c:idx val="2"/>
            <c:bubble3D val="0"/>
            <c:spPr>
              <a:solidFill>
                <a:schemeClr val="accent1">
                  <a:tint val="72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812-4B6E-845E-70CFFD92003C}"/>
              </c:ext>
            </c:extLst>
          </c:dPt>
          <c:dPt>
            <c:idx val="3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812-4B6E-845E-70CFFD92003C}"/>
              </c:ext>
            </c:extLst>
          </c:dPt>
          <c:dPt>
            <c:idx val="4"/>
            <c:bubble3D val="0"/>
            <c:spPr>
              <a:solidFill>
                <a:schemeClr val="accent1">
                  <a:shade val="72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812-4B6E-845E-70CFFD92003C}"/>
              </c:ext>
            </c:extLst>
          </c:dPt>
          <c:dPt>
            <c:idx val="5"/>
            <c:bubble3D val="0"/>
            <c:spPr>
              <a:solidFill>
                <a:schemeClr val="accent1">
                  <a:tint val="89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812-4B6E-845E-70CFFD92003C}"/>
              </c:ext>
            </c:extLst>
          </c:dPt>
          <c:dPt>
            <c:idx val="6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812-4B6E-845E-70CFFD92003C}"/>
              </c:ext>
            </c:extLst>
          </c:dPt>
          <c:dPt>
            <c:idx val="7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812-4B6E-845E-70CFFD92003C}"/>
              </c:ext>
            </c:extLst>
          </c:dPt>
          <c:dPt>
            <c:idx val="8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812-4B6E-845E-70CFFD92003C}"/>
              </c:ext>
            </c:extLst>
          </c:dPt>
          <c:dPt>
            <c:idx val="9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812-4B6E-845E-70CFFD92003C}"/>
              </c:ext>
            </c:extLst>
          </c:dPt>
          <c:dPt>
            <c:idx val="10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812-4B6E-845E-70CFFD92003C}"/>
              </c:ext>
            </c:extLst>
          </c:dPt>
          <c:dPt>
            <c:idx val="11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schemeClr val="bg1">
                    <a:alpha val="2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8AF-449D-A134-DC727067AB63}"/>
              </c:ext>
            </c:extLst>
          </c:dPt>
          <c:dLbls>
            <c:dLbl>
              <c:idx val="0"/>
              <c:layout>
                <c:manualLayout>
                  <c:x val="-3.8432141469616966E-2"/>
                  <c:y val="2.83062226674019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078821719321169"/>
                      <c:h val="0.153456864087641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812-4B6E-845E-70CFFD92003C}"/>
                </c:ext>
              </c:extLst>
            </c:dLbl>
            <c:dLbl>
              <c:idx val="1"/>
              <c:layout>
                <c:manualLayout>
                  <c:x val="-3.9951541446659723E-2"/>
                  <c:y val="2.03166665763247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213921804086"/>
                      <c:h val="0.170046168536412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812-4B6E-845E-70CFFD92003C}"/>
                </c:ext>
              </c:extLst>
            </c:dLbl>
            <c:dLbl>
              <c:idx val="2"/>
              <c:layout>
                <c:manualLayout>
                  <c:x val="-7.6593597135642009E-3"/>
                  <c:y val="-7.8066564513704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43833621816442"/>
                      <c:h val="0.183007534040091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812-4B6E-845E-70CFFD92003C}"/>
                </c:ext>
              </c:extLst>
            </c:dLbl>
            <c:dLbl>
              <c:idx val="3"/>
              <c:layout>
                <c:manualLayout>
                  <c:x val="1.2978156400656931E-2"/>
                  <c:y val="-3.24994201473752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55217019040984"/>
                      <c:h val="0.167969949319385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812-4B6E-845E-70CFFD92003C}"/>
                </c:ext>
              </c:extLst>
            </c:dLbl>
            <c:dLbl>
              <c:idx val="4"/>
              <c:layout>
                <c:manualLayout>
                  <c:x val="-4.4007413645434285E-2"/>
                  <c:y val="5.34023583811598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68434448231405"/>
                      <c:h val="0.154165810795389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812-4B6E-845E-70CFFD92003C}"/>
                </c:ext>
              </c:extLst>
            </c:dLbl>
            <c:dLbl>
              <c:idx val="5"/>
              <c:layout>
                <c:manualLayout>
                  <c:x val="-0.11325041499637982"/>
                  <c:y val="7.42724882253542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46164815370759"/>
                      <c:h val="0.17921687778158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F812-4B6E-845E-70CFFD92003C}"/>
                </c:ext>
              </c:extLst>
            </c:dLbl>
            <c:dLbl>
              <c:idx val="6"/>
              <c:layout>
                <c:manualLayout>
                  <c:x val="2.3033540757942325E-2"/>
                  <c:y val="-1.5126094052808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42308013870364"/>
                      <c:h val="0.171372578754279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812-4B6E-845E-70CFFD92003C}"/>
                </c:ext>
              </c:extLst>
            </c:dLbl>
            <c:dLbl>
              <c:idx val="7"/>
              <c:layout>
                <c:manualLayout>
                  <c:x val="2.803446787751426E-2"/>
                  <c:y val="8.13120506675795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28948610824836"/>
                      <c:h val="0.138917824917906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F812-4B6E-845E-70CFFD92003C}"/>
                </c:ext>
              </c:extLst>
            </c:dLbl>
            <c:dLbl>
              <c:idx val="8"/>
              <c:layout>
                <c:manualLayout>
                  <c:x val="1.9167783257103502E-2"/>
                  <c:y val="2.617354216592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53817813880246"/>
                      <c:h val="0.152391008699940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F812-4B6E-845E-70CFFD92003C}"/>
                </c:ext>
              </c:extLst>
            </c:dLbl>
            <c:dLbl>
              <c:idx val="9"/>
              <c:layout>
                <c:manualLayout>
                  <c:x val="2.6754021933000161E-3"/>
                  <c:y val="1.5888109095058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07749395164853"/>
                      <c:h val="0.157423000103248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F812-4B6E-845E-70CFFD92003C}"/>
                </c:ext>
              </c:extLst>
            </c:dLbl>
            <c:dLbl>
              <c:idx val="10"/>
              <c:layout>
                <c:manualLayout>
                  <c:x val="3.4031634644250976E-3"/>
                  <c:y val="-6.08480084309002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38009767312363"/>
                      <c:h val="0.134442493773731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F812-4B6E-845E-70CFFD92003C}"/>
                </c:ext>
              </c:extLst>
            </c:dLbl>
            <c:dLbl>
              <c:idx val="11"/>
              <c:layout>
                <c:manualLayout>
                  <c:x val="2.8034322177825349E-2"/>
                  <c:y val="1.50506558725233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8AF-449D-A134-DC727067AB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>
                <a:outerShdw sx="1000" sy="1000" algn="tl" rotWithShape="0">
                  <a:schemeClr val="bg1"/>
                </a:outerShdw>
              </a:effectLst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'Figura 6'!$A$28:$A$39</c:f>
              <c:strCache>
                <c:ptCount val="12"/>
                <c:pt idx="0">
                  <c:v>Cereale şi preparate pe bază de cereale</c:v>
                </c:pt>
                <c:pt idx="1">
                  <c:v>Maşini şi aparate electrice </c:v>
                </c:pt>
                <c:pt idx="2">
                  <c:v>Seminţe şi fructe oleaginoase</c:v>
                </c:pt>
                <c:pt idx="3">
                  <c:v>Grăsimi şi uleiuri vegetale </c:v>
                </c:pt>
                <c:pt idx="4">
                  <c:v>Petrol şi produse petroliere </c:v>
                </c:pt>
                <c:pt idx="5">
                  <c:v>Legume şi fructe</c:v>
                </c:pt>
                <c:pt idx="6">
                  <c:v>Îmbrăcăminte şi accesorii</c:v>
                </c:pt>
                <c:pt idx="7">
                  <c:v>Mobilă şi părţile ei</c:v>
                </c:pt>
                <c:pt idx="8">
                  <c:v>Băuturi alcoolice şi nealcoolice</c:v>
                </c:pt>
                <c:pt idx="9">
                  <c:v>Fire, tesături şi articole textile </c:v>
                </c:pt>
                <c:pt idx="10">
                  <c:v>Vehicule rutiere</c:v>
                </c:pt>
                <c:pt idx="11">
                  <c:v>Alte mărfuri</c:v>
                </c:pt>
              </c:strCache>
            </c:strRef>
          </c:cat>
          <c:val>
            <c:numRef>
              <c:f>'Figura 6'!$B$28:$B$39</c:f>
              <c:numCache>
                <c:formatCode>0.0</c:formatCode>
                <c:ptCount val="12"/>
                <c:pt idx="0">
                  <c:v>4.4000000000000004</c:v>
                </c:pt>
                <c:pt idx="1">
                  <c:v>22</c:v>
                </c:pt>
                <c:pt idx="2">
                  <c:v>5.8</c:v>
                </c:pt>
                <c:pt idx="3">
                  <c:v>3.3</c:v>
                </c:pt>
                <c:pt idx="4">
                  <c:v>1</c:v>
                </c:pt>
                <c:pt idx="5">
                  <c:v>10</c:v>
                </c:pt>
                <c:pt idx="6">
                  <c:v>9.9</c:v>
                </c:pt>
                <c:pt idx="7">
                  <c:v>6</c:v>
                </c:pt>
                <c:pt idx="8">
                  <c:v>7.1</c:v>
                </c:pt>
                <c:pt idx="9">
                  <c:v>3</c:v>
                </c:pt>
                <c:pt idx="10">
                  <c:v>2</c:v>
                </c:pt>
                <c:pt idx="11" formatCode="#,##0.0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812-4B6E-845E-70CFFD9200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Ianuarie-</a:t>
            </a:r>
            <a:r>
              <a:rPr lang="ro-RO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iunie</a:t>
            </a:r>
            <a:r>
              <a:rPr lang="en-US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2022</a:t>
            </a:r>
          </a:p>
        </c:rich>
      </c:tx>
      <c:layout>
        <c:manualLayout>
          <c:xMode val="edge"/>
          <c:yMode val="edge"/>
          <c:x val="0.32718742246771393"/>
          <c:y val="1.39210252349741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21447878716652"/>
          <c:y val="0.14803660293459692"/>
          <c:w val="0.50365949978060554"/>
          <c:h val="0.58254936399254897"/>
        </c:manualLayout>
      </c:layout>
      <c:pieChart>
        <c:varyColors val="1"/>
        <c:ser>
          <c:idx val="0"/>
          <c:order val="0"/>
          <c:tx>
            <c:strRef>
              <c:f>'Figura 6'!$B$41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4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4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4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78-4F5F-8973-1809C55EF17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78-4F5F-8973-1809C55EF17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tint val="7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7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7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78-4F5F-8973-1809C55EF17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78-4F5F-8973-1809C55EF17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78-4F5F-8973-1809C55EF17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tint val="89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89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89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378-4F5F-8973-1809C55EF17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7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7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7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378-4F5F-8973-1809C55EF17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1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378-4F5F-8973-1809C55EF17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378-4F5F-8973-1809C55EF17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1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378-4F5F-8973-1809C55EF17F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1">
                      <a:shade val="4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4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4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378-4F5F-8973-1809C55EF17F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1">
                      <a:shade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C1F-4FBA-8D74-9AD92DA2B96A}"/>
              </c:ext>
            </c:extLst>
          </c:dPt>
          <c:dLbls>
            <c:dLbl>
              <c:idx val="0"/>
              <c:layout>
                <c:manualLayout>
                  <c:x val="-2.1924106501612733E-2"/>
                  <c:y val="7.477380626808663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35562345751557"/>
                      <c:h val="0.171267874940354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378-4F5F-8973-1809C55EF17F}"/>
                </c:ext>
              </c:extLst>
            </c:dLbl>
            <c:dLbl>
              <c:idx val="1"/>
              <c:layout>
                <c:manualLayout>
                  <c:x val="-3.947963594102976E-2"/>
                  <c:y val="6.511902132806358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40628876614301"/>
                      <c:h val="0.189940944183614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378-4F5F-8973-1809C55EF17F}"/>
                </c:ext>
              </c:extLst>
            </c:dLbl>
            <c:dLbl>
              <c:idx val="2"/>
              <c:layout>
                <c:manualLayout>
                  <c:x val="-1.883861532233844E-2"/>
                  <c:y val="-3.38950177304761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0174252144592561"/>
                      <c:h val="0.158328307741784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378-4F5F-8973-1809C55EF17F}"/>
                </c:ext>
              </c:extLst>
            </c:dLbl>
            <c:dLbl>
              <c:idx val="3"/>
              <c:layout>
                <c:manualLayout>
                  <c:x val="-1.6119664146459305E-2"/>
                  <c:y val="-3.0109483830881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69398380642292"/>
                      <c:h val="0.179174230194518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378-4F5F-8973-1809C55EF17F}"/>
                </c:ext>
              </c:extLst>
            </c:dLbl>
            <c:dLbl>
              <c:idx val="4"/>
              <c:layout>
                <c:manualLayout>
                  <c:x val="5.0018150716235096E-2"/>
                  <c:y val="1.23918807120568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78-4F5F-8973-1809C55EF17F}"/>
                </c:ext>
              </c:extLst>
            </c:dLbl>
            <c:dLbl>
              <c:idx val="5"/>
              <c:layout>
                <c:manualLayout>
                  <c:x val="8.1952181350465517E-2"/>
                  <c:y val="8.5761666699087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2233321581071"/>
                      <c:h val="0.166876351994462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378-4F5F-8973-1809C55EF17F}"/>
                </c:ext>
              </c:extLst>
            </c:dLbl>
            <c:dLbl>
              <c:idx val="6"/>
              <c:layout>
                <c:manualLayout>
                  <c:x val="1.9901280996591844E-2"/>
                  <c:y val="9.2966567839811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5028270719893"/>
                      <c:h val="0.127828013240730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378-4F5F-8973-1809C55EF17F}"/>
                </c:ext>
              </c:extLst>
            </c:dLbl>
            <c:dLbl>
              <c:idx val="7"/>
              <c:layout>
                <c:manualLayout>
                  <c:x val="1.9525469764040689E-2"/>
                  <c:y val="7.9188116976516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05300270302033"/>
                      <c:h val="0.1228913040465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378-4F5F-8973-1809C55EF17F}"/>
                </c:ext>
              </c:extLst>
            </c:dLbl>
            <c:dLbl>
              <c:idx val="8"/>
              <c:layout>
                <c:manualLayout>
                  <c:x val="4.9751243781094526E-3"/>
                  <c:y val="1.17623887339673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1926456954075"/>
                      <c:h val="0.16207237627685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378-4F5F-8973-1809C55EF17F}"/>
                </c:ext>
              </c:extLst>
            </c:dLbl>
            <c:dLbl>
              <c:idx val="9"/>
              <c:layout>
                <c:manualLayout>
                  <c:x val="2.1347070422167373E-2"/>
                  <c:y val="-5.7094250153618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88963319883522"/>
                      <c:h val="0.159621772727220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378-4F5F-8973-1809C55EF17F}"/>
                </c:ext>
              </c:extLst>
            </c:dLbl>
            <c:dLbl>
              <c:idx val="10"/>
              <c:layout>
                <c:manualLayout>
                  <c:x val="6.633499170812604E-2"/>
                  <c:y val="-0.118512500949317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54890888050793"/>
                      <c:h val="0.154625409652333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378-4F5F-8973-1809C55EF17F}"/>
                </c:ext>
              </c:extLst>
            </c:dLbl>
            <c:dLbl>
              <c:idx val="11"/>
              <c:layout>
                <c:manualLayout>
                  <c:x val="0.12271973466003314"/>
                  <c:y val="-2.8209295778685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1F-4FBA-8D74-9AD92DA2B9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'Figura 6'!$A$42:$A$53</c:f>
              <c:strCache>
                <c:ptCount val="12"/>
                <c:pt idx="0">
                  <c:v>Cereale şi preparate pe bază de cereale</c:v>
                </c:pt>
                <c:pt idx="1">
                  <c:v>Maşini şi aparate electrice </c:v>
                </c:pt>
                <c:pt idx="2">
                  <c:v>Seminţe şi fructe oleaginoase</c:v>
                </c:pt>
                <c:pt idx="3">
                  <c:v>Grăsimi şi uleiuri vegetale </c:v>
                </c:pt>
                <c:pt idx="4">
                  <c:v>Petrol şi produse petroliere </c:v>
                </c:pt>
                <c:pt idx="5">
                  <c:v>Legume şi fructe</c:v>
                </c:pt>
                <c:pt idx="6">
                  <c:v>Îmbrăcăminte şi accesorii</c:v>
                </c:pt>
                <c:pt idx="7">
                  <c:v>Mobilă şi părţile ei</c:v>
                </c:pt>
                <c:pt idx="8">
                  <c:v>Băuturi alcoolice şi nealcoolice</c:v>
                </c:pt>
                <c:pt idx="9">
                  <c:v>Fire, tesături şi articole textile </c:v>
                </c:pt>
                <c:pt idx="10">
                  <c:v>Vehicule rutiere</c:v>
                </c:pt>
                <c:pt idx="11">
                  <c:v>Alte mărfuri</c:v>
                </c:pt>
              </c:strCache>
            </c:strRef>
          </c:cat>
          <c:val>
            <c:numRef>
              <c:f>'Figura 6'!$B$42:$B$53</c:f>
              <c:numCache>
                <c:formatCode>0.0</c:formatCode>
                <c:ptCount val="12"/>
                <c:pt idx="0">
                  <c:v>14.6</c:v>
                </c:pt>
                <c:pt idx="1">
                  <c:v>12.3</c:v>
                </c:pt>
                <c:pt idx="2">
                  <c:v>11.2</c:v>
                </c:pt>
                <c:pt idx="3">
                  <c:v>10</c:v>
                </c:pt>
                <c:pt idx="4">
                  <c:v>8.6999999999999993</c:v>
                </c:pt>
                <c:pt idx="5">
                  <c:v>8.3000000000000007</c:v>
                </c:pt>
                <c:pt idx="6">
                  <c:v>6.4</c:v>
                </c:pt>
                <c:pt idx="7">
                  <c:v>3.3</c:v>
                </c:pt>
                <c:pt idx="8">
                  <c:v>3.2</c:v>
                </c:pt>
                <c:pt idx="9">
                  <c:v>2</c:v>
                </c:pt>
                <c:pt idx="10">
                  <c:v>2</c:v>
                </c:pt>
                <c:pt idx="11" formatCode="#,##0.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378-4F5F-8973-1809C55EF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315800362667183E-2"/>
          <c:y val="8.2824526452265762E-2"/>
          <c:w val="0.94068416183226722"/>
          <c:h val="0.711200158199403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'Figura 7'!$B$21</c:f>
              <c:strCache>
                <c:ptCount val="1"/>
                <c:pt idx="0">
                  <c:v>Ianuarie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7'!$B$22:$B$27</c:f>
              <c:numCache>
                <c:formatCode>#,##0.0</c:formatCode>
                <c:ptCount val="6"/>
                <c:pt idx="0">
                  <c:v>266.8</c:v>
                </c:pt>
                <c:pt idx="1">
                  <c:v>374.3</c:v>
                </c:pt>
                <c:pt idx="2">
                  <c:v>372.6</c:v>
                </c:pt>
                <c:pt idx="3">
                  <c:v>379.8</c:v>
                </c:pt>
                <c:pt idx="4">
                  <c:v>399.4</c:v>
                </c:pt>
                <c:pt idx="5">
                  <c:v>621.70000000000005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5-4F6B-A686-03D9A8D64A69}"/>
            </c:ext>
          </c:extLst>
        </c:ser>
        <c:ser>
          <c:idx val="2"/>
          <c:order val="1"/>
          <c:tx>
            <c:strRef>
              <c:f>'Figura 7'!$C$21</c:f>
              <c:strCache>
                <c:ptCount val="1"/>
                <c:pt idx="0">
                  <c:v>Februarie</c:v>
                </c:pt>
              </c:strCache>
            </c:strRef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7'!$C$22:$C$27</c:f>
              <c:numCache>
                <c:formatCode>#,##0.0</c:formatCode>
                <c:ptCount val="6"/>
                <c:pt idx="0">
                  <c:v>332.7</c:v>
                </c:pt>
                <c:pt idx="1">
                  <c:v>427.6</c:v>
                </c:pt>
                <c:pt idx="2">
                  <c:v>459.3</c:v>
                </c:pt>
                <c:pt idx="3">
                  <c:v>484.8</c:v>
                </c:pt>
                <c:pt idx="4">
                  <c:v>521.4</c:v>
                </c:pt>
                <c:pt idx="5">
                  <c:v>669.1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5-4F6B-A686-03D9A8D64A69}"/>
            </c:ext>
          </c:extLst>
        </c:ser>
        <c:ser>
          <c:idx val="3"/>
          <c:order val="2"/>
          <c:tx>
            <c:strRef>
              <c:f>'Figura 7'!$D$21</c:f>
              <c:strCache>
                <c:ptCount val="1"/>
                <c:pt idx="0">
                  <c:v>Martie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7'!$D$22:$D$27</c:f>
              <c:numCache>
                <c:formatCode>#,##0.0</c:formatCode>
                <c:ptCount val="6"/>
                <c:pt idx="0">
                  <c:v>431.2</c:v>
                </c:pt>
                <c:pt idx="1">
                  <c:v>524.1</c:v>
                </c:pt>
                <c:pt idx="2">
                  <c:v>533.79999999999995</c:v>
                </c:pt>
                <c:pt idx="3">
                  <c:v>500.5</c:v>
                </c:pt>
                <c:pt idx="4">
                  <c:v>630.1</c:v>
                </c:pt>
                <c:pt idx="5">
                  <c:v>748.3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5-4F6B-A686-03D9A8D64A69}"/>
            </c:ext>
          </c:extLst>
        </c:ser>
        <c:ser>
          <c:idx val="4"/>
          <c:order val="3"/>
          <c:tx>
            <c:strRef>
              <c:f>'Figura 7'!$E$21</c:f>
              <c:strCache>
                <c:ptCount val="1"/>
                <c:pt idx="0">
                  <c:v>Aprilie</c:v>
                </c:pt>
              </c:strCache>
            </c:strRef>
          </c:tx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7'!$E$22:$E$27</c:f>
              <c:numCache>
                <c:formatCode>#,##0.0</c:formatCode>
                <c:ptCount val="6"/>
                <c:pt idx="0">
                  <c:v>361.5</c:v>
                </c:pt>
                <c:pt idx="1">
                  <c:v>444.6</c:v>
                </c:pt>
                <c:pt idx="2">
                  <c:v>515.6</c:v>
                </c:pt>
                <c:pt idx="3">
                  <c:v>285.60000000000002</c:v>
                </c:pt>
                <c:pt idx="4">
                  <c:v>562.20000000000005</c:v>
                </c:pt>
                <c:pt idx="5">
                  <c:v>770.5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5-4F6B-A686-03D9A8D64A69}"/>
            </c:ext>
          </c:extLst>
        </c:ser>
        <c:ser>
          <c:idx val="5"/>
          <c:order val="4"/>
          <c:tx>
            <c:strRef>
              <c:f>'Figura 7'!$F$21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7'!$F$22:$F$27</c:f>
              <c:numCache>
                <c:formatCode>#,##0.0</c:formatCode>
                <c:ptCount val="6"/>
                <c:pt idx="0">
                  <c:v>400.4</c:v>
                </c:pt>
                <c:pt idx="1">
                  <c:v>505.6</c:v>
                </c:pt>
                <c:pt idx="2">
                  <c:v>481.6</c:v>
                </c:pt>
                <c:pt idx="3">
                  <c:v>329.4</c:v>
                </c:pt>
                <c:pt idx="4">
                  <c:v>563.4</c:v>
                </c:pt>
                <c:pt idx="5">
                  <c:v>772.7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85-4F6B-A686-03D9A8D64A69}"/>
            </c:ext>
          </c:extLst>
        </c:ser>
        <c:ser>
          <c:idx val="6"/>
          <c:order val="5"/>
          <c:tx>
            <c:strRef>
              <c:f>'Figura 7'!$G$21</c:f>
              <c:strCache>
                <c:ptCount val="1"/>
                <c:pt idx="0">
                  <c:v>Iunie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7'!$G$22:$G$27</c:f>
              <c:numCache>
                <c:formatCode>#,##0.0</c:formatCode>
                <c:ptCount val="6"/>
                <c:pt idx="0">
                  <c:v>388.8</c:v>
                </c:pt>
                <c:pt idx="1">
                  <c:v>458.7</c:v>
                </c:pt>
                <c:pt idx="2">
                  <c:v>445.4</c:v>
                </c:pt>
                <c:pt idx="3">
                  <c:v>413.5</c:v>
                </c:pt>
                <c:pt idx="4">
                  <c:v>589.6</c:v>
                </c:pt>
                <c:pt idx="5">
                  <c:v>764.8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85-4F6B-A686-03D9A8D64A69}"/>
            </c:ext>
          </c:extLst>
        </c:ser>
        <c:ser>
          <c:idx val="7"/>
          <c:order val="6"/>
          <c:tx>
            <c:strRef>
              <c:f>'Figura 7'!$H$21</c:f>
              <c:strCache>
                <c:ptCount val="1"/>
                <c:pt idx="0">
                  <c:v>Iulie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7'!$H$22:$H$27</c:f>
              <c:numCache>
                <c:formatCode>#,##0.0</c:formatCode>
                <c:ptCount val="6"/>
                <c:pt idx="0">
                  <c:v>396.9</c:v>
                </c:pt>
                <c:pt idx="1">
                  <c:v>488</c:v>
                </c:pt>
                <c:pt idx="2">
                  <c:v>499.1</c:v>
                </c:pt>
                <c:pt idx="3">
                  <c:v>496.6</c:v>
                </c:pt>
                <c:pt idx="4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85-4F6B-A686-03D9A8D64A69}"/>
            </c:ext>
          </c:extLst>
        </c:ser>
        <c:ser>
          <c:idx val="8"/>
          <c:order val="7"/>
          <c:tx>
            <c:strRef>
              <c:f>'Figura 7'!$I$21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7'!$I$22:$I$27</c:f>
              <c:numCache>
                <c:formatCode>#,##0.0</c:formatCode>
                <c:ptCount val="6"/>
                <c:pt idx="0">
                  <c:v>429.7</c:v>
                </c:pt>
                <c:pt idx="1">
                  <c:v>480.7</c:v>
                </c:pt>
                <c:pt idx="2">
                  <c:v>464.3</c:v>
                </c:pt>
                <c:pt idx="3">
                  <c:v>433.6</c:v>
                </c:pt>
                <c:pt idx="4">
                  <c:v>574.9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85-4F6B-A686-03D9A8D64A69}"/>
            </c:ext>
          </c:extLst>
        </c:ser>
        <c:ser>
          <c:idx val="9"/>
          <c:order val="8"/>
          <c:tx>
            <c:strRef>
              <c:f>'Figura 7'!$J$21</c:f>
              <c:strCache>
                <c:ptCount val="1"/>
                <c:pt idx="0">
                  <c:v>Septembrie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7'!$J$22:$J$27</c:f>
              <c:numCache>
                <c:formatCode>#,##0.0</c:formatCode>
                <c:ptCount val="6"/>
                <c:pt idx="0">
                  <c:v>430.8</c:v>
                </c:pt>
                <c:pt idx="1">
                  <c:v>474</c:v>
                </c:pt>
                <c:pt idx="2">
                  <c:v>501.7</c:v>
                </c:pt>
                <c:pt idx="3">
                  <c:v>508.3</c:v>
                </c:pt>
                <c:pt idx="4">
                  <c:v>671.2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385-4F6B-A686-03D9A8D64A69}"/>
            </c:ext>
          </c:extLst>
        </c:ser>
        <c:ser>
          <c:idx val="10"/>
          <c:order val="9"/>
          <c:tx>
            <c:strRef>
              <c:f>'Figura 7'!$K$21</c:f>
              <c:strCache>
                <c:ptCount val="1"/>
                <c:pt idx="0">
                  <c:v>Octombrie</c:v>
                </c:pt>
              </c:strCache>
            </c:strRef>
          </c:tx>
          <c:spPr>
            <a:solidFill>
              <a:schemeClr val="accent1">
                <a:shade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7'!$K$22:$K$27</c:f>
              <c:numCache>
                <c:formatCode>#,##0.0</c:formatCode>
                <c:ptCount val="6"/>
                <c:pt idx="0">
                  <c:v>465.9</c:v>
                </c:pt>
                <c:pt idx="1">
                  <c:v>540.6</c:v>
                </c:pt>
                <c:pt idx="2">
                  <c:v>525.29999999999995</c:v>
                </c:pt>
                <c:pt idx="3">
                  <c:v>493.6</c:v>
                </c:pt>
                <c:pt idx="4">
                  <c:v>646.79999999999995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85-4F6B-A686-03D9A8D64A69}"/>
            </c:ext>
          </c:extLst>
        </c:ser>
        <c:ser>
          <c:idx val="11"/>
          <c:order val="10"/>
          <c:tx>
            <c:strRef>
              <c:f>'Figura 7'!$L$21</c:f>
              <c:strCache>
                <c:ptCount val="1"/>
                <c:pt idx="0">
                  <c:v>Noiembrie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7'!$L$22:$L$27</c:f>
              <c:numCache>
                <c:formatCode>#,##0.0</c:formatCode>
                <c:ptCount val="6"/>
                <c:pt idx="0">
                  <c:v>455.3</c:v>
                </c:pt>
                <c:pt idx="1">
                  <c:v>522.6</c:v>
                </c:pt>
                <c:pt idx="2">
                  <c:v>504.1</c:v>
                </c:pt>
                <c:pt idx="3">
                  <c:v>522.9</c:v>
                </c:pt>
                <c:pt idx="4">
                  <c:v>701.5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385-4F6B-A686-03D9A8D64A69}"/>
            </c:ext>
          </c:extLst>
        </c:ser>
        <c:ser>
          <c:idx val="12"/>
          <c:order val="11"/>
          <c:tx>
            <c:strRef>
              <c:f>'Figura 7'!$M$21</c:f>
              <c:strCache>
                <c:ptCount val="1"/>
                <c:pt idx="0">
                  <c:v>Decembrie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'Figura 7'!$A$22:$A$27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'Figura 7'!$M$22:$M$27</c:f>
              <c:numCache>
                <c:formatCode>#,##0.0</c:formatCode>
                <c:ptCount val="6"/>
                <c:pt idx="0">
                  <c:v>471.4</c:v>
                </c:pt>
                <c:pt idx="1">
                  <c:v>519.29999999999995</c:v>
                </c:pt>
                <c:pt idx="2">
                  <c:v>539.70000000000005</c:v>
                </c:pt>
                <c:pt idx="3">
                  <c:v>567.29999999999995</c:v>
                </c:pt>
                <c:pt idx="4">
                  <c:v>754.2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F-4049-8950-86FE86034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7836624"/>
        <c:axId val="247837184"/>
      </c:barChart>
      <c:catAx>
        <c:axId val="24783662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7837184"/>
        <c:crosses val="autoZero"/>
        <c:auto val="0"/>
        <c:lblAlgn val="ctr"/>
        <c:lblOffset val="100"/>
        <c:tickLblSkip val="1"/>
        <c:noMultiLvlLbl val="0"/>
      </c:catAx>
      <c:valAx>
        <c:axId val="247837184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783662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322762736849671"/>
          <c:w val="1"/>
          <c:h val="7.8507415488726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57973110504047E-2"/>
          <c:y val="6.3183611383172564E-2"/>
          <c:w val="0.93864202688949594"/>
          <c:h val="0.69163073631682903"/>
        </c:manualLayout>
      </c:layout>
      <c:lineChart>
        <c:grouping val="standard"/>
        <c:varyColors val="0"/>
        <c:ser>
          <c:idx val="0"/>
          <c:order val="0"/>
          <c:tx>
            <c:strRef>
              <c:f>'Figura 8'!$A$25</c:f>
              <c:strCache>
                <c:ptCount val="1"/>
                <c:pt idx="0">
                  <c:v>În % faţă de luna precedentă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812598425196852E-2"/>
                  <c:y val="4.0836119303352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5-4341-8624-B7AE9C654835}"/>
                </c:ext>
              </c:extLst>
            </c:dLbl>
            <c:dLbl>
              <c:idx val="6"/>
              <c:layout>
                <c:manualLayout>
                  <c:x val="-2.5854199475065648E-2"/>
                  <c:y val="-3.2996645892723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C5-4341-8624-B7AE9C654835}"/>
                </c:ext>
              </c:extLst>
            </c:dLbl>
            <c:dLbl>
              <c:idx val="7"/>
              <c:layout>
                <c:manualLayout>
                  <c:x val="-2.7145931758530244E-2"/>
                  <c:y val="4.952232697347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C5-4341-8624-B7AE9C654835}"/>
                </c:ext>
              </c:extLst>
            </c:dLbl>
            <c:dLbl>
              <c:idx val="11"/>
              <c:layout>
                <c:manualLayout>
                  <c:x val="-2.5854199475065617E-2"/>
                  <c:y val="-2.8653542057660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C5-4341-8624-B7AE9C654835}"/>
                </c:ext>
              </c:extLst>
            </c:dLbl>
            <c:dLbl>
              <c:idx val="12"/>
              <c:layout>
                <c:manualLayout>
                  <c:x val="-2.7145931758530185E-2"/>
                  <c:y val="4.5179223138415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C5-4341-8624-B7AE9C654835}"/>
                </c:ext>
              </c:extLst>
            </c:dLbl>
            <c:dLbl>
              <c:idx val="14"/>
              <c:layout>
                <c:manualLayout>
                  <c:x val="-3.5854199475065615E-2"/>
                  <c:y val="4.9522326973479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C5-4341-8624-B7AE9C654835}"/>
                </c:ext>
              </c:extLst>
            </c:dLbl>
            <c:dLbl>
              <c:idx val="15"/>
              <c:layout>
                <c:manualLayout>
                  <c:x val="-2.8812598425196852E-2"/>
                  <c:y val="4.0836119303352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C5-4341-8624-B7AE9C654835}"/>
                </c:ext>
              </c:extLst>
            </c:dLbl>
            <c:dLbl>
              <c:idx val="16"/>
              <c:layout>
                <c:manualLayout>
                  <c:x val="-3.0854199475065618E-2"/>
                  <c:y val="4.0836119303352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C5-4341-8624-B7AE9C654835}"/>
                </c:ext>
              </c:extLst>
            </c:dLbl>
            <c:dLbl>
              <c:idx val="17"/>
              <c:layout>
                <c:manualLayout>
                  <c:x val="-3.0854199475065618E-2"/>
                  <c:y val="-5.0369061232976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C5-4341-8624-B7AE9C654835}"/>
                </c:ext>
              </c:extLst>
            </c:dLbl>
            <c:dLbl>
              <c:idx val="18"/>
              <c:layout>
                <c:manualLayout>
                  <c:x val="-2.7145931758530306E-2"/>
                  <c:y val="4.0836119303352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C5-4341-8624-B7AE9C654835}"/>
                </c:ext>
              </c:extLst>
            </c:dLbl>
            <c:dLbl>
              <c:idx val="20"/>
              <c:layout>
                <c:manualLayout>
                  <c:x val="-3.585419947506574E-2"/>
                  <c:y val="5.3865430808542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DC5-4341-8624-B7AE9C654835}"/>
                </c:ext>
              </c:extLst>
            </c:dLbl>
            <c:dLbl>
              <c:idx val="22"/>
              <c:layout>
                <c:manualLayout>
                  <c:x val="-2.9187532808398951E-2"/>
                  <c:y val="4.0836119303352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C5-4341-8624-B7AE9C654835}"/>
                </c:ext>
              </c:extLst>
            </c:dLbl>
            <c:dLbl>
              <c:idx val="23"/>
              <c:layout>
                <c:manualLayout>
                  <c:x val="-3.0854199475065618E-2"/>
                  <c:y val="-3.7339749727786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C5-4341-8624-B7AE9C654835}"/>
                </c:ext>
              </c:extLst>
            </c:dLbl>
            <c:dLbl>
              <c:idx val="25"/>
              <c:layout>
                <c:manualLayout>
                  <c:x val="-3.0854199475065739E-2"/>
                  <c:y val="-3.2996645892723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DC5-4341-8624-B7AE9C654835}"/>
                </c:ext>
              </c:extLst>
            </c:dLbl>
            <c:dLbl>
              <c:idx val="26"/>
              <c:layout>
                <c:manualLayout>
                  <c:x val="-3.0854199475065739E-2"/>
                  <c:y val="3.2149911633225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4C-4954-B7BA-1B3D8193EA75}"/>
                </c:ext>
              </c:extLst>
            </c:dLbl>
            <c:dLbl>
              <c:idx val="28"/>
              <c:layout>
                <c:manualLayout>
                  <c:x val="-2.6944225721784898E-2"/>
                  <c:y val="4.5179223138415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4C-4954-B7BA-1B3D8193EA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'Figura 8'!$N$23:$AQ$24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'Figura 8'!$N$25:$AQ$25</c:f>
              <c:numCache>
                <c:formatCode>#,##0.0</c:formatCode>
                <c:ptCount val="30"/>
                <c:pt idx="0">
                  <c:v>70.382208343865415</c:v>
                </c:pt>
                <c:pt idx="1">
                  <c:v>127.63158194440297</c:v>
                </c:pt>
                <c:pt idx="2">
                  <c:v>103.24095247310265</c:v>
                </c:pt>
                <c:pt idx="3">
                  <c:v>57.064146061655876</c:v>
                </c:pt>
                <c:pt idx="4">
                  <c:v>115.32045479750228</c:v>
                </c:pt>
                <c:pt idx="5">
                  <c:v>125.55839051166471</c:v>
                </c:pt>
                <c:pt idx="6">
                  <c:v>120.09478099934977</c:v>
                </c:pt>
                <c:pt idx="7">
                  <c:v>87.312042792465732</c:v>
                </c:pt>
                <c:pt idx="8">
                  <c:v>117.22959939467061</c:v>
                </c:pt>
                <c:pt idx="9">
                  <c:v>97.096953437578748</c:v>
                </c:pt>
                <c:pt idx="10">
                  <c:v>105.93754706899317</c:v>
                </c:pt>
                <c:pt idx="11">
                  <c:v>108.49423751970338</c:v>
                </c:pt>
                <c:pt idx="12">
                  <c:v>70.397914008513311</c:v>
                </c:pt>
                <c:pt idx="13">
                  <c:v>130.56565598353049</c:v>
                </c:pt>
                <c:pt idx="14">
                  <c:v>120.83026196604835</c:v>
                </c:pt>
                <c:pt idx="15">
                  <c:v>89.231037795592442</c:v>
                </c:pt>
                <c:pt idx="16">
                  <c:v>100.2114807539604</c:v>
                </c:pt>
                <c:pt idx="17">
                  <c:v>104.66057637383682</c:v>
                </c:pt>
                <c:pt idx="18">
                  <c:v>95.30942393156748</c:v>
                </c:pt>
                <c:pt idx="19">
                  <c:v>102.30310816744974</c:v>
                </c:pt>
                <c:pt idx="20">
                  <c:v>116.7433114933096</c:v>
                </c:pt>
                <c:pt idx="21">
                  <c:v>96.368466717330918</c:v>
                </c:pt>
                <c:pt idx="22">
                  <c:v>108.45193596997535</c:v>
                </c:pt>
                <c:pt idx="23">
                  <c:v>107.60757399325725</c:v>
                </c:pt>
                <c:pt idx="24">
                  <c:v>82.428114796228584</c:v>
                </c:pt>
                <c:pt idx="25">
                  <c:v>107.62832138935146</c:v>
                </c:pt>
                <c:pt idx="26">
                  <c:v>111.83648900221725</c:v>
                </c:pt>
                <c:pt idx="27">
                  <c:v>102.9712600305761</c:v>
                </c:pt>
                <c:pt idx="28">
                  <c:v>100.2829822644897</c:v>
                </c:pt>
                <c:pt idx="29" formatCode="0.0">
                  <c:v>98.973315287502942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DC5-4341-8624-B7AE9C654835}"/>
            </c:ext>
          </c:extLst>
        </c:ser>
        <c:ser>
          <c:idx val="1"/>
          <c:order val="1"/>
          <c:tx>
            <c:strRef>
              <c:f>'Figura 8'!$A$26</c:f>
              <c:strCache>
                <c:ptCount val="1"/>
                <c:pt idx="0">
                  <c:v>În % faţă de luna corespunzătoare din anul precedent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0854199475065618E-2"/>
                  <c:y val="4.517922313841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DC5-4341-8624-B7AE9C654835}"/>
                </c:ext>
              </c:extLst>
            </c:dLbl>
            <c:dLbl>
              <c:idx val="2"/>
              <c:layout>
                <c:manualLayout>
                  <c:x val="-3.547926509186352E-2"/>
                  <c:y val="4.952232697347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DC5-4341-8624-B7AE9C654835}"/>
                </c:ext>
              </c:extLst>
            </c:dLbl>
            <c:dLbl>
              <c:idx val="3"/>
              <c:layout>
                <c:manualLayout>
                  <c:x val="-2.5479265091863518E-2"/>
                  <c:y val="4.517922313841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DC5-4341-8624-B7AE9C654835}"/>
                </c:ext>
              </c:extLst>
            </c:dLbl>
            <c:dLbl>
              <c:idx val="8"/>
              <c:layout>
                <c:manualLayout>
                  <c:x val="-3.0854199475065677E-2"/>
                  <c:y val="4.5179223138415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DC5-4341-8624-B7AE9C654835}"/>
                </c:ext>
              </c:extLst>
            </c:dLbl>
            <c:dLbl>
              <c:idx val="9"/>
              <c:layout>
                <c:manualLayout>
                  <c:x val="-2.7145931758530185E-2"/>
                  <c:y val="5.3865430808542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DC5-4341-8624-B7AE9C654835}"/>
                </c:ext>
              </c:extLst>
            </c:dLbl>
            <c:dLbl>
              <c:idx val="10"/>
              <c:layout>
                <c:manualLayout>
                  <c:x val="-3.4187532808398952E-2"/>
                  <c:y val="4.0836119303352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4C-4954-B7BA-1B3D8193EA75}"/>
                </c:ext>
              </c:extLst>
            </c:dLbl>
            <c:dLbl>
              <c:idx val="11"/>
              <c:layout>
                <c:manualLayout>
                  <c:x val="-2.7520866141732284E-2"/>
                  <c:y val="4.0836119303352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DC5-4341-8624-B7AE9C654835}"/>
                </c:ext>
              </c:extLst>
            </c:dLbl>
            <c:dLbl>
              <c:idx val="12"/>
              <c:layout>
                <c:manualLayout>
                  <c:x val="-1.9187532808398949E-2"/>
                  <c:y val="-4.6025957397913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DC5-4341-8624-B7AE9C654835}"/>
                </c:ext>
              </c:extLst>
            </c:dLbl>
            <c:dLbl>
              <c:idx val="13"/>
              <c:layout>
                <c:manualLayout>
                  <c:x val="-2.418753280839895E-2"/>
                  <c:y val="5.3865430808542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DC5-4341-8624-B7AE9C654835}"/>
                </c:ext>
              </c:extLst>
            </c:dLbl>
            <c:dLbl>
              <c:idx val="14"/>
              <c:layout>
                <c:manualLayout>
                  <c:x val="-9.1875328083989502E-3"/>
                  <c:y val="-2.4310438222596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DC5-4341-8624-B7AE9C654835}"/>
                </c:ext>
              </c:extLst>
            </c:dLbl>
            <c:dLbl>
              <c:idx val="16"/>
              <c:layout>
                <c:manualLayout>
                  <c:x val="-2.5854199475065495E-2"/>
                  <c:y val="-5.036906123297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DC5-4341-8624-B7AE9C654835}"/>
                </c:ext>
              </c:extLst>
            </c:dLbl>
            <c:dLbl>
              <c:idx val="17"/>
              <c:layout>
                <c:manualLayout>
                  <c:x val="-2.2520866141732283E-2"/>
                  <c:y val="-4.1682853562849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DC5-4341-8624-B7AE9C654835}"/>
                </c:ext>
              </c:extLst>
            </c:dLbl>
            <c:dLbl>
              <c:idx val="19"/>
              <c:layout>
                <c:manualLayout>
                  <c:x val="-4.085419947506562E-2"/>
                  <c:y val="-4.602595739791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DC5-4341-8624-B7AE9C654835}"/>
                </c:ext>
              </c:extLst>
            </c:dLbl>
            <c:dLbl>
              <c:idx val="20"/>
              <c:layout>
                <c:manualLayout>
                  <c:x val="-3.585419947506574E-2"/>
                  <c:y val="-5.0369061232976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DC5-4341-8624-B7AE9C654835}"/>
                </c:ext>
              </c:extLst>
            </c:dLbl>
            <c:dLbl>
              <c:idx val="21"/>
              <c:layout>
                <c:manualLayout>
                  <c:x val="-3.0854199475065618E-2"/>
                  <c:y val="-3.73397497277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DC5-4341-8624-B7AE9C654835}"/>
                </c:ext>
              </c:extLst>
            </c:dLbl>
            <c:dLbl>
              <c:idx val="22"/>
              <c:layout>
                <c:manualLayout>
                  <c:x val="-3.5854199475065615E-2"/>
                  <c:y val="-6.3398372738166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DC5-4341-8624-B7AE9C654835}"/>
                </c:ext>
              </c:extLst>
            </c:dLbl>
            <c:dLbl>
              <c:idx val="23"/>
              <c:layout>
                <c:manualLayout>
                  <c:x val="-2.7520866141732284E-2"/>
                  <c:y val="-5.0369061232976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DC5-4341-8624-B7AE9C654835}"/>
                </c:ext>
              </c:extLst>
            </c:dLbl>
            <c:dLbl>
              <c:idx val="27"/>
              <c:layout>
                <c:manualLayout>
                  <c:x val="-3.5854199475065615E-2"/>
                  <c:y val="-5.036906123297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4C-4954-B7BA-1B3D8193EA75}"/>
                </c:ext>
              </c:extLst>
            </c:dLbl>
            <c:dLbl>
              <c:idx val="28"/>
              <c:layout>
                <c:manualLayout>
                  <c:x val="-2.0277559055118233E-2"/>
                  <c:y val="-5.471216506803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4C-4954-B7BA-1B3D8193EA75}"/>
                </c:ext>
              </c:extLst>
            </c:dLbl>
            <c:dLbl>
              <c:idx val="29"/>
              <c:layout>
                <c:manualLayout>
                  <c:x val="-1.2222081031699194E-16"/>
                  <c:y val="-3.2996645892723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22-4E81-B4FB-3673EA265C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'Figura 8'!$N$23:$AQ$24</c:f>
              <c:multiLvlStrCache>
                <c:ptCount val="3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f>'Figura 8'!$N$26:$AQ$26</c:f>
              <c:numCache>
                <c:formatCode>#,##0.0</c:formatCode>
                <c:ptCount val="30"/>
                <c:pt idx="0">
                  <c:v>101.95494191241148</c:v>
                </c:pt>
                <c:pt idx="1">
                  <c:v>105.56040244460927</c:v>
                </c:pt>
                <c:pt idx="2">
                  <c:v>93.752698643620619</c:v>
                </c:pt>
                <c:pt idx="3">
                  <c:v>55.393509795256001</c:v>
                </c:pt>
                <c:pt idx="4">
                  <c:v>68.38775508029515</c:v>
                </c:pt>
                <c:pt idx="5">
                  <c:v>92.838583025180498</c:v>
                </c:pt>
                <c:pt idx="6">
                  <c:v>99.505682896081424</c:v>
                </c:pt>
                <c:pt idx="7">
                  <c:v>93.399537993946922</c:v>
                </c:pt>
                <c:pt idx="8">
                  <c:v>101.32416894790069</c:v>
                </c:pt>
                <c:pt idx="9">
                  <c:v>93.954405564414117</c:v>
                </c:pt>
                <c:pt idx="10">
                  <c:v>103.7223292586142</c:v>
                </c:pt>
                <c:pt idx="11">
                  <c:v>105.12020671519058</c:v>
                </c:pt>
                <c:pt idx="12">
                  <c:v>105.14366410240868</c:v>
                </c:pt>
                <c:pt idx="13">
                  <c:v>107.56077192573727</c:v>
                </c:pt>
                <c:pt idx="14">
                  <c:v>125.88605526903886</c:v>
                </c:pt>
                <c:pt idx="15">
                  <c:v>196.84765533007069</c:v>
                </c:pt>
                <c:pt idx="16">
                  <c:v>171.05720800538208</c:v>
                </c:pt>
                <c:pt idx="17">
                  <c:v>142.58661575531545</c:v>
                </c:pt>
                <c:pt idx="18">
                  <c:v>113.15935709199938</c:v>
                </c:pt>
                <c:pt idx="19">
                  <c:v>132.58828425602752</c:v>
                </c:pt>
                <c:pt idx="20">
                  <c:v>132.03828597207149</c:v>
                </c:pt>
                <c:pt idx="21">
                  <c:v>131.0476458490858</c:v>
                </c:pt>
                <c:pt idx="22" formatCode="0.0">
                  <c:v>134.15801375299989</c:v>
                </c:pt>
                <c:pt idx="23">
                  <c:v>132.94448949123316</c:v>
                </c:pt>
                <c:pt idx="24" formatCode="0.0">
                  <c:v>155.66318683795325</c:v>
                </c:pt>
                <c:pt idx="25" formatCode="0.0">
                  <c:v>128.31680257172076</c:v>
                </c:pt>
                <c:pt idx="26" formatCode="0.0">
                  <c:v>118.765783058918</c:v>
                </c:pt>
                <c:pt idx="27" formatCode="0.0">
                  <c:v>137.05390671472063</c:v>
                </c:pt>
                <c:pt idx="28" formatCode="0.0">
                  <c:v>137.15169552375045</c:v>
                </c:pt>
                <c:pt idx="29" formatCode="0.0">
                  <c:v>129.69886535691859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7DC5-4341-8624-B7AE9C65483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7840544"/>
        <c:axId val="247841104"/>
      </c:lineChart>
      <c:catAx>
        <c:axId val="24784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7841104"/>
        <c:crossesAt val="30"/>
        <c:auto val="1"/>
        <c:lblAlgn val="ctr"/>
        <c:lblOffset val="100"/>
        <c:noMultiLvlLbl val="0"/>
      </c:catAx>
      <c:valAx>
        <c:axId val="247841104"/>
        <c:scaling>
          <c:orientation val="minMax"/>
          <c:max val="230"/>
          <c:min val="30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784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58247987711874E-2"/>
          <c:y val="0.94239026652294522"/>
          <c:w val="0.93252348122114592"/>
          <c:h val="5.4448278710923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1</xdr:row>
      <xdr:rowOff>142875</xdr:rowOff>
    </xdr:from>
    <xdr:to>
      <xdr:col>11</xdr:col>
      <xdr:colOff>323851</xdr:colOff>
      <xdr:row>18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209552</xdr:colOff>
      <xdr:row>2</xdr:row>
      <xdr:rowOff>9525</xdr:rowOff>
    </xdr:from>
    <xdr:to>
      <xdr:col>10</xdr:col>
      <xdr:colOff>657226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0.04577</cdr:x>
      <cdr:y>0</cdr:y>
    </cdr:from>
    <cdr:to>
      <cdr:x>0.19415</cdr:x>
      <cdr:y>0.38554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448" y="0"/>
          <a:ext cx="1048683" cy="1009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milioane dolari SUA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9525</xdr:rowOff>
    </xdr:from>
    <xdr:to>
      <xdr:col>12</xdr:col>
      <xdr:colOff>476250</xdr:colOff>
      <xdr:row>21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0.04369</cdr:x>
      <cdr:y>0</cdr:y>
    </cdr:from>
    <cdr:to>
      <cdr:x>0.09862</cdr:x>
      <cdr:y>0.07817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9207" y="0"/>
          <a:ext cx="376187" cy="228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123824</xdr:colOff>
      <xdr:row>20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2</xdr:row>
      <xdr:rowOff>9525</xdr:rowOff>
    </xdr:from>
    <xdr:to>
      <xdr:col>5</xdr:col>
      <xdr:colOff>885825</xdr:colOff>
      <xdr:row>19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0.04545</cdr:x>
      <cdr:y>0</cdr:y>
    </cdr:from>
    <cdr:to>
      <cdr:x>0.21446</cdr:x>
      <cdr:y>0.35688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8384" y="0"/>
          <a:ext cx="1035114" cy="1012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9523</xdr:rowOff>
    </xdr:from>
    <xdr:to>
      <xdr:col>6</xdr:col>
      <xdr:colOff>581025</xdr:colOff>
      <xdr:row>19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304800</xdr:colOff>
      <xdr:row>22</xdr:row>
      <xdr:rowOff>171450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1BBF12F-2E42-93C7-0B82-B44868388689}"/>
            </a:ext>
          </a:extLst>
        </xdr:cNvPr>
        <xdr:cNvGrpSpPr/>
      </xdr:nvGrpSpPr>
      <xdr:grpSpPr>
        <a:xfrm>
          <a:off x="0" y="304800"/>
          <a:ext cx="7077075" cy="3276600"/>
          <a:chOff x="0" y="304800"/>
          <a:chExt cx="7077075" cy="327660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B00-000002000000}"/>
              </a:ext>
            </a:extLst>
          </xdr:cNvPr>
          <xdr:cNvGraphicFramePr>
            <a:graphicFrameLocks/>
          </xdr:cNvGraphicFramePr>
        </xdr:nvGraphicFramePr>
        <xdr:xfrm>
          <a:off x="0" y="352425"/>
          <a:ext cx="4067175" cy="3228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GraphicFramePr>
            <a:graphicFrameLocks/>
          </xdr:cNvGraphicFramePr>
        </xdr:nvGraphicFramePr>
        <xdr:xfrm>
          <a:off x="3619499" y="304800"/>
          <a:ext cx="3457576" cy="32575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2</xdr:row>
      <xdr:rowOff>19049</xdr:rowOff>
    </xdr:from>
    <xdr:to>
      <xdr:col>11</xdr:col>
      <xdr:colOff>533400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0.03542</cdr:x>
      <cdr:y>0.00373</cdr:y>
    </cdr:from>
    <cdr:to>
      <cdr:x>0.18146</cdr:x>
      <cdr:y>0.32915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7468" y="9525"/>
          <a:ext cx="1185158" cy="830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o-RO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milioane dolari SUA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0.03771</cdr:x>
      <cdr:y>0</cdr:y>
    </cdr:from>
    <cdr:to>
      <cdr:x>0.1825</cdr:x>
      <cdr:y>0.35821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8125" y="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milioane dolari SUA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171449</xdr:rowOff>
    </xdr:from>
    <xdr:to>
      <xdr:col>5</xdr:col>
      <xdr:colOff>514351</xdr:colOff>
      <xdr:row>21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0.05882</cdr:x>
      <cdr:y>0</cdr:y>
    </cdr:from>
    <cdr:to>
      <cdr:x>0.21569</cdr:x>
      <cdr:y>0.30868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2900" y="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milioane dolari SUA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1</xdr:row>
      <xdr:rowOff>180976</xdr:rowOff>
    </xdr:from>
    <xdr:to>
      <xdr:col>14</xdr:col>
      <xdr:colOff>447675</xdr:colOff>
      <xdr:row>16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0.03596</cdr:x>
      <cdr:y>0</cdr:y>
    </cdr:from>
    <cdr:to>
      <cdr:x>0.17369</cdr:x>
      <cdr:y>0.29357</cdr:y>
    </cdr:to>
    <cdr:sp macro="" textlink="">
      <cdr:nvSpPr>
        <cdr:cNvPr id="2" name="Text Box 1"/>
        <cdr:cNvSpPr txBox="1"/>
      </cdr:nvSpPr>
      <cdr:spPr>
        <a:xfrm xmlns:a="http://schemas.openxmlformats.org/drawingml/2006/main">
          <a:off x="272632" y="0"/>
          <a:ext cx="1044254" cy="866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19049</xdr:rowOff>
    </xdr:from>
    <xdr:to>
      <xdr:col>7</xdr:col>
      <xdr:colOff>152400</xdr:colOff>
      <xdr:row>20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2</xdr:row>
      <xdr:rowOff>19050</xdr:rowOff>
    </xdr:from>
    <xdr:to>
      <xdr:col>5</xdr:col>
      <xdr:colOff>857250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0.0564</cdr:x>
      <cdr:y>0</cdr:y>
    </cdr:from>
    <cdr:to>
      <cdr:x>0.22661</cdr:x>
      <cdr:y>0.41202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5486" y="0"/>
          <a:ext cx="1133254" cy="930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495297</xdr:colOff>
      <xdr:row>2</xdr:row>
      <xdr:rowOff>0</xdr:rowOff>
    </xdr:from>
    <xdr:to>
      <xdr:col>6</xdr:col>
      <xdr:colOff>561975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66675</xdr:rowOff>
    </xdr:from>
    <xdr:to>
      <xdr:col>7</xdr:col>
      <xdr:colOff>104775</xdr:colOff>
      <xdr:row>25</xdr:row>
      <xdr:rowOff>47627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38125" y="409575"/>
          <a:ext cx="7391400" cy="3524252"/>
          <a:chOff x="85821" y="-152800"/>
          <a:chExt cx="5382327" cy="261164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aphicFramePr>
            <a:graphicFrameLocks/>
          </xdr:cNvGraphicFramePr>
        </xdr:nvGraphicFramePr>
        <xdr:xfrm>
          <a:off x="85821" y="-138682"/>
          <a:ext cx="2639046" cy="25975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GraphicFramePr>
            <a:graphicFrameLocks/>
          </xdr:cNvGraphicFramePr>
        </xdr:nvGraphicFramePr>
        <xdr:xfrm>
          <a:off x="2679881" y="-152800"/>
          <a:ext cx="2788267" cy="25904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18" displayName="Table18" ref="A24:D30" totalsRowShown="0" headerRowDxfId="8" dataDxfId="6" headerRowBorderDxfId="7" tableBorderDxfId="5" totalsRowBorderDxfId="4">
  <tableColumns count="4">
    <tableColumn id="1" xr3:uid="{00000000-0010-0000-0000-000001000000}" name="Perioada" dataDxfId="3"/>
    <tableColumn id="2" xr3:uid="{00000000-0010-0000-0000-000002000000}" name="Export" dataDxfId="2"/>
    <tableColumn id="4" xr3:uid="{00000000-0010-0000-0000-000004000000}" name="Import" dataDxfId="1"/>
    <tableColumn id="3" xr3:uid="{00000000-0010-0000-0000-000003000000}" name="Balanţa Comercială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0"/>
  <sheetViews>
    <sheetView tabSelected="1" zoomScaleNormal="100" workbookViewId="0">
      <selection activeCell="A2" sqref="A2:M2"/>
    </sheetView>
  </sheetViews>
  <sheetFormatPr defaultRowHeight="12" x14ac:dyDescent="0.2"/>
  <cols>
    <col min="1" max="1" width="8.85546875" style="3" customWidth="1"/>
    <col min="2" max="2" width="10.140625" style="3" customWidth="1"/>
    <col min="3" max="3" width="11.28515625" style="3" customWidth="1"/>
    <col min="4" max="4" width="10.140625" style="3" bestFit="1" customWidth="1"/>
    <col min="5" max="5" width="9.28515625" style="3" bestFit="1" customWidth="1"/>
    <col min="6" max="6" width="10.140625" style="3" bestFit="1" customWidth="1"/>
    <col min="7" max="7" width="9.28515625" style="3" bestFit="1" customWidth="1"/>
    <col min="8" max="8" width="10.140625" style="3" bestFit="1" customWidth="1"/>
    <col min="9" max="9" width="9.28515625" style="3" bestFit="1" customWidth="1"/>
    <col min="10" max="10" width="11.85546875" style="3" customWidth="1"/>
    <col min="11" max="11" width="10.5703125" style="3" customWidth="1"/>
    <col min="12" max="12" width="10.28515625" style="3" customWidth="1"/>
    <col min="13" max="13" width="10.7109375" style="3" customWidth="1"/>
    <col min="14" max="14" width="10.140625" style="3" bestFit="1" customWidth="1"/>
    <col min="15" max="15" width="9.28515625" style="3" bestFit="1" customWidth="1"/>
    <col min="16" max="16" width="10.140625" style="3" bestFit="1" customWidth="1"/>
    <col min="17" max="17" width="9.28515625" style="3" bestFit="1" customWidth="1"/>
    <col min="18" max="18" width="10.140625" style="3" bestFit="1" customWidth="1"/>
    <col min="19" max="19" width="9.28515625" style="3" bestFit="1" customWidth="1"/>
    <col min="20" max="20" width="10.140625" style="3" bestFit="1" customWidth="1"/>
    <col min="21" max="21" width="9.28515625" style="3" bestFit="1" customWidth="1"/>
    <col min="22" max="22" width="10.140625" style="3" bestFit="1" customWidth="1"/>
    <col min="23" max="23" width="9.28515625" style="3" bestFit="1" customWidth="1"/>
    <col min="24" max="24" width="10.140625" style="3" bestFit="1" customWidth="1"/>
    <col min="25" max="25" width="9.28515625" style="3" bestFit="1" customWidth="1"/>
    <col min="26" max="16384" width="9.140625" style="3"/>
  </cols>
  <sheetData>
    <row r="2" spans="1:13" s="168" customFormat="1" x14ac:dyDescent="0.2">
      <c r="A2" s="174" t="s">
        <v>102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x14ac:dyDescent="0.2">
      <c r="A3" s="1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2">
      <c r="A4" s="1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">
      <c r="A5" s="1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x14ac:dyDescent="0.2">
      <c r="A6" s="1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x14ac:dyDescent="0.2">
      <c r="A7" s="1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x14ac:dyDescent="0.2">
      <c r="A8" s="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x14ac:dyDescent="0.2">
      <c r="A9" s="1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x14ac:dyDescent="0.2">
      <c r="A10" s="1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x14ac:dyDescent="0.2">
      <c r="A11" s="1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x14ac:dyDescent="0.2">
      <c r="A12" s="1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x14ac:dyDescent="0.2">
      <c r="A13" s="1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x14ac:dyDescent="0.2">
      <c r="A14" s="1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x14ac:dyDescent="0.2">
      <c r="A15" s="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x14ac:dyDescent="0.2">
      <c r="A16" s="1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21" x14ac:dyDescent="0.2">
      <c r="A17" s="1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21" x14ac:dyDescent="0.2">
      <c r="A18" s="1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1:21" x14ac:dyDescent="0.2">
      <c r="N19" s="6"/>
    </row>
    <row r="20" spans="1:21" x14ac:dyDescent="0.2">
      <c r="A20" s="35" t="s">
        <v>0</v>
      </c>
      <c r="B20" s="167" t="s">
        <v>1</v>
      </c>
      <c r="C20" s="167" t="s">
        <v>2</v>
      </c>
      <c r="D20" s="167" t="s">
        <v>3</v>
      </c>
      <c r="E20" s="167" t="s">
        <v>4</v>
      </c>
      <c r="F20" s="167" t="s">
        <v>5</v>
      </c>
      <c r="G20" s="167" t="s">
        <v>6</v>
      </c>
      <c r="H20" s="167" t="s">
        <v>7</v>
      </c>
      <c r="I20" s="167" t="s">
        <v>8</v>
      </c>
      <c r="J20" s="167" t="s">
        <v>9</v>
      </c>
      <c r="K20" s="167" t="s">
        <v>10</v>
      </c>
      <c r="L20" s="167" t="s">
        <v>11</v>
      </c>
      <c r="M20" s="167" t="s">
        <v>12</v>
      </c>
    </row>
    <row r="21" spans="1:21" x14ac:dyDescent="0.2">
      <c r="A21" s="41">
        <v>2017</v>
      </c>
      <c r="B21" s="49">
        <v>139.5</v>
      </c>
      <c r="C21" s="49">
        <v>176.6</v>
      </c>
      <c r="D21" s="49">
        <v>212.1</v>
      </c>
      <c r="E21" s="49">
        <v>154.19999999999999</v>
      </c>
      <c r="F21" s="49">
        <v>174.7</v>
      </c>
      <c r="G21" s="49">
        <v>171.1</v>
      </c>
      <c r="H21" s="49">
        <v>191.6</v>
      </c>
      <c r="I21" s="49">
        <v>207.9</v>
      </c>
      <c r="J21" s="49">
        <v>223.9</v>
      </c>
      <c r="K21" s="49">
        <v>268.2</v>
      </c>
      <c r="L21" s="49">
        <v>272.10000000000002</v>
      </c>
      <c r="M21" s="50">
        <v>233.1</v>
      </c>
    </row>
    <row r="22" spans="1:21" x14ac:dyDescent="0.2">
      <c r="A22" s="41">
        <v>2018</v>
      </c>
      <c r="B22" s="49">
        <v>220.3</v>
      </c>
      <c r="C22" s="49">
        <v>215.5</v>
      </c>
      <c r="D22" s="49">
        <v>242.1</v>
      </c>
      <c r="E22" s="49">
        <v>199.7</v>
      </c>
      <c r="F22" s="49">
        <v>223</v>
      </c>
      <c r="G22" s="49">
        <v>214.1</v>
      </c>
      <c r="H22" s="49">
        <v>218.8</v>
      </c>
      <c r="I22" s="49">
        <v>218.6</v>
      </c>
      <c r="J22" s="49">
        <v>207.3</v>
      </c>
      <c r="K22" s="49">
        <v>259</v>
      </c>
      <c r="L22" s="49">
        <v>268.89999999999998</v>
      </c>
      <c r="M22" s="50">
        <v>218.8</v>
      </c>
    </row>
    <row r="23" spans="1:21" x14ac:dyDescent="0.2">
      <c r="A23" s="41">
        <v>2019</v>
      </c>
      <c r="B23" s="49">
        <v>234.3</v>
      </c>
      <c r="C23" s="49">
        <v>241.4</v>
      </c>
      <c r="D23" s="49">
        <v>257.2</v>
      </c>
      <c r="E23" s="49">
        <v>215.6</v>
      </c>
      <c r="F23" s="49">
        <v>210.5</v>
      </c>
      <c r="G23" s="49">
        <v>202.2</v>
      </c>
      <c r="H23" s="49">
        <v>220.2</v>
      </c>
      <c r="I23" s="49">
        <v>205.8</v>
      </c>
      <c r="J23" s="49">
        <v>238.8</v>
      </c>
      <c r="K23" s="49">
        <v>268.3</v>
      </c>
      <c r="L23" s="49">
        <v>266.60000000000002</v>
      </c>
      <c r="M23" s="50">
        <v>218.3</v>
      </c>
    </row>
    <row r="24" spans="1:21" x14ac:dyDescent="0.2">
      <c r="A24" s="41">
        <v>2020</v>
      </c>
      <c r="B24" s="49">
        <v>219.5</v>
      </c>
      <c r="C24" s="49">
        <v>245.3</v>
      </c>
      <c r="D24" s="49">
        <v>210.2</v>
      </c>
      <c r="E24" s="49">
        <v>149.80000000000001</v>
      </c>
      <c r="F24" s="49">
        <v>155.69999999999999</v>
      </c>
      <c r="G24" s="49">
        <v>189.6</v>
      </c>
      <c r="H24" s="49">
        <v>191.1</v>
      </c>
      <c r="I24" s="49">
        <v>163.9</v>
      </c>
      <c r="J24" s="49">
        <v>212.3</v>
      </c>
      <c r="K24" s="49">
        <v>249.4</v>
      </c>
      <c r="L24" s="49">
        <v>262</v>
      </c>
      <c r="M24" s="50">
        <v>218.3</v>
      </c>
    </row>
    <row r="25" spans="1:21" x14ac:dyDescent="0.2">
      <c r="A25" s="41">
        <v>2021</v>
      </c>
      <c r="B25" s="49">
        <v>198.4</v>
      </c>
      <c r="C25" s="49">
        <v>227</v>
      </c>
      <c r="D25" s="49">
        <v>259.3</v>
      </c>
      <c r="E25" s="49">
        <v>218.2</v>
      </c>
      <c r="F25" s="49">
        <v>201.7</v>
      </c>
      <c r="G25" s="49">
        <v>226.8</v>
      </c>
      <c r="H25" s="49">
        <v>240.7</v>
      </c>
      <c r="I25" s="49">
        <v>236.3</v>
      </c>
      <c r="J25" s="49">
        <v>294.89999999999998</v>
      </c>
      <c r="K25" s="105">
        <v>352.2</v>
      </c>
      <c r="L25" s="49">
        <v>363.9</v>
      </c>
      <c r="M25" s="50">
        <v>325</v>
      </c>
    </row>
    <row r="26" spans="1:21" x14ac:dyDescent="0.2">
      <c r="A26" s="42">
        <v>2022</v>
      </c>
      <c r="B26" s="51">
        <v>330.4</v>
      </c>
      <c r="C26" s="51">
        <v>336.5</v>
      </c>
      <c r="D26" s="51">
        <v>395.8</v>
      </c>
      <c r="E26" s="51">
        <v>396.3</v>
      </c>
      <c r="F26" s="51">
        <v>416</v>
      </c>
      <c r="G26" s="51">
        <v>415.4</v>
      </c>
      <c r="H26" s="51"/>
      <c r="I26" s="51"/>
      <c r="J26" s="51"/>
      <c r="K26" s="51"/>
      <c r="L26" s="51"/>
      <c r="M26" s="52"/>
    </row>
    <row r="30" spans="1:21" ht="15.75" x14ac:dyDescent="0.25">
      <c r="B30" s="82"/>
      <c r="C30" s="83"/>
      <c r="D30" s="82"/>
      <c r="E30" s="83"/>
      <c r="F30" s="82"/>
      <c r="G30" s="83"/>
      <c r="H30" s="82"/>
      <c r="I30" s="85"/>
      <c r="J30" s="86"/>
      <c r="K30" s="83"/>
      <c r="L30" s="73"/>
      <c r="M30" s="83"/>
      <c r="N30" s="73"/>
      <c r="O30" s="85"/>
      <c r="P30" s="73"/>
      <c r="Q30" s="83"/>
      <c r="R30" s="86"/>
      <c r="S30" s="83"/>
      <c r="T30" s="80"/>
      <c r="U30" s="81"/>
    </row>
  </sheetData>
  <mergeCells count="1">
    <mergeCell ref="A2:M2"/>
  </mergeCells>
  <pageMargins left="0.7" right="0.7" top="0.75" bottom="0.75" header="0.3" footer="0.3"/>
  <pageSetup paperSize="9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32"/>
  <sheetViews>
    <sheetView workbookViewId="0">
      <selection activeCell="A2" sqref="A2:M2"/>
    </sheetView>
  </sheetViews>
  <sheetFormatPr defaultRowHeight="12" x14ac:dyDescent="0.2"/>
  <cols>
    <col min="1" max="1" width="27.28515625" style="3" customWidth="1"/>
    <col min="2" max="7" width="15.42578125" style="3" customWidth="1"/>
    <col min="8" max="16384" width="9.140625" style="3"/>
  </cols>
  <sheetData>
    <row r="2" spans="1:13" s="168" customFormat="1" x14ac:dyDescent="0.2">
      <c r="A2" s="174" t="s">
        <v>106</v>
      </c>
      <c r="B2" s="174"/>
      <c r="C2" s="174"/>
      <c r="D2" s="174"/>
      <c r="E2" s="174"/>
      <c r="F2" s="174"/>
      <c r="G2" s="171"/>
      <c r="H2" s="169"/>
      <c r="I2" s="169"/>
      <c r="J2" s="169"/>
      <c r="K2" s="169"/>
      <c r="L2" s="169"/>
      <c r="M2" s="169"/>
    </row>
    <row r="3" spans="1:13" x14ac:dyDescent="0.2">
      <c r="A3" s="60"/>
      <c r="B3" s="60"/>
      <c r="C3" s="60"/>
      <c r="D3" s="60"/>
      <c r="E3" s="60"/>
      <c r="F3" s="60"/>
      <c r="G3" s="60"/>
      <c r="H3" s="59"/>
      <c r="I3" s="59"/>
      <c r="J3" s="59"/>
      <c r="K3" s="59"/>
      <c r="L3" s="59"/>
      <c r="M3" s="59"/>
    </row>
    <row r="4" spans="1:13" x14ac:dyDescent="0.2">
      <c r="A4" s="4"/>
      <c r="B4" s="4"/>
      <c r="C4" s="4"/>
      <c r="D4" s="4"/>
      <c r="E4" s="4"/>
      <c r="F4" s="4"/>
      <c r="G4" s="4"/>
    </row>
    <row r="5" spans="1:13" x14ac:dyDescent="0.2">
      <c r="A5" s="4"/>
      <c r="B5" s="4"/>
      <c r="C5" s="4"/>
      <c r="D5" s="4"/>
      <c r="E5" s="4"/>
      <c r="F5" s="4"/>
      <c r="G5" s="4"/>
    </row>
    <row r="6" spans="1:13" x14ac:dyDescent="0.2">
      <c r="A6" s="4"/>
      <c r="B6" s="4"/>
      <c r="C6" s="4"/>
      <c r="D6" s="4"/>
      <c r="E6" s="4"/>
      <c r="F6" s="4"/>
      <c r="G6" s="4"/>
    </row>
    <row r="7" spans="1:13" x14ac:dyDescent="0.2">
      <c r="A7" s="4"/>
      <c r="B7" s="4"/>
      <c r="C7" s="4"/>
      <c r="D7" s="4"/>
      <c r="E7" s="4"/>
      <c r="F7" s="4"/>
      <c r="G7" s="4"/>
    </row>
    <row r="8" spans="1:13" x14ac:dyDescent="0.2">
      <c r="A8" s="4"/>
      <c r="B8" s="4"/>
      <c r="C8" s="4"/>
      <c r="D8" s="4"/>
      <c r="E8" s="4"/>
      <c r="F8" s="4"/>
      <c r="G8" s="4"/>
    </row>
    <row r="9" spans="1:13" x14ac:dyDescent="0.2">
      <c r="A9" s="4"/>
      <c r="B9" s="4"/>
      <c r="C9" s="4"/>
      <c r="D9" s="4"/>
      <c r="E9" s="4"/>
      <c r="F9" s="4"/>
      <c r="G9" s="4"/>
    </row>
    <row r="10" spans="1:13" x14ac:dyDescent="0.2">
      <c r="A10" s="4"/>
      <c r="B10" s="4"/>
      <c r="C10" s="4"/>
      <c r="D10" s="4"/>
      <c r="E10" s="4"/>
      <c r="F10" s="4"/>
      <c r="G10" s="4"/>
    </row>
    <row r="11" spans="1:13" x14ac:dyDescent="0.2">
      <c r="A11" s="4"/>
      <c r="B11" s="4"/>
      <c r="C11" s="4"/>
      <c r="D11" s="4"/>
      <c r="E11" s="4"/>
      <c r="F11" s="4"/>
      <c r="G11" s="4"/>
    </row>
    <row r="12" spans="1:13" x14ac:dyDescent="0.2">
      <c r="A12" s="4"/>
      <c r="B12" s="4"/>
      <c r="C12" s="4"/>
      <c r="D12" s="4"/>
      <c r="E12" s="4"/>
      <c r="F12" s="4"/>
      <c r="G12" s="4"/>
    </row>
    <row r="13" spans="1:13" x14ac:dyDescent="0.2">
      <c r="A13" s="4"/>
      <c r="B13" s="4"/>
      <c r="C13" s="4"/>
      <c r="D13" s="4"/>
      <c r="E13" s="4"/>
      <c r="F13" s="4"/>
      <c r="G13" s="4"/>
    </row>
    <row r="14" spans="1:13" x14ac:dyDescent="0.2">
      <c r="A14" s="4"/>
      <c r="B14" s="4"/>
      <c r="C14" s="4"/>
      <c r="D14" s="4"/>
      <c r="E14" s="4"/>
      <c r="F14" s="4"/>
      <c r="G14" s="4"/>
    </row>
    <row r="15" spans="1:13" x14ac:dyDescent="0.2">
      <c r="A15" s="4"/>
      <c r="B15" s="4"/>
      <c r="C15" s="4"/>
      <c r="D15" s="4"/>
      <c r="E15" s="4"/>
      <c r="F15" s="4"/>
      <c r="G15" s="4"/>
    </row>
    <row r="16" spans="1:13" x14ac:dyDescent="0.2">
      <c r="A16" s="4"/>
      <c r="B16" s="4"/>
      <c r="C16" s="4"/>
      <c r="D16" s="4"/>
      <c r="E16" s="4"/>
      <c r="F16" s="4"/>
      <c r="G16" s="4"/>
    </row>
    <row r="17" spans="1:7" x14ac:dyDescent="0.2">
      <c r="A17" s="4"/>
      <c r="B17" s="4"/>
      <c r="C17" s="4"/>
      <c r="D17" s="4"/>
      <c r="E17" s="4"/>
      <c r="F17" s="4"/>
      <c r="G17" s="4"/>
    </row>
    <row r="18" spans="1:7" x14ac:dyDescent="0.2">
      <c r="A18" s="4"/>
      <c r="B18" s="4"/>
      <c r="C18" s="4"/>
      <c r="D18" s="4"/>
      <c r="E18" s="4"/>
      <c r="F18" s="4"/>
      <c r="G18" s="4"/>
    </row>
    <row r="19" spans="1:7" x14ac:dyDescent="0.2">
      <c r="A19" s="5"/>
    </row>
    <row r="20" spans="1:7" x14ac:dyDescent="0.2">
      <c r="A20" s="5"/>
    </row>
    <row r="21" spans="1:7" x14ac:dyDescent="0.2">
      <c r="A21" s="5"/>
    </row>
    <row r="22" spans="1:7" ht="24" x14ac:dyDescent="0.2">
      <c r="A22" s="31"/>
      <c r="B22" s="12" t="s">
        <v>96</v>
      </c>
      <c r="C22" s="12" t="s">
        <v>95</v>
      </c>
      <c r="D22" s="12" t="s">
        <v>94</v>
      </c>
      <c r="E22" s="13" t="s">
        <v>93</v>
      </c>
      <c r="F22" s="13" t="s">
        <v>92</v>
      </c>
      <c r="G22" s="13" t="s">
        <v>91</v>
      </c>
    </row>
    <row r="23" spans="1:7" ht="15" customHeight="1" x14ac:dyDescent="0.2">
      <c r="A23" s="23" t="s">
        <v>51</v>
      </c>
      <c r="B23" s="119">
        <v>47.9</v>
      </c>
      <c r="C23" s="20">
        <v>49.951250053103649</v>
      </c>
      <c r="D23" s="143">
        <v>49</v>
      </c>
      <c r="E23" s="120">
        <v>46.7</v>
      </c>
      <c r="F23" s="20">
        <v>47.408245079844427</v>
      </c>
      <c r="G23" s="121">
        <v>45.9</v>
      </c>
    </row>
    <row r="24" spans="1:7" ht="15" customHeight="1" x14ac:dyDescent="0.2">
      <c r="A24" s="24" t="s">
        <v>52</v>
      </c>
      <c r="B24" s="122">
        <v>24.9</v>
      </c>
      <c r="C24" s="22">
        <v>23.30852645041497</v>
      </c>
      <c r="D24" s="123">
        <v>24.8</v>
      </c>
      <c r="E24" s="98">
        <v>24.5</v>
      </c>
      <c r="F24" s="22">
        <v>22.737004197404222</v>
      </c>
      <c r="G24" s="124">
        <v>26.5</v>
      </c>
    </row>
    <row r="25" spans="1:7" ht="15.75" customHeight="1" x14ac:dyDescent="0.2">
      <c r="A25" s="25" t="s">
        <v>53</v>
      </c>
      <c r="B25" s="125">
        <v>27.2</v>
      </c>
      <c r="C25" s="126">
        <v>26.740223496481381</v>
      </c>
      <c r="D25" s="128">
        <v>26.2</v>
      </c>
      <c r="E25" s="127">
        <v>28.8</v>
      </c>
      <c r="F25" s="126">
        <v>29.854750722751337</v>
      </c>
      <c r="G25" s="129">
        <v>27.6</v>
      </c>
    </row>
    <row r="26" spans="1:7" x14ac:dyDescent="0.2">
      <c r="G26" s="8"/>
    </row>
    <row r="30" spans="1:7" ht="15.75" x14ac:dyDescent="0.2">
      <c r="B30" s="100"/>
      <c r="C30" s="100"/>
      <c r="D30" s="100"/>
      <c r="E30" s="100"/>
      <c r="F30" s="100"/>
      <c r="G30" s="100"/>
    </row>
    <row r="31" spans="1:7" ht="15.75" x14ac:dyDescent="0.2">
      <c r="B31" s="100"/>
      <c r="C31" s="100"/>
      <c r="D31" s="100"/>
      <c r="E31" s="100"/>
      <c r="F31" s="100"/>
      <c r="G31" s="100"/>
    </row>
    <row r="32" spans="1:7" ht="15.75" x14ac:dyDescent="0.2">
      <c r="B32" s="100"/>
      <c r="C32" s="100"/>
      <c r="D32" s="100"/>
      <c r="E32" s="100"/>
      <c r="F32" s="100"/>
      <c r="G32" s="100"/>
    </row>
  </sheetData>
  <mergeCells count="1">
    <mergeCell ref="A2:F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43"/>
  <sheetViews>
    <sheetView workbookViewId="0">
      <selection activeCell="A2" sqref="A2:G2"/>
    </sheetView>
  </sheetViews>
  <sheetFormatPr defaultRowHeight="12" x14ac:dyDescent="0.2"/>
  <cols>
    <col min="1" max="1" width="18" style="3" customWidth="1"/>
    <col min="2" max="4" width="15.5703125" style="3" customWidth="1"/>
    <col min="5" max="5" width="15.28515625" style="3" customWidth="1"/>
    <col min="6" max="6" width="16" style="3" customWidth="1"/>
    <col min="7" max="7" width="15.85546875" style="3" customWidth="1"/>
    <col min="8" max="16384" width="9.140625" style="3"/>
  </cols>
  <sheetData>
    <row r="2" spans="1:13" s="168" customFormat="1" x14ac:dyDescent="0.2">
      <c r="A2" s="178" t="s">
        <v>105</v>
      </c>
      <c r="B2" s="178"/>
      <c r="C2" s="178"/>
      <c r="D2" s="178"/>
      <c r="E2" s="178"/>
      <c r="F2" s="178"/>
      <c r="G2" s="178"/>
      <c r="H2" s="170"/>
      <c r="I2" s="170"/>
      <c r="J2" s="170"/>
      <c r="K2" s="169"/>
      <c r="L2" s="169"/>
      <c r="M2" s="169"/>
    </row>
    <row r="17" spans="1:7" ht="15.75" customHeight="1" x14ac:dyDescent="0.2"/>
    <row r="22" spans="1:7" ht="26.25" customHeight="1" x14ac:dyDescent="0.2">
      <c r="A22" s="89"/>
      <c r="B22" s="13" t="s">
        <v>96</v>
      </c>
      <c r="C22" s="13" t="s">
        <v>95</v>
      </c>
      <c r="D22" s="13" t="s">
        <v>94</v>
      </c>
      <c r="E22" s="13" t="s">
        <v>93</v>
      </c>
      <c r="F22" s="13" t="s">
        <v>92</v>
      </c>
      <c r="G22" s="13" t="s">
        <v>91</v>
      </c>
    </row>
    <row r="23" spans="1:7" x14ac:dyDescent="0.2">
      <c r="A23" s="131" t="s">
        <v>36</v>
      </c>
      <c r="B23" s="132">
        <f>IF(OR(300242.47477="",300242.47477="***"),"-",300242.47477/2181405.29478*100)</f>
        <v>13.763718071486581</v>
      </c>
      <c r="C23" s="132">
        <f>IF(386686.37272="","-",386686.37272/2734888.97913*100)</f>
        <v>14.139015355680339</v>
      </c>
      <c r="D23" s="132">
        <f>IF(398735.55201="","-",398735.55201/2808282.38613*100)</f>
        <v>14.198556170110946</v>
      </c>
      <c r="E23" s="132">
        <f>IF(294046.1009="","-",294046.1009/2393616.81978*100)</f>
        <v>12.284593693949148</v>
      </c>
      <c r="F23" s="132">
        <f>IF(420001.61284="","-",420001.61284/3266113.78787*100)</f>
        <v>12.859368660082863</v>
      </c>
      <c r="G23" s="133">
        <f>IF(702529.0361="","-",702529.0361/4347054.06049*100)</f>
        <v>16.161037482492475</v>
      </c>
    </row>
    <row r="24" spans="1:7" x14ac:dyDescent="0.2">
      <c r="A24" s="134" t="s">
        <v>63</v>
      </c>
      <c r="B24" s="135">
        <f>IF(OR(261532.64482="",261532.64482="***"),"-",261532.64482/2181405.29478*100)</f>
        <v>11.989181719043007</v>
      </c>
      <c r="C24" s="135">
        <f>IF(323555.32502="","-",323555.32502/2734888.97913*100)</f>
        <v>11.83065665513511</v>
      </c>
      <c r="D24" s="135">
        <f>IF(349252.8024="","-",349252.8024/2808282.38613*100)</f>
        <v>12.436527185618736</v>
      </c>
      <c r="E24" s="135">
        <f>IF(295667.83921="","-",295667.83921/2393616.81978*100)</f>
        <v>12.352346322381507</v>
      </c>
      <c r="F24" s="135">
        <f>IF(375174.6247="","-",375174.6247/3266113.78787*100)</f>
        <v>11.486881629579432</v>
      </c>
      <c r="G24" s="136">
        <f>IF(663634.30098="","-",663634.30098/4347054.06049*100)</f>
        <v>15.266299699645216</v>
      </c>
    </row>
    <row r="25" spans="1:7" x14ac:dyDescent="0.2">
      <c r="A25" s="134" t="s">
        <v>54</v>
      </c>
      <c r="B25" s="135">
        <f>IF(OR(219548.50487="",219548.50487="***"),"-",219548.50487/2181405.29478*100)</f>
        <v>10.064544419845738</v>
      </c>
      <c r="C25" s="135">
        <f>IF(285619.72909="","-",285619.72909/2734888.97913*100)</f>
        <v>10.443558450436951</v>
      </c>
      <c r="D25" s="135">
        <f>IF(277937.81489="","-",277937.81489/2808282.38613*100)</f>
        <v>9.89707503286437</v>
      </c>
      <c r="E25" s="135">
        <f>IF(262582.07315="","-",262582.07315/2393616.81978*100)</f>
        <v>10.970096423960381</v>
      </c>
      <c r="F25" s="135">
        <f>IF(384609.0143="","-",384609.0143/3266113.78787*100)</f>
        <v>11.775738363078379</v>
      </c>
      <c r="G25" s="136">
        <f>IF(409665.86202="","-",409665.86202/4347054.06049*100)</f>
        <v>9.4239882071727088</v>
      </c>
    </row>
    <row r="26" spans="1:7" x14ac:dyDescent="0.2">
      <c r="A26" s="134" t="s">
        <v>41</v>
      </c>
      <c r="B26" s="135">
        <f>IF(OR(224670.81425="",224670.81425="***"),"-",224670.81425/2181405.29478*100)</f>
        <v>10.299361369830111</v>
      </c>
      <c r="C26" s="135">
        <f>IF(255762.11953="","-",255762.11953/2734888.97913*100)</f>
        <v>9.3518282270953801</v>
      </c>
      <c r="D26" s="135">
        <f>IF(272340.70528="","-",272340.70528/2808282.38613*100)</f>
        <v>9.6977678108540779</v>
      </c>
      <c r="E26" s="135">
        <f>IF(228665.84046="","-",228665.84046/2393616.81978*100)</f>
        <v>9.5531514722986</v>
      </c>
      <c r="F26" s="135">
        <f>IF(294944.22176="","-",294944.22176/3266113.78787*100)</f>
        <v>9.030433136022129</v>
      </c>
      <c r="G26" s="136">
        <f>IF(396338.40468="","-",396338.40468/4347054.06049*100)</f>
        <v>9.1174022490837103</v>
      </c>
    </row>
    <row r="27" spans="1:7" x14ac:dyDescent="0.2">
      <c r="A27" s="134" t="s">
        <v>38</v>
      </c>
      <c r="B27" s="135">
        <f>IF(OR(146022.77785="",146022.77785="***"),"-",146022.77785/2181405.29478*100)</f>
        <v>6.693977419025507</v>
      </c>
      <c r="C27" s="135">
        <f>IF(161328.19409="","-",161328.19409/2734888.97913*100)</f>
        <v>5.8988937145565741</v>
      </c>
      <c r="D27" s="135">
        <f>IF(181709.29785="","-",181709.29785/2808282.38613*100)</f>
        <v>6.4704781380766878</v>
      </c>
      <c r="E27" s="135">
        <f>IF(163423.44539="","-",163423.44539/2393616.81978*100)</f>
        <v>6.8274689599240208</v>
      </c>
      <c r="F27" s="135">
        <f>IF(234474.46346="","-",234474.46346/3266113.78787*100)</f>
        <v>7.1790047343363623</v>
      </c>
      <c r="G27" s="136">
        <f>IF(308245.26002="","-",308245.26002/4347054.06049*100)</f>
        <v>7.0909000838433229</v>
      </c>
    </row>
    <row r="28" spans="1:7" x14ac:dyDescent="0.2">
      <c r="A28" s="134" t="s">
        <v>37</v>
      </c>
      <c r="B28" s="135">
        <f>IF(OR(173791.02256="",173791.02256="***"),"-",173791.02256/2181405.29478*100)</f>
        <v>7.9669295282208088</v>
      </c>
      <c r="C28" s="135">
        <f>IF(235960.24867="","-",235960.24867/2734888.97913*100)</f>
        <v>8.6277816200444715</v>
      </c>
      <c r="D28" s="135">
        <f>IF(238032.18999="","-",238032.18999/2808282.38613*100)</f>
        <v>8.4760774473974543</v>
      </c>
      <c r="E28" s="135">
        <f>IF(197851.2621="","-",197851.2621/2393616.81978*100)</f>
        <v>8.2657867568872092</v>
      </c>
      <c r="F28" s="135">
        <f>IF(271859.44526="","-",271859.44526/3266113.78787*100)</f>
        <v>8.3236366800708872</v>
      </c>
      <c r="G28" s="136">
        <f>IF(287720.74502="","-",287720.74502/4347054.06049*100)</f>
        <v>6.618752401426728</v>
      </c>
    </row>
    <row r="29" spans="1:7" x14ac:dyDescent="0.2">
      <c r="A29" s="134" t="s">
        <v>39</v>
      </c>
      <c r="B29" s="135">
        <f>IF(OR(155441.96825="",155441.96825="***"),"-",155441.96825/2181405.29478*100)</f>
        <v>7.1257720251236805</v>
      </c>
      <c r="C29" s="135">
        <f>IF(195710.92908="","-",195710.92908/2734888.97913*100)</f>
        <v>7.156083138053301</v>
      </c>
      <c r="D29" s="135">
        <f>IF(200707.15474="","-",200707.15474/2808282.38613*100)</f>
        <v>7.1469719616262601</v>
      </c>
      <c r="E29" s="135">
        <f>IF(160819.39079="","-",160819.39079/2393616.81978*100)</f>
        <v>6.7186773363658556</v>
      </c>
      <c r="F29" s="135">
        <f>IF(220030.28975="","-",220030.28975/3266113.78787*100)</f>
        <v>6.7367613022904811</v>
      </c>
      <c r="G29" s="136">
        <f>IF(228255.82307="","-",228255.82307/4347054.06049*100)</f>
        <v>5.2508162975150814</v>
      </c>
    </row>
    <row r="30" spans="1:7" x14ac:dyDescent="0.2">
      <c r="A30" s="134" t="s">
        <v>40</v>
      </c>
      <c r="B30" s="135">
        <f>IF(OR(69828.991="",69828.991="***"),"-",69828.991/2181405.29478*100)</f>
        <v>3.2011011968797116</v>
      </c>
      <c r="C30" s="135">
        <f>IF(96177.6956="","-",96177.6956/2734888.97913*100)</f>
        <v>3.5166946934202516</v>
      </c>
      <c r="D30" s="135">
        <f>IF(93971.30847="","-",93971.30847/2808282.38613*100)</f>
        <v>3.3462200572891363</v>
      </c>
      <c r="E30" s="135">
        <f>IF(93094.12442="","-",93094.12442/2393616.81978*100)</f>
        <v>3.889265969837076</v>
      </c>
      <c r="F30" s="135">
        <f>IF(124518.41497="","-",124518.41497/3266113.78787*100)</f>
        <v>3.8124334624362497</v>
      </c>
      <c r="G30" s="136">
        <f>IF(145107.88436="","-",145107.88436/4347054.06049*100)</f>
        <v>3.3380740690315553</v>
      </c>
    </row>
    <row r="31" spans="1:7" x14ac:dyDescent="0.2">
      <c r="A31" s="134" t="s">
        <v>79</v>
      </c>
      <c r="B31" s="135">
        <f>IF(OR(14042.21561="",14042.21561="***"),"-",14042.21561/2181405.29478*100)</f>
        <v>0.64372336693242471</v>
      </c>
      <c r="C31" s="135">
        <f>IF(14634.47554="","-",14634.47554/2734888.97913*100)</f>
        <v>0.53510309382486876</v>
      </c>
      <c r="D31" s="135">
        <f>IF(18239.67978="","-",18239.67978/2808282.38613*100)</f>
        <v>0.64949592925857758</v>
      </c>
      <c r="E31" s="135">
        <f>IF(16957.18039="","-",16957.18039/2393616.81978*100)</f>
        <v>0.70843337370759929</v>
      </c>
      <c r="F31" s="135">
        <f>IF(22060.36863="","-",22060.36863/3266113.78787*100)</f>
        <v>0.67543172292189779</v>
      </c>
      <c r="G31" s="136">
        <f>IF(112462.10705="","-",112462.10705/4347054.06049*100)</f>
        <v>2.5870878412154661</v>
      </c>
    </row>
    <row r="32" spans="1:7" x14ac:dyDescent="0.2">
      <c r="A32" s="134" t="s">
        <v>65</v>
      </c>
      <c r="B32" s="135">
        <f>IF(OR(59072.95082="",59072.95082="***"),"-",59072.95082/2181405.29478*100)</f>
        <v>2.7080227118435434</v>
      </c>
      <c r="C32" s="135">
        <f>IF(76456.96038="","-",76456.96038/2734888.97913*100)</f>
        <v>2.7956147749851934</v>
      </c>
      <c r="D32" s="135">
        <f>IF(76428.12446="","-",76428.12446/2808282.38613*100)</f>
        <v>2.7215256142856434</v>
      </c>
      <c r="E32" s="135">
        <f>IF(66048.39994="","-",66048.39994/2393616.81978*100)</f>
        <v>2.7593556075558738</v>
      </c>
      <c r="F32" s="135">
        <f>IF(86471.03108="","-",86471.03108/3266113.78787*100)</f>
        <v>2.6475204691625942</v>
      </c>
      <c r="G32" s="136">
        <f>IF(102933.22986="","-",102933.22986/4347054.06049*100)</f>
        <v>2.367884742808958</v>
      </c>
    </row>
    <row r="33" spans="1:7" x14ac:dyDescent="0.2">
      <c r="A33" s="134" t="s">
        <v>43</v>
      </c>
      <c r="B33" s="135">
        <f>IF(OR(45191.89129="",45191.89129="***"),"-",45191.89129/2181405.29478*100)</f>
        <v>2.0716870632954851</v>
      </c>
      <c r="C33" s="135">
        <f>IF(61500.5958="","-",61500.5958/2734888.97913*100)</f>
        <v>2.2487419514763651</v>
      </c>
      <c r="D33" s="135">
        <f>IF(57113.88832="","-",57113.88832/2808282.38613*100)</f>
        <v>2.0337658563855014</v>
      </c>
      <c r="E33" s="135">
        <f>IF(48560.99087="","-",48560.99087/2393616.81978*100)</f>
        <v>2.0287704560190756</v>
      </c>
      <c r="F33" s="135">
        <f>IF(63833.50964="","-",63833.50964/3266113.78787*100)</f>
        <v>1.9544178122964015</v>
      </c>
      <c r="G33" s="136">
        <f>IF(92595.31021="","-",92595.31021/4347054.06049*100)</f>
        <v>2.1300703630900477</v>
      </c>
    </row>
    <row r="34" spans="1:7" ht="13.5" customHeight="1" x14ac:dyDescent="0.2">
      <c r="A34" s="134" t="s">
        <v>67</v>
      </c>
      <c r="B34" s="135">
        <f>IF(OR(39715.04866="",39715.04866="***"),"-",39715.04866/2181405.29478*100)</f>
        <v>1.8206175970616849</v>
      </c>
      <c r="C34" s="135">
        <f>IF(37761.7023="","-",37761.7023/2734888.97913*100)</f>
        <v>1.3807398614042621</v>
      </c>
      <c r="D34" s="135">
        <f>IF(35933.63281="","-",35933.63281/2808282.38613*100)</f>
        <v>1.2795590994507835</v>
      </c>
      <c r="E34" s="135">
        <f>IF(32555.63779="","-",32555.63779/2393616.81978*100)</f>
        <v>1.3601023154989453</v>
      </c>
      <c r="F34" s="135">
        <f>IF(53225.68476="","-",53225.68476/3266113.78787*100)</f>
        <v>1.6296335099430563</v>
      </c>
      <c r="G34" s="136">
        <f>IF(70246.96959="","-",70246.96959/4347054.06049*100)</f>
        <v>1.6159672415502868</v>
      </c>
    </row>
    <row r="35" spans="1:7" ht="12" customHeight="1" x14ac:dyDescent="0.2">
      <c r="A35" s="134" t="s">
        <v>66</v>
      </c>
      <c r="B35" s="135">
        <f>IF(OR(29595.81654="",29595.81654="***"),"-",29595.81654/2181405.29478*100)</f>
        <v>1.3567316725058562</v>
      </c>
      <c r="C35" s="135">
        <f>IF(40443.61334="","-",40443.61334/2734888.97913*100)</f>
        <v>1.4788027466060283</v>
      </c>
      <c r="D35" s="135">
        <f>IF(53720.88986="","-",53720.88986/2808282.38613*100)</f>
        <v>1.9129447282554433</v>
      </c>
      <c r="E35" s="135">
        <f>IF(38660.09692="","-",38660.09692/2393616.81978*100)</f>
        <v>1.6151330739543053</v>
      </c>
      <c r="F35" s="135">
        <f>IF(55912.70591="","-",55912.70591/3266113.78787*100)</f>
        <v>1.7119031834608409</v>
      </c>
      <c r="G35" s="136">
        <f>IF(64464.63819="","-",64464.63819/4347054.06049*100)</f>
        <v>1.4829499999991613</v>
      </c>
    </row>
    <row r="36" spans="1:7" x14ac:dyDescent="0.2">
      <c r="A36" s="134" t="s">
        <v>45</v>
      </c>
      <c r="B36" s="135">
        <f>IF(OR(31878.79144="",31878.79144="***"),"-",31878.79144/2181405.29478*100)</f>
        <v>1.4613878272086551</v>
      </c>
      <c r="C36" s="135">
        <f>IF(32988.2063="","-",32988.2063/2734888.97913*100)</f>
        <v>1.2061991017453999</v>
      </c>
      <c r="D36" s="135">
        <f>IF(23571.83007="","-",23571.83007/2808282.38613*100)</f>
        <v>0.83936822687135648</v>
      </c>
      <c r="E36" s="135">
        <f>IF(25828.23999="","-",25828.23999/2393616.81978*100)</f>
        <v>1.079046561528336</v>
      </c>
      <c r="F36" s="135">
        <f>IF(37083.88166="","-",37083.88166/3266113.78787*100)</f>
        <v>1.1354130342220654</v>
      </c>
      <c r="G36" s="136">
        <f>IF(63155.05859="","-",63155.05859/4347054.06049*100)</f>
        <v>1.452824319900019</v>
      </c>
    </row>
    <row r="37" spans="1:7" x14ac:dyDescent="0.2">
      <c r="A37" s="134" t="s">
        <v>42</v>
      </c>
      <c r="B37" s="135">
        <f>IF(OR(53304.02259="",53304.02259="***"),"-",53304.02259/2181405.29478*100)</f>
        <v>2.4435634550605525</v>
      </c>
      <c r="C37" s="135">
        <f>IF(49934.33624="","-",49934.33624/2734888.97913*100)</f>
        <v>1.8258268112910636</v>
      </c>
      <c r="D37" s="135">
        <f>IF(63404.69742="","-",63404.69742/2808282.38613*100)</f>
        <v>2.2577749920432999</v>
      </c>
      <c r="E37" s="135">
        <f>IF(46724.68515="","-",46724.68515/2393616.81978*100)</f>
        <v>1.9520536772587735</v>
      </c>
      <c r="F37" s="135">
        <f>IF(58218.85956="","-",58218.85956/3266113.78787*100)</f>
        <v>1.7825116741559546</v>
      </c>
      <c r="G37" s="136">
        <f>IF(55022.69542="","-",55022.69542/4347054.06049*100)</f>
        <v>1.2657467483576186</v>
      </c>
    </row>
    <row r="38" spans="1:7" x14ac:dyDescent="0.2">
      <c r="A38" s="134" t="s">
        <v>44</v>
      </c>
      <c r="B38" s="135">
        <f>IF(OR(29393.44766="",29393.44766="***"),"-",29393.44766/2181405.29478*100)</f>
        <v>1.3474546765948141</v>
      </c>
      <c r="C38" s="135">
        <f>IF(39979.49706="","-",39979.49706/2734888.97913*100)</f>
        <v>1.4618325411043904</v>
      </c>
      <c r="D38" s="135">
        <f>IF(41256.03811="","-",41256.03811/2808282.38613*100)</f>
        <v>1.4690843881570459</v>
      </c>
      <c r="E38" s="135">
        <f>IF(36709.59168="","-",36709.59168/2393616.81978*100)</f>
        <v>1.5336452926234876</v>
      </c>
      <c r="F38" s="135">
        <f>IF(45979.51005="","-",45979.51005/3266113.78787*100)</f>
        <v>1.4077742857815614</v>
      </c>
      <c r="G38" s="136">
        <f>IF(54429.52628="","-",54429.52628/4347054.06049*100)</f>
        <v>1.2521014351927497</v>
      </c>
    </row>
    <row r="39" spans="1:7" x14ac:dyDescent="0.2">
      <c r="A39" s="134" t="s">
        <v>88</v>
      </c>
      <c r="B39" s="135">
        <f>IF(OR(22513.55893="",22513.55893="***"),"-",22513.55893/2181405.29478*100)</f>
        <v>1.0320667591608896</v>
      </c>
      <c r="C39" s="135">
        <f>IF(30633.23569="","-",30633.23569/2734888.97913*100)</f>
        <v>1.1200906480578525</v>
      </c>
      <c r="D39" s="135">
        <f>IF(29756.57923="","-",29756.57923/2808282.38613*100)</f>
        <v>1.0596006789405017</v>
      </c>
      <c r="E39" s="135">
        <f>IF(26354.94037="","-",26354.94037/2393616.81978*100)</f>
        <v>1.1010509348117929</v>
      </c>
      <c r="F39" s="135">
        <f>IF(35613.92266="","-",35613.92266/3266113.78787*100)</f>
        <v>1.0904066720598138</v>
      </c>
      <c r="G39" s="136">
        <f>IF(44127.91299="","-",44127.91299/4347054.06049*100)</f>
        <v>1.0151222500560735</v>
      </c>
    </row>
    <row r="40" spans="1:7" x14ac:dyDescent="0.2">
      <c r="A40" s="134" t="s">
        <v>55</v>
      </c>
      <c r="B40" s="135">
        <f>IF(OR(35566.9506="",35566.9506="***"),"-",35566.9506/2181405.29478*100)</f>
        <v>1.6304604506604081</v>
      </c>
      <c r="C40" s="135">
        <f>IF(55640.58105="","-",55640.58105/2734888.97913*100)</f>
        <v>2.0344731166272028</v>
      </c>
      <c r="D40" s="135">
        <f>IF(47039.67331="","-",47039.67331/2808282.38613*100)</f>
        <v>1.6750335914339369</v>
      </c>
      <c r="E40" s="135">
        <f>IF(27493.31414="","-",27493.31414/2393616.81978*100)</f>
        <v>1.1486096652064359</v>
      </c>
      <c r="F40" s="135">
        <f>IF(49025.34159="","-",49025.34159/3266113.78787*100)</f>
        <v>1.5010298101699615</v>
      </c>
      <c r="G40" s="136">
        <f>IF(40837.83829="","-",40837.83829/4347054.06049*100)</f>
        <v>0.9394370928388398</v>
      </c>
    </row>
    <row r="41" spans="1:7" x14ac:dyDescent="0.2">
      <c r="A41" s="134" t="s">
        <v>46</v>
      </c>
      <c r="B41" s="135">
        <f>IF(OR(28350.55451="",28350.55451="***"),"-",28350.55451/2181405.29478*100)</f>
        <v>1.299646359979117</v>
      </c>
      <c r="C41" s="135">
        <f>IF(29550.85327="","-",29550.85327/2734888.97913*100)</f>
        <v>1.0805138159356096</v>
      </c>
      <c r="D41" s="135">
        <f>IF(27544.84667="","-",27544.84667/2808282.38613*100)</f>
        <v>0.98084319461756941</v>
      </c>
      <c r="E41" s="135">
        <f>IF(23617.74824="","-",23617.74824/2393616.81978*100)</f>
        <v>0.98669712064317527</v>
      </c>
      <c r="F41" s="135">
        <f>IF(30972.43787="","-",30972.43787/3266113.78787*100)</f>
        <v>0.94829635100370202</v>
      </c>
      <c r="G41" s="136">
        <f>IF(36197.70414="","-",36197.70414/4347054.06049*100)</f>
        <v>0.83269505362258589</v>
      </c>
    </row>
    <row r="42" spans="1:7" x14ac:dyDescent="0.2">
      <c r="A42" s="134" t="s">
        <v>68</v>
      </c>
      <c r="B42" s="135">
        <f>IF(OR(11202.55649="",11202.55649="***"),"-",11202.55649/2181405.29478*100)</f>
        <v>0.51354768950122154</v>
      </c>
      <c r="C42" s="135">
        <f>IF(17482.61532="","-",17482.61532/2734888.97913*100)</f>
        <v>0.639244059024342</v>
      </c>
      <c r="D42" s="135">
        <f>IF(16392.52252="","-",16392.52252/2808282.38613*100)</f>
        <v>0.58372059024270651</v>
      </c>
      <c r="E42" s="135">
        <f>IF(18398.85963="","-",18398.85963/2393616.81978*100)</f>
        <v>0.76866353369337781</v>
      </c>
      <c r="F42" s="135">
        <f>IF(21630.94706="","-",21630.94706/3266113.78787*100)</f>
        <v>0.66228393941249197</v>
      </c>
      <c r="G42" s="136">
        <f>IF(30831.75333="","-",30831.75333/4347054.06049*100)</f>
        <v>0.70925626645012652</v>
      </c>
    </row>
    <row r="43" spans="1:7" x14ac:dyDescent="0.2">
      <c r="A43" s="137" t="s">
        <v>100</v>
      </c>
      <c r="B43" s="138">
        <f>IF(OR(15309.08871="",15309.08871="***"),"-",15309.08871/2181405.29478*100)</f>
        <v>0.70179937431315154</v>
      </c>
      <c r="C43" s="138">
        <f>IF(28182.65967="","-",28182.65967/2734888.97913*100)</f>
        <v>1.0304864250454961</v>
      </c>
      <c r="D43" s="138">
        <f>IF(22736.89939="","-",22736.89939/2808282.38613*100)</f>
        <v>0.80963721819061651</v>
      </c>
      <c r="E43" s="138">
        <f>IF(24186.6149="","-",24186.6149/2393616.81978*100)</f>
        <v>1.0104631075504817</v>
      </c>
      <c r="F43" s="138">
        <f>IF(31810.8532="","-",31810.8532/3266113.78787*100)</f>
        <v>0.973966471044032</v>
      </c>
      <c r="G43" s="139">
        <f>IF(28818.40155="","-",28818.40155/4347054.06049*100)</f>
        <v>0.66294095148086529</v>
      </c>
    </row>
  </sheetData>
  <mergeCells count="1">
    <mergeCell ref="A2:G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50"/>
  <sheetViews>
    <sheetView workbookViewId="0">
      <selection activeCell="A2" sqref="A2:G2"/>
    </sheetView>
  </sheetViews>
  <sheetFormatPr defaultRowHeight="12" x14ac:dyDescent="0.2"/>
  <cols>
    <col min="1" max="1" width="47.140625" style="3" customWidth="1"/>
    <col min="2" max="2" width="13.7109375" style="3" customWidth="1"/>
    <col min="3" max="3" width="11.140625" style="3" customWidth="1"/>
    <col min="4" max="4" width="10.28515625" style="3" customWidth="1"/>
    <col min="5" max="5" width="10.140625" style="3" customWidth="1"/>
    <col min="6" max="16384" width="9.140625" style="3"/>
  </cols>
  <sheetData>
    <row r="2" spans="1:13" s="168" customFormat="1" x14ac:dyDescent="0.2">
      <c r="A2" s="189" t="s">
        <v>104</v>
      </c>
      <c r="B2" s="189"/>
      <c r="C2" s="189"/>
      <c r="D2" s="189"/>
      <c r="E2" s="189"/>
      <c r="F2" s="189"/>
      <c r="G2" s="189"/>
      <c r="H2" s="169"/>
      <c r="I2" s="169"/>
      <c r="J2" s="169"/>
      <c r="K2" s="169"/>
      <c r="L2" s="169"/>
      <c r="M2" s="169"/>
    </row>
    <row r="3" spans="1:13" x14ac:dyDescent="0.2">
      <c r="A3" s="60"/>
      <c r="B3" s="60"/>
      <c r="C3" s="60"/>
      <c r="D3" s="60"/>
      <c r="E3" s="60"/>
      <c r="F3" s="60"/>
      <c r="G3" s="59"/>
      <c r="H3" s="59"/>
      <c r="I3" s="59"/>
      <c r="J3" s="59"/>
    </row>
    <row r="4" spans="1:13" x14ac:dyDescent="0.2">
      <c r="A4" s="4"/>
      <c r="B4" s="4"/>
      <c r="C4" s="4"/>
      <c r="D4" s="4"/>
      <c r="E4" s="4"/>
      <c r="F4" s="4"/>
    </row>
    <row r="5" spans="1:13" x14ac:dyDescent="0.2">
      <c r="A5" s="4"/>
      <c r="B5" s="4"/>
      <c r="C5" s="4"/>
      <c r="D5" s="4"/>
      <c r="E5" s="4"/>
      <c r="F5" s="4"/>
    </row>
    <row r="6" spans="1:13" x14ac:dyDescent="0.2">
      <c r="A6" s="4"/>
      <c r="B6" s="4"/>
      <c r="C6" s="4"/>
      <c r="D6" s="4"/>
      <c r="E6" s="4"/>
      <c r="F6" s="4"/>
    </row>
    <row r="7" spans="1:13" x14ac:dyDescent="0.2">
      <c r="A7" s="4"/>
      <c r="B7" s="4"/>
      <c r="C7" s="4"/>
      <c r="D7" s="4"/>
      <c r="E7" s="4"/>
      <c r="F7" s="4"/>
    </row>
    <row r="8" spans="1:13" x14ac:dyDescent="0.2">
      <c r="A8" s="4"/>
      <c r="B8" s="4"/>
      <c r="C8" s="4"/>
      <c r="D8" s="4"/>
      <c r="E8" s="4"/>
      <c r="F8" s="4"/>
    </row>
    <row r="9" spans="1:13" x14ac:dyDescent="0.2">
      <c r="A9" s="4"/>
      <c r="B9" s="4"/>
      <c r="C9" s="4"/>
      <c r="D9" s="4"/>
      <c r="E9" s="4"/>
      <c r="F9" s="4"/>
    </row>
    <row r="10" spans="1:13" x14ac:dyDescent="0.2">
      <c r="A10" s="4"/>
      <c r="B10" s="4"/>
      <c r="C10" s="4"/>
      <c r="D10" s="4"/>
      <c r="E10" s="4"/>
      <c r="F10" s="4"/>
    </row>
    <row r="11" spans="1:13" x14ac:dyDescent="0.2">
      <c r="A11" s="4"/>
      <c r="B11" s="4"/>
      <c r="C11" s="4"/>
      <c r="D11" s="4"/>
      <c r="E11" s="4"/>
      <c r="F11" s="4"/>
    </row>
    <row r="12" spans="1:13" x14ac:dyDescent="0.2">
      <c r="A12" s="4"/>
      <c r="B12" s="4"/>
      <c r="C12" s="4"/>
      <c r="D12" s="4"/>
      <c r="E12" s="4"/>
      <c r="F12" s="4"/>
    </row>
    <row r="13" spans="1:13" x14ac:dyDescent="0.2">
      <c r="A13" s="4"/>
      <c r="B13" s="4"/>
      <c r="C13" s="4"/>
      <c r="D13" s="4"/>
      <c r="E13" s="4"/>
      <c r="F13" s="4"/>
    </row>
    <row r="14" spans="1:13" x14ac:dyDescent="0.2">
      <c r="A14" s="4"/>
      <c r="B14" s="4"/>
      <c r="C14" s="4"/>
      <c r="D14" s="4"/>
      <c r="E14" s="4"/>
      <c r="F14" s="4"/>
    </row>
    <row r="15" spans="1:13" x14ac:dyDescent="0.2">
      <c r="A15" s="4"/>
      <c r="B15" s="4"/>
      <c r="C15" s="4"/>
      <c r="D15" s="4"/>
      <c r="E15" s="4"/>
      <c r="F15" s="4"/>
    </row>
    <row r="16" spans="1:13" x14ac:dyDescent="0.2">
      <c r="A16" s="4"/>
      <c r="B16" s="4"/>
      <c r="C16" s="4"/>
      <c r="D16" s="4"/>
      <c r="E16" s="4"/>
      <c r="F16" s="4"/>
    </row>
    <row r="17" spans="1:6" x14ac:dyDescent="0.2">
      <c r="A17" s="4"/>
      <c r="B17" s="4"/>
      <c r="C17" s="4"/>
      <c r="D17" s="4"/>
      <c r="E17" s="4"/>
      <c r="F17" s="4"/>
    </row>
    <row r="18" spans="1:6" x14ac:dyDescent="0.2">
      <c r="A18" s="4"/>
      <c r="B18" s="4"/>
      <c r="C18" s="4"/>
      <c r="D18" s="4"/>
      <c r="E18" s="4"/>
      <c r="F18" s="4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5"/>
    </row>
    <row r="21" spans="1:6" x14ac:dyDescent="0.2">
      <c r="A21" s="5"/>
    </row>
    <row r="22" spans="1:6" ht="16.5" customHeight="1" x14ac:dyDescent="0.2">
      <c r="A22" s="5"/>
    </row>
    <row r="23" spans="1:6" ht="16.5" customHeight="1" x14ac:dyDescent="0.2">
      <c r="A23" s="5"/>
    </row>
    <row r="24" spans="1:6" x14ac:dyDescent="0.2">
      <c r="A24" s="56" t="s">
        <v>98</v>
      </c>
      <c r="B24" s="104" t="s">
        <v>47</v>
      </c>
    </row>
    <row r="25" spans="1:6" x14ac:dyDescent="0.2">
      <c r="A25" s="156" t="s">
        <v>84</v>
      </c>
      <c r="B25" s="160">
        <v>7.7</v>
      </c>
    </row>
    <row r="26" spans="1:6" ht="13.5" customHeight="1" x14ac:dyDescent="0.2">
      <c r="A26" s="157" t="s">
        <v>80</v>
      </c>
      <c r="B26" s="161">
        <v>3.9</v>
      </c>
    </row>
    <row r="27" spans="1:6" x14ac:dyDescent="0.2">
      <c r="A27" s="157" t="s">
        <v>74</v>
      </c>
      <c r="B27" s="161">
        <v>8</v>
      </c>
    </row>
    <row r="28" spans="1:6" x14ac:dyDescent="0.2">
      <c r="A28" s="157" t="s">
        <v>82</v>
      </c>
      <c r="B28" s="161">
        <v>6.3</v>
      </c>
    </row>
    <row r="29" spans="1:6" x14ac:dyDescent="0.2">
      <c r="A29" s="157" t="s">
        <v>85</v>
      </c>
      <c r="B29" s="161">
        <v>4.9000000000000004</v>
      </c>
    </row>
    <row r="30" spans="1:6" x14ac:dyDescent="0.2">
      <c r="A30" s="157" t="s">
        <v>81</v>
      </c>
      <c r="B30" s="161">
        <v>3</v>
      </c>
    </row>
    <row r="31" spans="1:6" x14ac:dyDescent="0.2">
      <c r="A31" s="157" t="s">
        <v>73</v>
      </c>
      <c r="B31" s="161">
        <v>4.5999999999999996</v>
      </c>
    </row>
    <row r="32" spans="1:6" x14ac:dyDescent="0.2">
      <c r="A32" s="157" t="s">
        <v>86</v>
      </c>
      <c r="B32" s="161">
        <v>3.6</v>
      </c>
    </row>
    <row r="33" spans="1:3" x14ac:dyDescent="0.2">
      <c r="A33" s="157" t="s">
        <v>70</v>
      </c>
      <c r="B33" s="161">
        <v>3.1</v>
      </c>
    </row>
    <row r="34" spans="1:3" x14ac:dyDescent="0.2">
      <c r="A34" s="157" t="s">
        <v>90</v>
      </c>
      <c r="B34" s="161">
        <v>2.5</v>
      </c>
    </row>
    <row r="35" spans="1:3" x14ac:dyDescent="0.2">
      <c r="A35" s="158" t="s">
        <v>101</v>
      </c>
      <c r="B35" s="161">
        <v>3</v>
      </c>
    </row>
    <row r="36" spans="1:3" x14ac:dyDescent="0.2">
      <c r="A36" s="159" t="s">
        <v>77</v>
      </c>
      <c r="B36" s="114">
        <v>49.4</v>
      </c>
    </row>
    <row r="37" spans="1:3" ht="15" x14ac:dyDescent="0.2">
      <c r="A37" s="90"/>
      <c r="B37" s="102"/>
      <c r="C37" s="6"/>
    </row>
    <row r="38" spans="1:3" ht="11.25" customHeight="1" x14ac:dyDescent="0.2">
      <c r="A38" s="103" t="s">
        <v>99</v>
      </c>
      <c r="B38" s="115" t="s">
        <v>47</v>
      </c>
    </row>
    <row r="39" spans="1:3" x14ac:dyDescent="0.2">
      <c r="A39" s="108" t="s">
        <v>84</v>
      </c>
      <c r="B39" s="160">
        <v>14.7</v>
      </c>
    </row>
    <row r="40" spans="1:3" x14ac:dyDescent="0.2">
      <c r="A40" s="108" t="s">
        <v>80</v>
      </c>
      <c r="B40" s="161">
        <v>10</v>
      </c>
    </row>
    <row r="41" spans="1:3" x14ac:dyDescent="0.2">
      <c r="A41" s="108" t="s">
        <v>74</v>
      </c>
      <c r="B41" s="161">
        <v>6.1</v>
      </c>
    </row>
    <row r="42" spans="1:3" x14ac:dyDescent="0.2">
      <c r="A42" s="108" t="s">
        <v>82</v>
      </c>
      <c r="B42" s="161">
        <v>5.6</v>
      </c>
    </row>
    <row r="43" spans="1:3" x14ac:dyDescent="0.2">
      <c r="A43" s="90" t="s">
        <v>85</v>
      </c>
      <c r="B43" s="161">
        <v>3.8</v>
      </c>
    </row>
    <row r="44" spans="1:3" x14ac:dyDescent="0.2">
      <c r="A44" s="108" t="s">
        <v>81</v>
      </c>
      <c r="B44" s="161">
        <v>3.6</v>
      </c>
    </row>
    <row r="45" spans="1:3" x14ac:dyDescent="0.2">
      <c r="A45" s="108" t="s">
        <v>73</v>
      </c>
      <c r="B45" s="161">
        <v>3.4</v>
      </c>
    </row>
    <row r="46" spans="1:3" x14ac:dyDescent="0.2">
      <c r="A46" s="108" t="s">
        <v>86</v>
      </c>
      <c r="B46" s="161">
        <v>2.7</v>
      </c>
    </row>
    <row r="47" spans="1:3" x14ac:dyDescent="0.2">
      <c r="A47" s="108" t="s">
        <v>70</v>
      </c>
      <c r="B47" s="161">
        <v>2.5</v>
      </c>
    </row>
    <row r="48" spans="1:3" x14ac:dyDescent="0.2">
      <c r="A48" s="108" t="s">
        <v>90</v>
      </c>
      <c r="B48" s="161">
        <v>2.2000000000000002</v>
      </c>
    </row>
    <row r="49" spans="1:2" x14ac:dyDescent="0.2">
      <c r="A49" s="155" t="s">
        <v>101</v>
      </c>
      <c r="B49" s="161">
        <v>2.2000000000000002</v>
      </c>
    </row>
    <row r="50" spans="1:2" x14ac:dyDescent="0.2">
      <c r="A50" s="101" t="s">
        <v>77</v>
      </c>
      <c r="B50" s="114">
        <v>43.2</v>
      </c>
    </row>
  </sheetData>
  <mergeCells count="1">
    <mergeCell ref="A2:G2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28"/>
  <sheetViews>
    <sheetView workbookViewId="0">
      <selection activeCell="A2" sqref="A2:M2"/>
    </sheetView>
  </sheetViews>
  <sheetFormatPr defaultRowHeight="12" x14ac:dyDescent="0.2"/>
  <cols>
    <col min="1" max="9" width="9.140625" style="3"/>
    <col min="10" max="10" width="11.42578125" style="3" customWidth="1"/>
    <col min="11" max="11" width="11.5703125" style="3" customWidth="1"/>
    <col min="12" max="12" width="11.28515625" style="3" customWidth="1"/>
    <col min="13" max="13" width="11.7109375" style="3" customWidth="1"/>
    <col min="14" max="16384" width="9.140625" style="3"/>
  </cols>
  <sheetData>
    <row r="2" spans="1:13" s="168" customFormat="1" x14ac:dyDescent="0.2">
      <c r="A2" s="178" t="s">
        <v>103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3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3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3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3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3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3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3" x14ac:dyDescent="0.2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3" x14ac:dyDescent="0.2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3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3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3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3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3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3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3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3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3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2" spans="1:13" x14ac:dyDescent="0.2">
      <c r="A22" s="38" t="s">
        <v>0</v>
      </c>
      <c r="B22" s="54" t="s">
        <v>1</v>
      </c>
      <c r="C22" s="54" t="s">
        <v>2</v>
      </c>
      <c r="D22" s="54" t="s">
        <v>3</v>
      </c>
      <c r="E22" s="54" t="s">
        <v>4</v>
      </c>
      <c r="F22" s="54" t="s">
        <v>5</v>
      </c>
      <c r="G22" s="54" t="s">
        <v>6</v>
      </c>
      <c r="H22" s="54" t="s">
        <v>7</v>
      </c>
      <c r="I22" s="54" t="s">
        <v>8</v>
      </c>
      <c r="J22" s="54" t="s">
        <v>9</v>
      </c>
      <c r="K22" s="54" t="s">
        <v>10</v>
      </c>
      <c r="L22" s="54" t="s">
        <v>11</v>
      </c>
      <c r="M22" s="89" t="s">
        <v>12</v>
      </c>
    </row>
    <row r="23" spans="1:13" x14ac:dyDescent="0.2">
      <c r="A23" s="41">
        <v>2017</v>
      </c>
      <c r="B23" s="49">
        <v>-127.3</v>
      </c>
      <c r="C23" s="49">
        <v>-156.1</v>
      </c>
      <c r="D23" s="49">
        <v>-219.1</v>
      </c>
      <c r="E23" s="49">
        <v>-207.3</v>
      </c>
      <c r="F23" s="49">
        <v>-225.7</v>
      </c>
      <c r="G23" s="49">
        <v>-217.7</v>
      </c>
      <c r="H23" s="49">
        <v>-205.3</v>
      </c>
      <c r="I23" s="49">
        <v>-221.8</v>
      </c>
      <c r="J23" s="49">
        <v>-206.9</v>
      </c>
      <c r="K23" s="49">
        <v>-197.7</v>
      </c>
      <c r="L23" s="49">
        <v>-183.2</v>
      </c>
      <c r="M23" s="50">
        <v>-238.3</v>
      </c>
    </row>
    <row r="24" spans="1:13" x14ac:dyDescent="0.2">
      <c r="A24" s="41">
        <v>2018</v>
      </c>
      <c r="B24" s="49">
        <v>-154</v>
      </c>
      <c r="C24" s="49">
        <v>-212.1</v>
      </c>
      <c r="D24" s="49">
        <v>-282</v>
      </c>
      <c r="E24" s="49">
        <v>-244.9</v>
      </c>
      <c r="F24" s="49">
        <v>-282.60000000000002</v>
      </c>
      <c r="G24" s="49">
        <v>-244.6</v>
      </c>
      <c r="H24" s="49">
        <v>-269.2</v>
      </c>
      <c r="I24" s="49">
        <v>-262.10000000000002</v>
      </c>
      <c r="J24" s="49">
        <v>-266.7</v>
      </c>
      <c r="K24" s="49">
        <v>-281.60000000000002</v>
      </c>
      <c r="L24" s="49">
        <v>-253.70000000000005</v>
      </c>
      <c r="M24" s="50">
        <v>-300.49999999999994</v>
      </c>
    </row>
    <row r="25" spans="1:13" x14ac:dyDescent="0.2">
      <c r="A25" s="41">
        <v>2019</v>
      </c>
      <c r="B25" s="49">
        <v>-138.30000000000001</v>
      </c>
      <c r="C25" s="49">
        <v>-217.9</v>
      </c>
      <c r="D25" s="49">
        <v>-276.60000000000002</v>
      </c>
      <c r="E25" s="49">
        <v>-300</v>
      </c>
      <c r="F25" s="49">
        <v>-271.10000000000002</v>
      </c>
      <c r="G25" s="49">
        <v>-243.2</v>
      </c>
      <c r="H25" s="49">
        <v>-278.89999999999998</v>
      </c>
      <c r="I25" s="49">
        <v>-258.5</v>
      </c>
      <c r="J25" s="49">
        <v>-262.89999999999998</v>
      </c>
      <c r="K25" s="49">
        <v>-257</v>
      </c>
      <c r="L25" s="49">
        <v>-237.5</v>
      </c>
      <c r="M25" s="50">
        <v>-321.39999999999998</v>
      </c>
    </row>
    <row r="26" spans="1:13" x14ac:dyDescent="0.2">
      <c r="A26" s="41">
        <v>2020</v>
      </c>
      <c r="B26" s="49">
        <v>-160.30000000000001</v>
      </c>
      <c r="C26" s="49">
        <v>-239.5</v>
      </c>
      <c r="D26" s="49">
        <v>-290.3</v>
      </c>
      <c r="E26" s="49">
        <v>-135.80000000000001</v>
      </c>
      <c r="F26" s="49">
        <v>-173.7</v>
      </c>
      <c r="G26" s="49">
        <v>-223.9</v>
      </c>
      <c r="H26" s="49">
        <v>-305.5</v>
      </c>
      <c r="I26" s="49">
        <v>-269.7</v>
      </c>
      <c r="J26" s="49">
        <v>-296</v>
      </c>
      <c r="K26" s="49">
        <v>-244.2</v>
      </c>
      <c r="L26" s="49">
        <v>-260.89999999999998</v>
      </c>
      <c r="M26" s="50">
        <v>-349</v>
      </c>
    </row>
    <row r="27" spans="1:13" x14ac:dyDescent="0.2">
      <c r="A27" s="41">
        <v>2021</v>
      </c>
      <c r="B27" s="49">
        <v>-201</v>
      </c>
      <c r="C27" s="49">
        <v>-294.39999999999998</v>
      </c>
      <c r="D27" s="49">
        <v>-370.8</v>
      </c>
      <c r="E27" s="49">
        <v>-344</v>
      </c>
      <c r="F27" s="49">
        <v>-361.7</v>
      </c>
      <c r="G27" s="49">
        <v>-362.8</v>
      </c>
      <c r="H27" s="49">
        <v>-321.3</v>
      </c>
      <c r="I27" s="49">
        <v>-338.6</v>
      </c>
      <c r="J27" s="49">
        <v>-376.3</v>
      </c>
      <c r="K27" s="49">
        <v>-294.60000000000002</v>
      </c>
      <c r="L27" s="49">
        <v>-337.6</v>
      </c>
      <c r="M27" s="50">
        <v>-429.2</v>
      </c>
    </row>
    <row r="28" spans="1:13" x14ac:dyDescent="0.2">
      <c r="A28" s="42">
        <v>2022</v>
      </c>
      <c r="B28" s="51">
        <v>-291.3</v>
      </c>
      <c r="C28" s="51">
        <v>-332.6</v>
      </c>
      <c r="D28" s="51">
        <v>-352.5</v>
      </c>
      <c r="E28" s="51">
        <v>-374.2</v>
      </c>
      <c r="F28" s="51">
        <v>-356.7</v>
      </c>
      <c r="G28" s="51">
        <v>-349.4</v>
      </c>
      <c r="H28" s="51"/>
      <c r="I28" s="51"/>
      <c r="J28" s="51"/>
      <c r="K28" s="51"/>
      <c r="L28" s="51"/>
      <c r="M28" s="52"/>
    </row>
  </sheetData>
  <mergeCells count="1">
    <mergeCell ref="A2:M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30"/>
  <sheetViews>
    <sheetView zoomScaleNormal="100" workbookViewId="0">
      <selection activeCell="A2" sqref="A2:F3"/>
    </sheetView>
  </sheetViews>
  <sheetFormatPr defaultRowHeight="12" x14ac:dyDescent="0.2"/>
  <cols>
    <col min="1" max="1" width="28.42578125" style="3" customWidth="1"/>
    <col min="2" max="2" width="17.7109375" style="3" customWidth="1"/>
    <col min="3" max="3" width="18" style="3" customWidth="1"/>
    <col min="4" max="4" width="22.140625" style="3" customWidth="1"/>
    <col min="5" max="16384" width="9.140625" style="3"/>
  </cols>
  <sheetData>
    <row r="2" spans="1:13" s="168" customFormat="1" x14ac:dyDescent="0.2">
      <c r="A2" s="183" t="s">
        <v>113</v>
      </c>
      <c r="B2" s="183"/>
      <c r="C2" s="183"/>
      <c r="D2" s="183"/>
      <c r="E2" s="183"/>
      <c r="F2" s="183"/>
      <c r="G2" s="170"/>
      <c r="H2" s="170"/>
      <c r="I2" s="170"/>
      <c r="J2" s="170"/>
      <c r="K2" s="170"/>
      <c r="L2" s="170"/>
      <c r="M2" s="170"/>
    </row>
    <row r="3" spans="1:13" ht="19.5" customHeight="1" x14ac:dyDescent="0.2">
      <c r="A3" s="190"/>
      <c r="B3" s="190"/>
      <c r="C3" s="190"/>
      <c r="D3" s="190"/>
      <c r="E3" s="190"/>
      <c r="F3" s="190"/>
    </row>
    <row r="4" spans="1:13" x14ac:dyDescent="0.2">
      <c r="A4" s="4"/>
      <c r="B4" s="4"/>
      <c r="C4" s="4"/>
      <c r="D4" s="4"/>
      <c r="E4" s="4"/>
      <c r="F4" s="4"/>
    </row>
    <row r="5" spans="1:13" x14ac:dyDescent="0.2">
      <c r="A5" s="4"/>
      <c r="B5" s="4"/>
      <c r="C5" s="4"/>
      <c r="D5" s="4"/>
      <c r="E5" s="4"/>
      <c r="F5" s="4"/>
    </row>
    <row r="6" spans="1:13" x14ac:dyDescent="0.2">
      <c r="A6" s="4"/>
      <c r="B6" s="4"/>
      <c r="C6" s="4"/>
      <c r="D6" s="4"/>
      <c r="E6" s="4"/>
      <c r="F6" s="4"/>
    </row>
    <row r="7" spans="1:13" x14ac:dyDescent="0.2">
      <c r="A7" s="4"/>
      <c r="B7" s="4"/>
      <c r="C7" s="4"/>
      <c r="D7" s="4"/>
      <c r="E7" s="4"/>
      <c r="F7" s="4"/>
    </row>
    <row r="8" spans="1:13" x14ac:dyDescent="0.2">
      <c r="A8" s="4"/>
      <c r="B8" s="4"/>
      <c r="C8" s="4"/>
      <c r="D8" s="4"/>
      <c r="E8" s="4"/>
      <c r="F8" s="4"/>
    </row>
    <row r="9" spans="1:13" x14ac:dyDescent="0.2">
      <c r="A9" s="4"/>
      <c r="B9" s="4"/>
      <c r="C9" s="4"/>
      <c r="D9" s="4"/>
      <c r="E9" s="4"/>
      <c r="F9" s="4"/>
    </row>
    <row r="10" spans="1:13" x14ac:dyDescent="0.2">
      <c r="A10" s="4"/>
      <c r="B10" s="4"/>
      <c r="C10" s="4"/>
      <c r="D10" s="4"/>
      <c r="E10" s="4"/>
      <c r="F10" s="4"/>
    </row>
    <row r="11" spans="1:13" x14ac:dyDescent="0.2">
      <c r="A11" s="4"/>
      <c r="B11" s="4"/>
      <c r="C11" s="4"/>
      <c r="D11" s="4"/>
      <c r="E11" s="4"/>
      <c r="F11" s="4"/>
    </row>
    <row r="12" spans="1:13" x14ac:dyDescent="0.2">
      <c r="A12" s="4"/>
      <c r="B12" s="4"/>
      <c r="C12" s="4"/>
      <c r="D12" s="4"/>
      <c r="E12" s="4"/>
      <c r="F12" s="4"/>
    </row>
    <row r="13" spans="1:13" x14ac:dyDescent="0.2">
      <c r="A13" s="4"/>
      <c r="B13" s="4"/>
      <c r="C13" s="4"/>
      <c r="D13" s="4"/>
      <c r="E13" s="4"/>
      <c r="F13" s="4"/>
    </row>
    <row r="14" spans="1:13" x14ac:dyDescent="0.2">
      <c r="A14" s="4"/>
      <c r="B14" s="4"/>
      <c r="C14" s="4"/>
      <c r="D14" s="4"/>
      <c r="E14" s="4"/>
      <c r="F14" s="4"/>
    </row>
    <row r="15" spans="1:13" x14ac:dyDescent="0.2">
      <c r="A15" s="4"/>
      <c r="B15" s="4"/>
      <c r="C15" s="4"/>
      <c r="D15" s="4"/>
      <c r="E15" s="4"/>
      <c r="F15" s="4"/>
    </row>
    <row r="16" spans="1:13" x14ac:dyDescent="0.2">
      <c r="A16" s="4"/>
      <c r="B16" s="4"/>
      <c r="C16" s="4"/>
      <c r="D16" s="4"/>
      <c r="E16" s="4"/>
      <c r="F16" s="4"/>
    </row>
    <row r="17" spans="1:6" x14ac:dyDescent="0.2">
      <c r="A17" s="4"/>
      <c r="B17" s="4"/>
      <c r="C17" s="4"/>
      <c r="D17" s="4"/>
      <c r="E17" s="4"/>
      <c r="F17" s="4"/>
    </row>
    <row r="18" spans="1:6" x14ac:dyDescent="0.2">
      <c r="A18" s="4"/>
      <c r="B18" s="4"/>
      <c r="C18" s="4"/>
      <c r="D18" s="4"/>
      <c r="E18" s="4"/>
      <c r="F18" s="4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4" spans="1:6" x14ac:dyDescent="0.2">
      <c r="A24" s="57" t="s">
        <v>56</v>
      </c>
      <c r="B24" s="32" t="s">
        <v>57</v>
      </c>
      <c r="C24" s="32" t="s">
        <v>58</v>
      </c>
      <c r="D24" s="33" t="s">
        <v>59</v>
      </c>
      <c r="E24" s="6"/>
    </row>
    <row r="25" spans="1:6" ht="15.75" customHeight="1" x14ac:dyDescent="0.2">
      <c r="A25" s="17" t="s">
        <v>96</v>
      </c>
      <c r="B25" s="162">
        <v>1028.2</v>
      </c>
      <c r="C25" s="162">
        <v>2181.4</v>
      </c>
      <c r="D25" s="162">
        <v>-1153.2</v>
      </c>
      <c r="E25" s="6"/>
    </row>
    <row r="26" spans="1:6" ht="15" customHeight="1" x14ac:dyDescent="0.2">
      <c r="A26" s="18" t="s">
        <v>95</v>
      </c>
      <c r="B26" s="162">
        <v>1314.8</v>
      </c>
      <c r="C26" s="162">
        <v>2734.9</v>
      </c>
      <c r="D26" s="162">
        <v>-1420.1</v>
      </c>
      <c r="E26" s="6"/>
    </row>
    <row r="27" spans="1:6" ht="14.25" customHeight="1" x14ac:dyDescent="0.2">
      <c r="A27" s="18" t="s">
        <v>94</v>
      </c>
      <c r="B27" s="162">
        <v>1361.2</v>
      </c>
      <c r="C27" s="162">
        <v>2808.3</v>
      </c>
      <c r="D27" s="162">
        <v>-1447.1</v>
      </c>
      <c r="E27" s="6"/>
    </row>
    <row r="28" spans="1:6" ht="14.25" customHeight="1" x14ac:dyDescent="0.2">
      <c r="A28" s="18" t="s">
        <v>93</v>
      </c>
      <c r="B28" s="162">
        <v>1170.2</v>
      </c>
      <c r="C28" s="162">
        <v>2393.6</v>
      </c>
      <c r="D28" s="162">
        <v>-1223.4000000000001</v>
      </c>
      <c r="E28" s="6"/>
    </row>
    <row r="29" spans="1:6" ht="13.5" customHeight="1" x14ac:dyDescent="0.2">
      <c r="A29" s="18" t="s">
        <v>92</v>
      </c>
      <c r="B29" s="162">
        <v>1331.5</v>
      </c>
      <c r="C29" s="162">
        <v>3266.1</v>
      </c>
      <c r="D29" s="162">
        <v>-1934.6</v>
      </c>
      <c r="E29" s="6"/>
    </row>
    <row r="30" spans="1:6" ht="13.5" customHeight="1" x14ac:dyDescent="0.2">
      <c r="A30" s="18" t="s">
        <v>91</v>
      </c>
      <c r="B30" s="162">
        <v>2290.4</v>
      </c>
      <c r="C30" s="163">
        <v>4347</v>
      </c>
      <c r="D30" s="64">
        <v>-2056.6136402100001</v>
      </c>
      <c r="E30" s="6"/>
    </row>
  </sheetData>
  <mergeCells count="1">
    <mergeCell ref="A2:F3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Q27"/>
  <sheetViews>
    <sheetView workbookViewId="0">
      <selection activeCell="A2" sqref="A2:P2"/>
    </sheetView>
  </sheetViews>
  <sheetFormatPr defaultRowHeight="12" x14ac:dyDescent="0.2"/>
  <cols>
    <col min="1" max="1" width="17.85546875" style="3" customWidth="1"/>
    <col min="2" max="2" width="7" style="3" customWidth="1"/>
    <col min="3" max="3" width="6.85546875" style="3" bestFit="1" customWidth="1"/>
    <col min="4" max="4" width="7.7109375" style="3" bestFit="1" customWidth="1"/>
    <col min="5" max="5" width="7.5703125" style="3" bestFit="1" customWidth="1"/>
    <col min="6" max="6" width="6.7109375" style="3" bestFit="1" customWidth="1"/>
    <col min="7" max="7" width="7.5703125" style="3" bestFit="1" customWidth="1"/>
    <col min="8" max="8" width="7.85546875" style="3" bestFit="1" customWidth="1"/>
    <col min="9" max="9" width="5.85546875" style="3" customWidth="1"/>
    <col min="10" max="10" width="7.5703125" style="3" bestFit="1" customWidth="1"/>
    <col min="11" max="11" width="6.7109375" style="3" bestFit="1" customWidth="1"/>
    <col min="12" max="12" width="7.7109375" style="3" customWidth="1"/>
    <col min="13" max="13" width="9.85546875" style="3" customWidth="1"/>
    <col min="14" max="14" width="6.5703125" style="3" customWidth="1"/>
    <col min="15" max="15" width="7" style="3" customWidth="1"/>
    <col min="16" max="17" width="6.28515625" style="3" customWidth="1"/>
    <col min="18" max="19" width="6.140625" style="3" customWidth="1"/>
    <col min="20" max="20" width="6.42578125" style="3" customWidth="1"/>
    <col min="21" max="21" width="5.42578125" style="3" customWidth="1"/>
    <col min="22" max="22" width="6.28515625" style="3" customWidth="1"/>
    <col min="23" max="23" width="6" style="3" customWidth="1"/>
    <col min="24" max="25" width="6.7109375" style="3" customWidth="1"/>
    <col min="26" max="28" width="6" style="3" customWidth="1"/>
    <col min="29" max="29" width="5.85546875" style="3" customWidth="1"/>
    <col min="30" max="30" width="6.42578125" style="3" customWidth="1"/>
    <col min="31" max="31" width="5.85546875" style="3" customWidth="1"/>
    <col min="32" max="32" width="6.42578125" style="3" customWidth="1"/>
    <col min="33" max="33" width="6" style="3" customWidth="1"/>
    <col min="34" max="34" width="5.85546875" style="3" customWidth="1"/>
    <col min="35" max="35" width="6.28515625" style="3" customWidth="1"/>
    <col min="36" max="36" width="6.140625" style="3" customWidth="1"/>
    <col min="37" max="37" width="7.42578125" style="3" customWidth="1"/>
    <col min="38" max="38" width="6.85546875" style="3" customWidth="1"/>
    <col min="39" max="39" width="7.140625" style="3" customWidth="1"/>
    <col min="40" max="40" width="7.28515625" style="3" customWidth="1"/>
    <col min="41" max="41" width="7.85546875" style="3" customWidth="1"/>
    <col min="42" max="42" width="7" style="3" customWidth="1"/>
    <col min="43" max="43" width="6.85546875" style="3" customWidth="1"/>
    <col min="44" max="16384" width="9.140625" style="3"/>
  </cols>
  <sheetData>
    <row r="2" spans="1:16" s="168" customFormat="1" ht="15.75" customHeight="1" x14ac:dyDescent="0.2">
      <c r="A2" s="178" t="s">
        <v>114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  <c r="O2" s="179"/>
      <c r="P2" s="179"/>
    </row>
    <row r="3" spans="1:16" ht="14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6" ht="14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6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6" ht="16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6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6" ht="14.2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6" ht="13.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6" ht="17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6" ht="17.2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6" ht="16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6" ht="1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6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6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6" ht="22.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43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43" x14ac:dyDescent="0.2">
      <c r="A18" s="5"/>
    </row>
    <row r="19" spans="1:43" ht="19.5" customHeight="1" x14ac:dyDescent="0.2">
      <c r="A19" s="5"/>
      <c r="AG19" s="6"/>
    </row>
    <row r="20" spans="1:43" ht="15" customHeight="1" x14ac:dyDescent="0.2">
      <c r="A20" s="180"/>
      <c r="B20" s="175">
        <v>2019</v>
      </c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7"/>
      <c r="N20" s="182">
        <v>2020</v>
      </c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75">
        <v>2021</v>
      </c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7"/>
      <c r="AL20" s="175">
        <v>2022</v>
      </c>
      <c r="AM20" s="176"/>
      <c r="AN20" s="176"/>
      <c r="AO20" s="176"/>
      <c r="AP20" s="176"/>
      <c r="AQ20" s="177"/>
    </row>
    <row r="21" spans="1:43" x14ac:dyDescent="0.2">
      <c r="A21" s="181"/>
      <c r="B21" s="30" t="s">
        <v>13</v>
      </c>
      <c r="C21" s="30" t="s">
        <v>14</v>
      </c>
      <c r="D21" s="30" t="s">
        <v>15</v>
      </c>
      <c r="E21" s="30" t="s">
        <v>16</v>
      </c>
      <c r="F21" s="30" t="s">
        <v>17</v>
      </c>
      <c r="G21" s="30" t="s">
        <v>18</v>
      </c>
      <c r="H21" s="30" t="s">
        <v>19</v>
      </c>
      <c r="I21" s="30" t="s">
        <v>20</v>
      </c>
      <c r="J21" s="30" t="s">
        <v>21</v>
      </c>
      <c r="K21" s="30" t="s">
        <v>22</v>
      </c>
      <c r="L21" s="30" t="s">
        <v>23</v>
      </c>
      <c r="M21" s="30" t="s">
        <v>24</v>
      </c>
      <c r="N21" s="30" t="s">
        <v>13</v>
      </c>
      <c r="O21" s="30" t="s">
        <v>14</v>
      </c>
      <c r="P21" s="30" t="s">
        <v>15</v>
      </c>
      <c r="Q21" s="30" t="s">
        <v>16</v>
      </c>
      <c r="R21" s="30" t="s">
        <v>17</v>
      </c>
      <c r="S21" s="30" t="s">
        <v>25</v>
      </c>
      <c r="T21" s="30" t="s">
        <v>19</v>
      </c>
      <c r="U21" s="30" t="s">
        <v>26</v>
      </c>
      <c r="V21" s="30" t="s">
        <v>21</v>
      </c>
      <c r="W21" s="30" t="s">
        <v>27</v>
      </c>
      <c r="X21" s="30" t="s">
        <v>23</v>
      </c>
      <c r="Y21" s="30" t="s">
        <v>24</v>
      </c>
      <c r="Z21" s="30" t="s">
        <v>13</v>
      </c>
      <c r="AA21" s="106" t="s">
        <v>14</v>
      </c>
      <c r="AB21" s="30" t="s">
        <v>15</v>
      </c>
      <c r="AC21" s="30" t="s">
        <v>16</v>
      </c>
      <c r="AD21" s="30" t="s">
        <v>17</v>
      </c>
      <c r="AE21" s="30" t="s">
        <v>25</v>
      </c>
      <c r="AF21" s="30" t="s">
        <v>19</v>
      </c>
      <c r="AG21" s="30" t="s">
        <v>26</v>
      </c>
      <c r="AH21" s="87" t="s">
        <v>21</v>
      </c>
      <c r="AI21" s="39" t="s">
        <v>27</v>
      </c>
      <c r="AJ21" s="39" t="s">
        <v>23</v>
      </c>
      <c r="AK21" s="39" t="s">
        <v>24</v>
      </c>
      <c r="AL21" s="93" t="s">
        <v>13</v>
      </c>
      <c r="AM21" s="93" t="s">
        <v>14</v>
      </c>
      <c r="AN21" s="94" t="s">
        <v>15</v>
      </c>
      <c r="AO21" s="63" t="s">
        <v>16</v>
      </c>
      <c r="AP21" s="62" t="s">
        <v>17</v>
      </c>
      <c r="AQ21" s="116" t="s">
        <v>25</v>
      </c>
    </row>
    <row r="22" spans="1:43" ht="28.5" customHeight="1" x14ac:dyDescent="0.2">
      <c r="A22" s="29" t="s">
        <v>60</v>
      </c>
      <c r="B22" s="19">
        <v>107.04955714362214</v>
      </c>
      <c r="C22" s="19">
        <v>103.05469693630643</v>
      </c>
      <c r="D22" s="19">
        <v>106.5540849399146</v>
      </c>
      <c r="E22" s="19">
        <v>83.804058120513616</v>
      </c>
      <c r="F22" s="19">
        <v>97.663587687631406</v>
      </c>
      <c r="G22" s="19">
        <v>96.047232355670943</v>
      </c>
      <c r="H22" s="19">
        <v>108.87893967295254</v>
      </c>
      <c r="I22" s="19">
        <v>93.476142278451405</v>
      </c>
      <c r="J22" s="19">
        <v>116.03027535062083</v>
      </c>
      <c r="K22" s="19">
        <v>112.37403253245004</v>
      </c>
      <c r="L22" s="19">
        <v>99.332915825323369</v>
      </c>
      <c r="M22" s="15">
        <v>81.894486392152885</v>
      </c>
      <c r="N22" s="21">
        <v>100.54069338788538</v>
      </c>
      <c r="O22" s="21">
        <v>111.77933359663091</v>
      </c>
      <c r="P22" s="21">
        <v>85.694935103741471</v>
      </c>
      <c r="Q22" s="21">
        <v>71.283537880135214</v>
      </c>
      <c r="R22" s="21">
        <v>103.90424682350312</v>
      </c>
      <c r="S22" s="21">
        <v>121.75061963317823</v>
      </c>
      <c r="T22" s="21">
        <v>100.8184202333199</v>
      </c>
      <c r="U22" s="21">
        <v>78.376764810035453</v>
      </c>
      <c r="V22" s="21">
        <v>129.49769232961904</v>
      </c>
      <c r="W22" s="21">
        <v>117.47585360993436</v>
      </c>
      <c r="X22" s="21">
        <v>105.08585699580438</v>
      </c>
      <c r="Y22" s="15">
        <v>83.287463510424814</v>
      </c>
      <c r="Z22" s="21">
        <v>90.925213233797848</v>
      </c>
      <c r="AA22" s="105">
        <v>114.41147354263464</v>
      </c>
      <c r="AB22" s="105">
        <v>114.20579997969134</v>
      </c>
      <c r="AC22" s="105">
        <v>84.167356355788357</v>
      </c>
      <c r="AD22" s="105">
        <v>92.421884276527052</v>
      </c>
      <c r="AE22" s="105">
        <v>112.45124175218632</v>
      </c>
      <c r="AF22" s="105">
        <v>106.13290668113962</v>
      </c>
      <c r="AG22" s="105">
        <v>98.163759117159898</v>
      </c>
      <c r="AH22" s="22">
        <v>124.79747973247373</v>
      </c>
      <c r="AI22" s="22">
        <v>119.44752327758337</v>
      </c>
      <c r="AJ22" s="105">
        <v>103.29810746017232</v>
      </c>
      <c r="AK22" s="107">
        <v>89.310814590947814</v>
      </c>
      <c r="AL22" s="105">
        <v>101.65548055101389</v>
      </c>
      <c r="AM22" s="105">
        <v>101.84864374682041</v>
      </c>
      <c r="AN22" s="105">
        <v>117.60123789264428</v>
      </c>
      <c r="AO22" s="21">
        <v>100.1282722557787</v>
      </c>
      <c r="AP22" s="20">
        <v>104.98638136927103</v>
      </c>
      <c r="AQ22" s="117">
        <v>99.838214144690781</v>
      </c>
    </row>
    <row r="23" spans="1:43" ht="40.5" customHeight="1" x14ac:dyDescent="0.2">
      <c r="A23" s="28" t="s">
        <v>61</v>
      </c>
      <c r="B23" s="26">
        <f>IF(220321.7383="","-",234254.08835/220321.7383*100)</f>
        <v>106.32363840150403</v>
      </c>
      <c r="C23" s="14">
        <f>IF(215472.31369="","-",241409.84081/215472.31369*100)</f>
        <v>112.03752197942065</v>
      </c>
      <c r="D23" s="14">
        <f>IF(242121.38159="","-",257232.04683/242121.38159*100)</f>
        <v>106.24094623150131</v>
      </c>
      <c r="E23" s="14">
        <f>IF(199735.58403="","-",215570.89403/199735.58403*100)</f>
        <v>107.92813662968615</v>
      </c>
      <c r="F23" s="14">
        <f>IF(223023.34378="","-",210534.26912/223023.34378*100)</f>
        <v>94.400104290284631</v>
      </c>
      <c r="G23" s="14">
        <f>IF(214123.17565="","-",202212.33865/214123.17565*100)</f>
        <v>94.437390084542201</v>
      </c>
      <c r="H23" s="14">
        <f>IF(218832.76993="","-",220166.65021/218832.76993*100)</f>
        <v>100.6095432052643</v>
      </c>
      <c r="I23" s="14">
        <f>IF(218601.82808="","-",205803.2912/218601.82808*100)</f>
        <v>94.145274542115814</v>
      </c>
      <c r="J23" s="14">
        <f>IF(207304.07378="","-",238794.12546/207304.07378*100)</f>
        <v>115.19027152038439</v>
      </c>
      <c r="K23" s="14">
        <f>IF(258965.48256="","-",268342.58823/258965.48256*100)</f>
        <v>103.62098669571817</v>
      </c>
      <c r="L23" s="14">
        <f>IF(268843.90574="","-",266552.51729/268843.90574*100)</f>
        <v>99.147688156183818</v>
      </c>
      <c r="M23" s="16">
        <f>IF(218827.70429="","-",218291.815/218827.70429*100)</f>
        <v>99.755109028932736</v>
      </c>
      <c r="N23" s="14">
        <f>IF(234254.08835="","-",219472.10441/234254.08835*100)</f>
        <v>93.68976480021378</v>
      </c>
      <c r="O23" s="14">
        <f>IF(241409.84081="","-",245324.45574/241409.84081*100)</f>
        <v>101.62156394157972</v>
      </c>
      <c r="P23" s="14">
        <f>IF(257232.04683="","-",210230.63314/257232.04683*100)</f>
        <v>81.728010071364707</v>
      </c>
      <c r="Q23" s="14">
        <f>IF(215570.89403="","-",149859.83301/215570.89403*100)</f>
        <v>69.517656214361068</v>
      </c>
      <c r="R23" s="14">
        <f>IF(210534.26912="","-",155710.73078/210534.26912*100)</f>
        <v>73.959803043393492</v>
      </c>
      <c r="S23" s="14">
        <f>IF(202212.33865="","-",189578.77956/202212.33865*100)</f>
        <v>93.752330261178145</v>
      </c>
      <c r="T23" s="14">
        <f>IF(220166.65021="","-",191130.33065/220166.65021*100)</f>
        <v>86.811663105059509</v>
      </c>
      <c r="U23" s="14">
        <f>IF(205803.2912="","-",163909.5874/205803.2912*100)</f>
        <v>79.643812518387932</v>
      </c>
      <c r="V23" s="14">
        <f>IF(238794.12546="","-",212259.13319/238794.12546*100)</f>
        <v>88.887920831852767</v>
      </c>
      <c r="W23" s="14">
        <f>IF(268342.58823="","-",249353.22858/268342.58823*100)</f>
        <v>92.923464078044901</v>
      </c>
      <c r="X23" s="14">
        <f>IF(266552.51729="","-",262034.9772/266552.51729*100)</f>
        <v>98.30519698859753</v>
      </c>
      <c r="Y23" s="16">
        <f>IF(218291.815="","-",218242.28602/218291.815*100)</f>
        <v>99.977310656379856</v>
      </c>
      <c r="Z23" s="26">
        <f>IF(219472.10441="","-",198437.26393/219472.10441*100)</f>
        <v>90.415711128050958</v>
      </c>
      <c r="AA23" s="14">
        <f>IF(245324.45574="","-",227034.99772/245324.45574*100)</f>
        <v>92.544788099159774</v>
      </c>
      <c r="AB23" s="14">
        <f>IF(210230.63314="","-",259287.13538/210230.63314*100)</f>
        <v>123.33461185332185</v>
      </c>
      <c r="AC23" s="14">
        <f>IF(149859.83301="","-",218235.12722/149859.83301*100)</f>
        <v>145.62616468779689</v>
      </c>
      <c r="AD23" s="14">
        <f>IF(155710.73078="","-",201697.01673/155710.73078*100)</f>
        <v>129.53315145310887</v>
      </c>
      <c r="AE23" s="14">
        <f>IF(189578.77956="","-",226810.79989/189578.77956*100)</f>
        <v>119.63933960141166</v>
      </c>
      <c r="AF23" s="14">
        <f>IF(191130.33065="","-",240720.89459/191130.33065*100)</f>
        <v>125.94594158412818</v>
      </c>
      <c r="AG23" s="14">
        <f>IF(163909.5874="","-",236300.67911/163909.5874*100)</f>
        <v>144.1652577242715</v>
      </c>
      <c r="AH23" s="14">
        <f>IF(212259.13319="","-",294897.29212/212259.13319*100)</f>
        <v>138.93267521074247</v>
      </c>
      <c r="AI23" s="14">
        <f>IF(249353.22858="","-",352247.51165/249353.22858*100)</f>
        <v>141.26446794210585</v>
      </c>
      <c r="AJ23" s="14">
        <f>IF(262034.9772="","-",363865.01311/262034.9772*100)</f>
        <v>138.86123791492062</v>
      </c>
      <c r="AK23" s="16">
        <f>IF(218242.28602="","-",324970.80722/218242.28602*100)</f>
        <v>148.90368550768355</v>
      </c>
      <c r="AL23" s="14">
        <f>IF(198437.26393="","-",330345.74715/198437.26393*100)</f>
        <v>166.47364542706634</v>
      </c>
      <c r="AM23" s="164">
        <f>IF(227034.99772="","-",336464.33268/227034.99772*100)</f>
        <v>148.19932435921535</v>
      </c>
      <c r="AN23" s="14">
        <f>IF(259287.13538="","-",395828.66648/259287.13538*100)</f>
        <v>152.66035698218914</v>
      </c>
      <c r="AO23" s="14">
        <f>IF(218235.12722="","-",396336.40522/218235.12722*100)</f>
        <v>181.60981243888315</v>
      </c>
      <c r="AP23" s="14">
        <f>IF(201697.01673="","-",416099.25011/201697.01673*100)</f>
        <v>206.29915943030915</v>
      </c>
      <c r="AQ23" s="118">
        <f>IF(226810.79989="","-",415361.41243/226810.79989*100)</f>
        <v>183.13123212450395</v>
      </c>
    </row>
    <row r="26" spans="1:43" ht="15.75" x14ac:dyDescent="0.2">
      <c r="AD26" s="69"/>
      <c r="AE26" s="70"/>
      <c r="AF26" s="70"/>
      <c r="AG26" s="71"/>
      <c r="AH26" s="72"/>
      <c r="AI26" s="73"/>
      <c r="AJ26" s="74"/>
    </row>
    <row r="27" spans="1:43" ht="15.75" x14ac:dyDescent="0.2">
      <c r="AB27" s="3" t="s">
        <v>0</v>
      </c>
      <c r="AD27" s="75"/>
      <c r="AE27" s="75"/>
      <c r="AF27" s="76"/>
      <c r="AG27" s="77"/>
      <c r="AH27" s="78"/>
      <c r="AI27" s="79"/>
      <c r="AJ27" s="79"/>
    </row>
  </sheetData>
  <mergeCells count="6">
    <mergeCell ref="AL20:AQ20"/>
    <mergeCell ref="A2:P2"/>
    <mergeCell ref="A20:A21"/>
    <mergeCell ref="B20:M20"/>
    <mergeCell ref="N20:Y20"/>
    <mergeCell ref="Z20:AK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8"/>
  <sheetViews>
    <sheetView workbookViewId="0">
      <selection activeCell="A2" sqref="A2:M2"/>
    </sheetView>
  </sheetViews>
  <sheetFormatPr defaultRowHeight="12" x14ac:dyDescent="0.2"/>
  <cols>
    <col min="1" max="1" width="24.42578125" style="3" customWidth="1"/>
    <col min="2" max="2" width="14.5703125" style="3" customWidth="1"/>
    <col min="3" max="3" width="14.85546875" style="3" customWidth="1"/>
    <col min="4" max="4" width="15" style="3" customWidth="1"/>
    <col min="5" max="6" width="14.7109375" style="3" customWidth="1"/>
    <col min="7" max="7" width="14.42578125" style="3" customWidth="1"/>
    <col min="8" max="8" width="14.85546875" style="3" customWidth="1"/>
    <col min="9" max="16384" width="9.140625" style="3"/>
  </cols>
  <sheetData>
    <row r="2" spans="1:13" s="168" customFormat="1" x14ac:dyDescent="0.2">
      <c r="A2" s="183" t="s">
        <v>112</v>
      </c>
      <c r="B2" s="183"/>
      <c r="C2" s="183"/>
      <c r="D2" s="183"/>
      <c r="E2" s="183"/>
      <c r="F2" s="183"/>
      <c r="G2" s="183"/>
      <c r="H2" s="170"/>
      <c r="I2" s="170"/>
      <c r="J2" s="170"/>
      <c r="K2" s="170"/>
      <c r="L2" s="170"/>
      <c r="M2" s="170"/>
    </row>
    <row r="3" spans="1:13" x14ac:dyDescent="0.2">
      <c r="A3" s="4"/>
      <c r="B3" s="4"/>
      <c r="C3" s="4"/>
      <c r="D3" s="4"/>
      <c r="E3" s="4"/>
      <c r="F3" s="4"/>
      <c r="G3" s="4"/>
    </row>
    <row r="4" spans="1:13" x14ac:dyDescent="0.2">
      <c r="A4" s="4"/>
      <c r="B4" s="4"/>
      <c r="C4" s="4"/>
      <c r="D4" s="4"/>
      <c r="E4" s="4"/>
      <c r="F4" s="4"/>
      <c r="G4" s="4"/>
    </row>
    <row r="5" spans="1:13" x14ac:dyDescent="0.2">
      <c r="A5" s="4"/>
      <c r="B5" s="4"/>
      <c r="C5" s="4"/>
      <c r="D5" s="4"/>
      <c r="E5" s="4"/>
      <c r="F5" s="4"/>
      <c r="G5" s="4"/>
    </row>
    <row r="6" spans="1:13" x14ac:dyDescent="0.2">
      <c r="A6" s="4"/>
      <c r="B6" s="4"/>
      <c r="C6" s="4"/>
      <c r="D6" s="4"/>
      <c r="E6" s="4"/>
      <c r="F6" s="4"/>
      <c r="G6" s="4"/>
    </row>
    <row r="7" spans="1:13" x14ac:dyDescent="0.2">
      <c r="A7" s="4"/>
      <c r="B7" s="4"/>
      <c r="C7" s="4"/>
      <c r="D7" s="4"/>
      <c r="E7" s="4"/>
      <c r="F7" s="4"/>
      <c r="G7" s="4"/>
    </row>
    <row r="8" spans="1:13" x14ac:dyDescent="0.2">
      <c r="A8" s="4"/>
      <c r="B8" s="4"/>
      <c r="C8" s="4"/>
      <c r="D8" s="4"/>
      <c r="E8" s="4"/>
      <c r="F8" s="4"/>
      <c r="G8" s="4"/>
    </row>
    <row r="9" spans="1:13" x14ac:dyDescent="0.2">
      <c r="A9" s="4"/>
      <c r="B9" s="4"/>
      <c r="C9" s="4"/>
      <c r="D9" s="4"/>
      <c r="E9" s="4"/>
      <c r="F9" s="4"/>
      <c r="G9" s="4"/>
    </row>
    <row r="10" spans="1:13" x14ac:dyDescent="0.2">
      <c r="A10" s="4"/>
      <c r="B10" s="4"/>
      <c r="C10" s="4"/>
      <c r="D10" s="4"/>
      <c r="E10" s="4"/>
      <c r="F10" s="4"/>
      <c r="G10" s="4"/>
    </row>
    <row r="11" spans="1:13" x14ac:dyDescent="0.2">
      <c r="A11" s="4"/>
      <c r="B11" s="4"/>
      <c r="C11" s="4"/>
      <c r="D11" s="4"/>
      <c r="E11" s="4"/>
      <c r="F11" s="4"/>
      <c r="G11" s="4"/>
    </row>
    <row r="12" spans="1:13" x14ac:dyDescent="0.2">
      <c r="A12" s="4"/>
      <c r="B12" s="4"/>
      <c r="C12" s="4"/>
      <c r="D12" s="4"/>
      <c r="E12" s="4"/>
      <c r="F12" s="4"/>
      <c r="G12" s="4"/>
    </row>
    <row r="13" spans="1:13" x14ac:dyDescent="0.2">
      <c r="A13" s="4"/>
      <c r="B13" s="4"/>
      <c r="C13" s="4"/>
      <c r="D13" s="4"/>
      <c r="E13" s="4"/>
      <c r="F13" s="4"/>
      <c r="G13" s="4"/>
    </row>
    <row r="14" spans="1:13" x14ac:dyDescent="0.2">
      <c r="A14" s="4"/>
      <c r="B14" s="4"/>
      <c r="C14" s="4"/>
      <c r="D14" s="4"/>
      <c r="E14" s="4"/>
      <c r="F14" s="4"/>
      <c r="G14" s="4"/>
    </row>
    <row r="15" spans="1:13" x14ac:dyDescent="0.2">
      <c r="A15" s="4"/>
      <c r="B15" s="4"/>
      <c r="C15" s="4"/>
      <c r="D15" s="4"/>
      <c r="E15" s="4"/>
      <c r="F15" s="4"/>
      <c r="G15" s="4"/>
    </row>
    <row r="16" spans="1:13" x14ac:dyDescent="0.2">
      <c r="A16" s="4"/>
      <c r="B16" s="4"/>
      <c r="C16" s="4"/>
      <c r="D16" s="4"/>
      <c r="E16" s="4"/>
      <c r="F16" s="4"/>
      <c r="G16" s="4"/>
    </row>
    <row r="17" spans="1:8" x14ac:dyDescent="0.2">
      <c r="A17" s="4"/>
      <c r="B17" s="4"/>
      <c r="C17" s="4"/>
      <c r="D17" s="4"/>
      <c r="E17" s="4"/>
      <c r="F17" s="4"/>
      <c r="G17" s="4"/>
    </row>
    <row r="18" spans="1:8" x14ac:dyDescent="0.2">
      <c r="A18" s="4"/>
      <c r="B18" s="4"/>
      <c r="C18" s="4"/>
      <c r="D18" s="4"/>
      <c r="E18" s="4"/>
      <c r="F18" s="4"/>
      <c r="G18" s="4"/>
    </row>
    <row r="19" spans="1:8" x14ac:dyDescent="0.2">
      <c r="A19" s="4"/>
      <c r="B19" s="4"/>
      <c r="C19" s="4"/>
      <c r="D19" s="4"/>
      <c r="E19" s="4"/>
      <c r="F19" s="4"/>
      <c r="G19" s="4"/>
      <c r="H19" s="6"/>
    </row>
    <row r="20" spans="1:8" x14ac:dyDescent="0.2">
      <c r="A20" s="4"/>
      <c r="B20" s="4"/>
      <c r="C20" s="4"/>
      <c r="D20" s="4"/>
      <c r="E20" s="4"/>
      <c r="F20" s="4"/>
      <c r="G20" s="4"/>
      <c r="H20" s="6"/>
    </row>
    <row r="21" spans="1:8" x14ac:dyDescent="0.2">
      <c r="H21" s="6"/>
    </row>
    <row r="22" spans="1:8" ht="24" x14ac:dyDescent="0.2">
      <c r="A22" s="55" t="s">
        <v>28</v>
      </c>
      <c r="B22" s="36" t="s">
        <v>91</v>
      </c>
      <c r="C22" s="13" t="s">
        <v>92</v>
      </c>
      <c r="D22" s="13" t="s">
        <v>93</v>
      </c>
      <c r="E22" s="13" t="s">
        <v>94</v>
      </c>
      <c r="F22" s="13" t="s">
        <v>95</v>
      </c>
      <c r="G22" s="13" t="s">
        <v>96</v>
      </c>
      <c r="H22" s="6"/>
    </row>
    <row r="23" spans="1:8" x14ac:dyDescent="0.2">
      <c r="A23" s="43" t="s">
        <v>29</v>
      </c>
      <c r="B23" s="61">
        <v>16.600000000000001</v>
      </c>
      <c r="C23" s="61">
        <v>6.1</v>
      </c>
      <c r="D23" s="61">
        <v>9.5</v>
      </c>
      <c r="E23" s="61">
        <v>7.5</v>
      </c>
      <c r="F23" s="61">
        <v>7.8</v>
      </c>
      <c r="G23" s="61">
        <v>6.8</v>
      </c>
    </row>
    <row r="24" spans="1:8" x14ac:dyDescent="0.2">
      <c r="A24" s="43" t="s">
        <v>30</v>
      </c>
      <c r="B24" s="61">
        <v>9.6</v>
      </c>
      <c r="C24" s="61">
        <v>0.7</v>
      </c>
      <c r="D24" s="61">
        <v>4.3</v>
      </c>
      <c r="E24" s="61">
        <v>4.3</v>
      </c>
      <c r="F24" s="61">
        <v>2.9</v>
      </c>
      <c r="G24" s="61">
        <v>1.6</v>
      </c>
    </row>
    <row r="25" spans="1:8" x14ac:dyDescent="0.2">
      <c r="A25" s="43" t="s">
        <v>31</v>
      </c>
      <c r="B25" s="61">
        <v>73.099999999999994</v>
      </c>
      <c r="C25" s="61">
        <v>92</v>
      </c>
      <c r="D25" s="61">
        <v>85</v>
      </c>
      <c r="E25" s="61">
        <v>86.6</v>
      </c>
      <c r="F25" s="61">
        <v>87</v>
      </c>
      <c r="G25" s="61">
        <v>88.7</v>
      </c>
    </row>
    <row r="26" spans="1:8" x14ac:dyDescent="0.2">
      <c r="A26" s="43" t="s">
        <v>32</v>
      </c>
      <c r="B26" s="61">
        <v>0.7</v>
      </c>
      <c r="C26" s="61">
        <v>1.1000000000000001</v>
      </c>
      <c r="D26" s="61">
        <v>1.1000000000000001</v>
      </c>
      <c r="E26" s="61">
        <v>1.6</v>
      </c>
      <c r="F26" s="61">
        <v>2.2000000000000002</v>
      </c>
      <c r="G26" s="61">
        <v>2.8</v>
      </c>
    </row>
    <row r="27" spans="1:8" x14ac:dyDescent="0.2">
      <c r="A27" s="44" t="s">
        <v>48</v>
      </c>
      <c r="B27" s="61">
        <v>0</v>
      </c>
      <c r="C27" s="61">
        <v>0.1</v>
      </c>
      <c r="D27" s="61">
        <v>0.1</v>
      </c>
      <c r="E27" s="61">
        <v>0</v>
      </c>
      <c r="F27" s="61">
        <v>0.1</v>
      </c>
      <c r="G27" s="61">
        <v>0.1</v>
      </c>
      <c r="H27" s="6"/>
    </row>
    <row r="28" spans="1:8" x14ac:dyDescent="0.2">
      <c r="B28" s="95"/>
      <c r="C28" s="95"/>
      <c r="D28" s="95"/>
      <c r="E28" s="95"/>
      <c r="F28" s="95"/>
      <c r="G28" s="95"/>
      <c r="H28" s="6"/>
    </row>
  </sheetData>
  <mergeCells count="1">
    <mergeCell ref="A2:G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1"/>
  <sheetViews>
    <sheetView workbookViewId="0">
      <selection activeCell="A2" sqref="A2:M2"/>
    </sheetView>
  </sheetViews>
  <sheetFormatPr defaultRowHeight="12" x14ac:dyDescent="0.2"/>
  <cols>
    <col min="1" max="1" width="26.140625" style="3" customWidth="1"/>
    <col min="2" max="3" width="16" style="3" customWidth="1"/>
    <col min="4" max="4" width="15.7109375" style="3" customWidth="1"/>
    <col min="5" max="5" width="15.5703125" style="3" customWidth="1"/>
    <col min="6" max="6" width="15.28515625" style="3" customWidth="1"/>
    <col min="7" max="7" width="16" style="3" customWidth="1"/>
    <col min="8" max="16384" width="9.140625" style="3"/>
  </cols>
  <sheetData>
    <row r="2" spans="1:13" s="168" customFormat="1" x14ac:dyDescent="0.2">
      <c r="A2" s="184" t="s">
        <v>111</v>
      </c>
      <c r="B2" s="184"/>
      <c r="C2" s="184"/>
      <c r="D2" s="184"/>
      <c r="E2" s="184"/>
      <c r="F2" s="184"/>
      <c r="G2" s="173"/>
      <c r="H2" s="170"/>
      <c r="I2" s="170"/>
      <c r="J2" s="170"/>
      <c r="K2" s="170"/>
      <c r="L2" s="170"/>
      <c r="M2" s="170"/>
    </row>
    <row r="3" spans="1:13" x14ac:dyDescent="0.2">
      <c r="A3" s="4"/>
      <c r="B3" s="4"/>
      <c r="C3" s="4"/>
      <c r="D3" s="4"/>
      <c r="E3" s="4"/>
      <c r="F3" s="4"/>
      <c r="G3" s="4"/>
    </row>
    <row r="4" spans="1:13" x14ac:dyDescent="0.2">
      <c r="A4" s="4"/>
      <c r="B4" s="4"/>
      <c r="C4" s="4"/>
      <c r="D4" s="4"/>
      <c r="E4" s="4"/>
      <c r="F4" s="4"/>
      <c r="G4" s="4"/>
    </row>
    <row r="5" spans="1:13" x14ac:dyDescent="0.2">
      <c r="A5" s="4"/>
      <c r="B5" s="4"/>
      <c r="C5" s="4"/>
      <c r="D5" s="4"/>
      <c r="E5" s="4"/>
      <c r="F5" s="4"/>
      <c r="G5" s="4"/>
    </row>
    <row r="6" spans="1:13" x14ac:dyDescent="0.2">
      <c r="A6" s="4"/>
      <c r="B6" s="4"/>
      <c r="C6" s="4"/>
      <c r="D6" s="4"/>
      <c r="E6" s="4"/>
      <c r="F6" s="4"/>
      <c r="G6" s="4"/>
    </row>
    <row r="7" spans="1:13" x14ac:dyDescent="0.2">
      <c r="A7" s="4"/>
      <c r="B7" s="4"/>
      <c r="C7" s="4"/>
      <c r="D7" s="4"/>
      <c r="E7" s="4"/>
      <c r="F7" s="4"/>
      <c r="G7" s="4"/>
    </row>
    <row r="8" spans="1:13" x14ac:dyDescent="0.2">
      <c r="A8" s="4"/>
      <c r="B8" s="4"/>
      <c r="C8" s="4"/>
      <c r="D8" s="4"/>
      <c r="E8" s="4"/>
      <c r="F8" s="4"/>
      <c r="G8" s="4"/>
    </row>
    <row r="9" spans="1:13" x14ac:dyDescent="0.2">
      <c r="A9" s="4"/>
      <c r="B9" s="4"/>
      <c r="C9" s="4"/>
      <c r="D9" s="4"/>
      <c r="E9" s="4"/>
      <c r="F9" s="4"/>
      <c r="G9" s="4"/>
    </row>
    <row r="10" spans="1:13" x14ac:dyDescent="0.2">
      <c r="A10" s="4"/>
      <c r="B10" s="4"/>
      <c r="C10" s="4"/>
      <c r="D10" s="4"/>
      <c r="E10" s="4"/>
      <c r="F10" s="4"/>
      <c r="G10" s="4"/>
    </row>
    <row r="11" spans="1:13" x14ac:dyDescent="0.2">
      <c r="A11" s="4"/>
      <c r="B11" s="4"/>
      <c r="C11" s="4"/>
      <c r="D11" s="4"/>
      <c r="E11" s="4"/>
      <c r="F11" s="4"/>
      <c r="G11" s="4"/>
    </row>
    <row r="12" spans="1:13" x14ac:dyDescent="0.2">
      <c r="A12" s="4"/>
      <c r="B12" s="4"/>
      <c r="C12" s="4"/>
      <c r="D12" s="4"/>
      <c r="E12" s="4"/>
      <c r="F12" s="4"/>
      <c r="G12" s="4"/>
    </row>
    <row r="13" spans="1:13" x14ac:dyDescent="0.2">
      <c r="A13" s="4"/>
      <c r="B13" s="4"/>
      <c r="C13" s="4"/>
      <c r="D13" s="4"/>
      <c r="E13" s="4"/>
      <c r="F13" s="4"/>
      <c r="G13" s="4"/>
    </row>
    <row r="14" spans="1:13" x14ac:dyDescent="0.2">
      <c r="A14" s="4"/>
      <c r="B14" s="4"/>
      <c r="C14" s="4"/>
      <c r="D14" s="4"/>
      <c r="E14" s="4"/>
      <c r="F14" s="4"/>
      <c r="G14" s="4"/>
    </row>
    <row r="15" spans="1:13" x14ac:dyDescent="0.2">
      <c r="A15" s="4"/>
      <c r="B15" s="4"/>
      <c r="C15" s="4"/>
      <c r="D15" s="4"/>
      <c r="E15" s="4"/>
      <c r="F15" s="4"/>
      <c r="G15" s="4"/>
    </row>
    <row r="16" spans="1:13" x14ac:dyDescent="0.2">
      <c r="A16" s="4"/>
      <c r="B16" s="4"/>
      <c r="C16" s="4"/>
      <c r="D16" s="4"/>
      <c r="E16" s="4"/>
      <c r="F16" s="4"/>
      <c r="G16" s="4"/>
    </row>
    <row r="17" spans="1:8" x14ac:dyDescent="0.2">
      <c r="A17" s="4"/>
      <c r="B17" s="4"/>
      <c r="C17" s="4"/>
      <c r="D17" s="4"/>
      <c r="E17" s="4"/>
      <c r="F17" s="4"/>
      <c r="G17" s="4"/>
    </row>
    <row r="18" spans="1:8" x14ac:dyDescent="0.2">
      <c r="A18" s="5"/>
    </row>
    <row r="19" spans="1:8" x14ac:dyDescent="0.2">
      <c r="A19" s="5"/>
    </row>
    <row r="20" spans="1:8" ht="24" x14ac:dyDescent="0.2">
      <c r="A20" s="31"/>
      <c r="B20" s="12" t="s">
        <v>96</v>
      </c>
      <c r="C20" s="12" t="s">
        <v>95</v>
      </c>
      <c r="D20" s="12" t="s">
        <v>94</v>
      </c>
      <c r="E20" s="13" t="s">
        <v>93</v>
      </c>
      <c r="F20" s="13" t="s">
        <v>92</v>
      </c>
      <c r="G20" s="13" t="s">
        <v>91</v>
      </c>
      <c r="H20" s="6"/>
    </row>
    <row r="21" spans="1:8" ht="15" customHeight="1" x14ac:dyDescent="0.2">
      <c r="A21" s="23" t="s">
        <v>33</v>
      </c>
      <c r="B21" s="119">
        <v>57.5</v>
      </c>
      <c r="C21" s="20">
        <v>65.226046049697587</v>
      </c>
      <c r="D21" s="120">
        <v>62.7</v>
      </c>
      <c r="E21" s="130">
        <v>63.4</v>
      </c>
      <c r="F21" s="120">
        <v>64.5</v>
      </c>
      <c r="G21" s="121">
        <v>61.6</v>
      </c>
      <c r="H21" s="7"/>
    </row>
    <row r="22" spans="1:8" ht="14.25" customHeight="1" x14ac:dyDescent="0.2">
      <c r="A22" s="24" t="s">
        <v>34</v>
      </c>
      <c r="B22" s="122">
        <v>21.1</v>
      </c>
      <c r="C22" s="22">
        <v>15.840903585725504</v>
      </c>
      <c r="D22" s="98">
        <v>14.9</v>
      </c>
      <c r="E22" s="123">
        <v>16.600000000000001</v>
      </c>
      <c r="F22" s="98">
        <v>15.7</v>
      </c>
      <c r="G22" s="124">
        <v>17.899999999999999</v>
      </c>
      <c r="H22" s="7"/>
    </row>
    <row r="23" spans="1:8" ht="15" customHeight="1" x14ac:dyDescent="0.2">
      <c r="A23" s="25" t="s">
        <v>35</v>
      </c>
      <c r="B23" s="125">
        <v>21.4</v>
      </c>
      <c r="C23" s="126">
        <v>18.933050364576911</v>
      </c>
      <c r="D23" s="127">
        <v>22.4</v>
      </c>
      <c r="E23" s="128">
        <v>20</v>
      </c>
      <c r="F23" s="127">
        <v>19.8</v>
      </c>
      <c r="G23" s="129">
        <v>20.5</v>
      </c>
      <c r="H23" s="7"/>
    </row>
    <row r="29" spans="1:8" ht="15.75" x14ac:dyDescent="0.2">
      <c r="B29" s="99"/>
      <c r="C29" s="99"/>
      <c r="D29" s="99"/>
      <c r="E29" s="100"/>
      <c r="F29" s="99"/>
      <c r="G29" s="99"/>
    </row>
    <row r="30" spans="1:8" ht="15.75" x14ac:dyDescent="0.2">
      <c r="B30" s="99"/>
      <c r="C30" s="99"/>
      <c r="D30" s="99"/>
      <c r="E30" s="100"/>
      <c r="F30" s="99"/>
      <c r="G30" s="99"/>
    </row>
    <row r="31" spans="1:8" ht="15.75" x14ac:dyDescent="0.2">
      <c r="B31" s="99"/>
      <c r="C31" s="99"/>
      <c r="D31" s="99"/>
      <c r="E31" s="100"/>
      <c r="F31" s="99"/>
      <c r="G31" s="99"/>
    </row>
  </sheetData>
  <mergeCells count="1">
    <mergeCell ref="A2:F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44"/>
  <sheetViews>
    <sheetView workbookViewId="0">
      <selection activeCell="A2" sqref="A2:G2"/>
    </sheetView>
  </sheetViews>
  <sheetFormatPr defaultRowHeight="12" x14ac:dyDescent="0.2"/>
  <cols>
    <col min="1" max="1" width="19.7109375" style="3" customWidth="1"/>
    <col min="2" max="2" width="15.28515625" style="3" customWidth="1"/>
    <col min="3" max="3" width="15.5703125" style="3" customWidth="1"/>
    <col min="4" max="4" width="15.42578125" style="3" customWidth="1"/>
    <col min="5" max="5" width="15.7109375" style="3" customWidth="1"/>
    <col min="6" max="7" width="15.5703125" style="3" customWidth="1"/>
    <col min="8" max="16384" width="9.140625" style="3"/>
  </cols>
  <sheetData>
    <row r="2" spans="1:13" s="168" customFormat="1" x14ac:dyDescent="0.2">
      <c r="A2" s="183" t="s">
        <v>110</v>
      </c>
      <c r="B2" s="183"/>
      <c r="C2" s="183"/>
      <c r="D2" s="183"/>
      <c r="E2" s="183"/>
      <c r="F2" s="183"/>
      <c r="G2" s="183"/>
      <c r="H2" s="172"/>
      <c r="I2" s="170"/>
      <c r="J2" s="170"/>
      <c r="K2" s="169"/>
      <c r="L2" s="169"/>
      <c r="M2" s="169"/>
    </row>
    <row r="3" spans="1:13" x14ac:dyDescent="0.2">
      <c r="A3" s="4"/>
      <c r="B3" s="4"/>
      <c r="C3" s="4"/>
      <c r="D3" s="4"/>
      <c r="E3" s="4"/>
      <c r="F3" s="4"/>
      <c r="G3" s="4"/>
      <c r="H3" s="4"/>
    </row>
    <row r="4" spans="1:13" x14ac:dyDescent="0.2">
      <c r="A4" s="4"/>
      <c r="B4" s="4"/>
      <c r="C4" s="4"/>
      <c r="D4" s="4"/>
      <c r="E4" s="4"/>
      <c r="F4" s="4"/>
      <c r="G4" s="4"/>
      <c r="H4" s="4"/>
    </row>
    <row r="5" spans="1:13" x14ac:dyDescent="0.2">
      <c r="A5" s="4"/>
      <c r="B5" s="4"/>
      <c r="C5" s="4"/>
      <c r="D5" s="4"/>
      <c r="E5" s="4"/>
      <c r="F5" s="4"/>
      <c r="G5" s="4"/>
      <c r="H5" s="4"/>
    </row>
    <row r="6" spans="1:13" x14ac:dyDescent="0.2">
      <c r="A6" s="4"/>
      <c r="B6" s="4"/>
      <c r="C6" s="4"/>
      <c r="D6" s="4"/>
      <c r="E6" s="4"/>
      <c r="F6" s="4"/>
      <c r="G6" s="4"/>
      <c r="H6" s="4"/>
    </row>
    <row r="7" spans="1:13" x14ac:dyDescent="0.2">
      <c r="A7" s="4"/>
      <c r="B7" s="4"/>
      <c r="C7" s="4"/>
      <c r="D7" s="4"/>
      <c r="E7" s="4"/>
      <c r="F7" s="4"/>
      <c r="G7" s="4"/>
      <c r="H7" s="4"/>
    </row>
    <row r="8" spans="1:13" x14ac:dyDescent="0.2">
      <c r="A8" s="4"/>
      <c r="B8" s="4"/>
      <c r="C8" s="4"/>
      <c r="D8" s="4"/>
      <c r="E8" s="4"/>
      <c r="F8" s="4"/>
      <c r="G8" s="4"/>
      <c r="H8" s="4"/>
    </row>
    <row r="9" spans="1:13" x14ac:dyDescent="0.2">
      <c r="A9" s="4"/>
      <c r="B9" s="4"/>
      <c r="C9" s="4"/>
      <c r="D9" s="4"/>
      <c r="E9" s="4"/>
      <c r="F9" s="4"/>
      <c r="G9" s="4"/>
      <c r="H9" s="4"/>
    </row>
    <row r="10" spans="1:13" x14ac:dyDescent="0.2">
      <c r="A10" s="4"/>
      <c r="B10" s="4"/>
      <c r="C10" s="4"/>
      <c r="D10" s="4"/>
      <c r="E10" s="4"/>
      <c r="F10" s="4"/>
      <c r="G10" s="4"/>
      <c r="H10" s="4"/>
    </row>
    <row r="11" spans="1:13" x14ac:dyDescent="0.2">
      <c r="A11" s="4"/>
      <c r="B11" s="4"/>
      <c r="C11" s="4"/>
      <c r="D11" s="4"/>
      <c r="E11" s="4"/>
      <c r="F11" s="4"/>
      <c r="G11" s="4"/>
      <c r="H11" s="4"/>
    </row>
    <row r="12" spans="1:13" x14ac:dyDescent="0.2">
      <c r="A12" s="4"/>
      <c r="B12" s="4"/>
      <c r="C12" s="4"/>
      <c r="D12" s="4"/>
      <c r="E12" s="4"/>
      <c r="F12" s="4"/>
      <c r="G12" s="4"/>
      <c r="H12" s="4"/>
    </row>
    <row r="13" spans="1:13" x14ac:dyDescent="0.2">
      <c r="A13" s="4"/>
      <c r="B13" s="4"/>
      <c r="C13" s="4"/>
      <c r="D13" s="4"/>
      <c r="E13" s="4"/>
      <c r="F13" s="4"/>
      <c r="G13" s="4"/>
      <c r="H13" s="4"/>
    </row>
    <row r="14" spans="1:13" x14ac:dyDescent="0.2">
      <c r="A14" s="4"/>
      <c r="B14" s="4"/>
      <c r="C14" s="4"/>
      <c r="D14" s="4"/>
      <c r="E14" s="4"/>
      <c r="F14" s="4"/>
      <c r="G14" s="4"/>
      <c r="H14" s="4"/>
    </row>
    <row r="15" spans="1:13" x14ac:dyDescent="0.2">
      <c r="A15" s="4"/>
      <c r="B15" s="4"/>
      <c r="C15" s="4"/>
      <c r="D15" s="4"/>
      <c r="E15" s="4"/>
      <c r="F15" s="4"/>
      <c r="G15" s="4"/>
      <c r="H15" s="4"/>
    </row>
    <row r="16" spans="1:13" x14ac:dyDescent="0.2">
      <c r="A16" s="4"/>
      <c r="B16" s="4"/>
      <c r="C16" s="4"/>
      <c r="D16" s="4"/>
      <c r="E16" s="4"/>
      <c r="F16" s="4"/>
      <c r="G16" s="4"/>
      <c r="H16" s="4"/>
    </row>
    <row r="17" spans="1:11" x14ac:dyDescent="0.2">
      <c r="A17" s="4"/>
      <c r="B17" s="4"/>
      <c r="C17" s="4"/>
      <c r="D17" s="4"/>
      <c r="E17" s="4"/>
      <c r="F17" s="4"/>
      <c r="G17" s="4"/>
      <c r="H17" s="4"/>
    </row>
    <row r="18" spans="1:11" x14ac:dyDescent="0.2">
      <c r="A18" s="4"/>
      <c r="B18" s="4"/>
      <c r="C18" s="4"/>
      <c r="D18" s="4"/>
      <c r="E18" s="4"/>
      <c r="F18" s="4"/>
      <c r="G18" s="4"/>
      <c r="H18" s="4"/>
    </row>
    <row r="19" spans="1:11" x14ac:dyDescent="0.2">
      <c r="A19" s="4"/>
      <c r="B19" s="4"/>
      <c r="C19" s="4"/>
      <c r="D19" s="4"/>
      <c r="E19" s="4"/>
      <c r="F19" s="4"/>
      <c r="G19" s="4"/>
      <c r="H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J20" s="6"/>
      <c r="K20" s="6"/>
    </row>
    <row r="21" spans="1:11" ht="14.25" customHeight="1" x14ac:dyDescent="0.2">
      <c r="A21" s="5"/>
      <c r="J21" s="6"/>
      <c r="K21" s="6"/>
    </row>
    <row r="22" spans="1:11" ht="23.25" customHeight="1" x14ac:dyDescent="0.2">
      <c r="A22" s="88"/>
      <c r="B22" s="13" t="s">
        <v>96</v>
      </c>
      <c r="C22" s="13" t="s">
        <v>95</v>
      </c>
      <c r="D22" s="13" t="s">
        <v>94</v>
      </c>
      <c r="E22" s="13" t="s">
        <v>93</v>
      </c>
      <c r="F22" s="13" t="s">
        <v>92</v>
      </c>
      <c r="G22" s="13" t="s">
        <v>91</v>
      </c>
      <c r="J22" s="98"/>
      <c r="K22" s="6"/>
    </row>
    <row r="23" spans="1:11" x14ac:dyDescent="0.2">
      <c r="A23" s="131" t="s">
        <v>36</v>
      </c>
      <c r="B23" s="132">
        <f>IF(OR(250717.6544="",250717.6544="***"),"-",250717.6544/1028187.45002*100)</f>
        <v>24.38443052335672</v>
      </c>
      <c r="C23" s="132">
        <f>IF(346385.25703="","-",346385.25703/1314797.53704*100)</f>
        <v>26.34514039399679</v>
      </c>
      <c r="D23" s="132">
        <f>IF(380464.81782="","-",380464.81782/1361213.47779*100)</f>
        <v>27.950415127956578</v>
      </c>
      <c r="E23" s="132">
        <f>IF(294103.432="","-",294103.432/1170176.53664*100)</f>
        <v>25.13325321361145</v>
      </c>
      <c r="F23" s="132">
        <f>IF(372797.84571="","-",372797.84571/1331502.34087*100)</f>
        <v>27.998286917499144</v>
      </c>
      <c r="G23" s="133">
        <f>IF(664094.56974="","-",664094.56974/2290386.35979*100)</f>
        <v>28.994870970192522</v>
      </c>
      <c r="J23" s="98"/>
      <c r="K23" s="6"/>
    </row>
    <row r="24" spans="1:11" x14ac:dyDescent="0.2">
      <c r="A24" s="134" t="s">
        <v>41</v>
      </c>
      <c r="B24" s="135">
        <f>IF(OR(29808.95471="",29808.95471="***"),"-",29808.95471/1028187.45002*100)</f>
        <v>2.8991751172823754</v>
      </c>
      <c r="C24" s="135">
        <f>IF(38624.94186="","-",38624.94186/1314797.53704*100)</f>
        <v>2.9377102384110194</v>
      </c>
      <c r="D24" s="135">
        <f>IF(36805.30296="","-",36805.30296/1361213.47779*100)</f>
        <v>2.7038597222645273</v>
      </c>
      <c r="E24" s="135">
        <f>IF(27426.28564="","-",27426.28564/1170176.53664*100)</f>
        <v>2.3437733351542649</v>
      </c>
      <c r="F24" s="135">
        <f>IF(36994.72555="","-",36994.72555/1331502.34087*100)</f>
        <v>2.7784198656254522</v>
      </c>
      <c r="G24" s="136">
        <f>IF(248347.1664="","-",248347.1664/2290386.35979*100)</f>
        <v>10.843025035425478</v>
      </c>
      <c r="J24" s="98"/>
      <c r="K24" s="6"/>
    </row>
    <row r="25" spans="1:11" x14ac:dyDescent="0.2">
      <c r="A25" s="134" t="s">
        <v>38</v>
      </c>
      <c r="B25" s="135">
        <f>IF(OR(49847.93762="",49847.93762="***"),"-",49847.93762/1028187.45002*100)</f>
        <v>4.8481371387124366</v>
      </c>
      <c r="C25" s="135">
        <f>IF(50518.66389="","-",50518.66389/1314797.53704*100)</f>
        <v>3.8423150688076682</v>
      </c>
      <c r="D25" s="135">
        <f>IF(121593.52444="","-",121593.52444/1361213.47779*100)</f>
        <v>8.9327299812967862</v>
      </c>
      <c r="E25" s="135">
        <f>IF(85304.66918="","-",85304.66918/1170176.53664*100)</f>
        <v>7.289897422224902</v>
      </c>
      <c r="F25" s="135">
        <f>IF(114951.2905="","-",114951.2905/1331502.34087*100)</f>
        <v>8.6332022837369671</v>
      </c>
      <c r="G25" s="136">
        <f>IF(211646.64213="","-",211646.64213/2290386.35979*100)</f>
        <v>9.2406524002092532</v>
      </c>
      <c r="J25" s="98"/>
      <c r="K25" s="6"/>
    </row>
    <row r="26" spans="1:11" x14ac:dyDescent="0.2">
      <c r="A26" s="134" t="s">
        <v>39</v>
      </c>
      <c r="B26" s="135">
        <f>IF(OR(92688.65374="",92688.65374="***"),"-",92688.65374/1028187.45002*100)</f>
        <v>9.0147622146328512</v>
      </c>
      <c r="C26" s="135">
        <f>IF(147373.44482="","-",147373.44482/1314797.53704*100)</f>
        <v>11.208831829102861</v>
      </c>
      <c r="D26" s="135">
        <f>IF(135801.93342="","-",135801.93342/1361213.47779*100)</f>
        <v>9.9765345873948732</v>
      </c>
      <c r="E26" s="135">
        <f>IF(106152.85536="","-",106152.85536/1170176.53664*100)</f>
        <v>9.0715248542585911</v>
      </c>
      <c r="F26" s="135">
        <f>IF(94262.19702="","-",94262.19702/1331502.34087*100)</f>
        <v>7.0793865040003876</v>
      </c>
      <c r="G26" s="136">
        <f>IF(194878.04136="","-",194878.04136/2290386.35979*100)</f>
        <v>8.5085226135326746</v>
      </c>
      <c r="J26" s="98"/>
      <c r="K26" s="6"/>
    </row>
    <row r="27" spans="1:11" x14ac:dyDescent="0.2">
      <c r="A27" s="134" t="s">
        <v>37</v>
      </c>
      <c r="B27" s="135">
        <f>IF(OR(71011.57098="",71011.57098="***"),"-",71011.57098/1028187.45002*100)</f>
        <v>6.9064810097243177</v>
      </c>
      <c r="C27" s="135">
        <f>IF(113271.54724="","-",113271.54724/1314797.53704*100)</f>
        <v>8.6151322959585031</v>
      </c>
      <c r="D27" s="135">
        <f>IF(124696.9991="","-",124696.9991/1361213.47779*100)</f>
        <v>9.160723217525879</v>
      </c>
      <c r="E27" s="135">
        <f>IF(103565.77618="","-",103565.77618/1170176.53664*100)</f>
        <v>8.8504403341887876</v>
      </c>
      <c r="F27" s="135">
        <f>IF(134639.37704="","-",134639.37704/1331502.34087*100)</f>
        <v>10.111839304167276</v>
      </c>
      <c r="G27" s="136">
        <f>IF(128914.89151="","-",128914.89151/2290386.35979*100)</f>
        <v>5.628521622955347</v>
      </c>
      <c r="J27" s="98"/>
      <c r="K27" s="6"/>
    </row>
    <row r="28" spans="1:11" x14ac:dyDescent="0.2">
      <c r="A28" s="134" t="s">
        <v>63</v>
      </c>
      <c r="B28" s="135">
        <f>IF(OR(116581.43691="",116581.43691="***"),"-",116581.43691/1028187.45002*100)</f>
        <v>11.338539184438821</v>
      </c>
      <c r="C28" s="135">
        <f>IF(107450.65862="","-",107450.65862/1314797.53704*100)</f>
        <v>8.1724110057205746</v>
      </c>
      <c r="D28" s="135">
        <f>IF(114429.1032="","-",114429.1032/1361213.47779*100)</f>
        <v>8.4064039231951728</v>
      </c>
      <c r="E28" s="135">
        <f>IF(123801.65856="","-",123801.65856/1170176.53664*100)</f>
        <v>10.579742003328773</v>
      </c>
      <c r="F28" s="135">
        <f>IF(128518.68923="","-",128518.68923/1331502.34087*100)</f>
        <v>9.6521564615520123</v>
      </c>
      <c r="G28" s="136">
        <f>IF(116897.16416="","-",116897.16416/2290386.35979*100)</f>
        <v>5.1038185614551947</v>
      </c>
      <c r="J28" s="98"/>
      <c r="K28" s="6"/>
    </row>
    <row r="29" spans="1:11" x14ac:dyDescent="0.2">
      <c r="A29" s="134" t="s">
        <v>45</v>
      </c>
      <c r="B29" s="135">
        <f>IF(OR(36014.54958="",36014.54958="***"),"-",36014.54958/1028187.45002*100)</f>
        <v>3.5027221523954077</v>
      </c>
      <c r="C29" s="135">
        <f>IF(29454.50956="","-",29454.50956/1314797.53704*100)</f>
        <v>2.2402315740802838</v>
      </c>
      <c r="D29" s="135">
        <f>IF(20120.47027="","-",20120.47027/1361213.47779*100)</f>
        <v>1.4781274648166591</v>
      </c>
      <c r="E29" s="135">
        <f>IF(18676.9623="","-",18676.9623/1170176.53664*100)</f>
        <v>1.5960807378370714</v>
      </c>
      <c r="F29" s="135">
        <f>IF(16463.55649="","-",16463.55649/1331502.34087*100)</f>
        <v>1.2364647049169104</v>
      </c>
      <c r="G29" s="136">
        <f>IF(111441.15493="","-",111441.15493/2290386.35979*100)</f>
        <v>4.865605073731655</v>
      </c>
      <c r="J29" s="98"/>
      <c r="K29" s="6"/>
    </row>
    <row r="30" spans="1:11" x14ac:dyDescent="0.2">
      <c r="A30" s="134" t="s">
        <v>40</v>
      </c>
      <c r="B30" s="135">
        <f>IF(OR(33663.72656="",33663.72656="***"),"-",33663.72656/1028187.45002*100)</f>
        <v>3.2740845610734879</v>
      </c>
      <c r="C30" s="135">
        <f>IF(46125.68362="","-",46125.68362/1314797.53704*100)</f>
        <v>3.5081966858443185</v>
      </c>
      <c r="D30" s="135">
        <f>IF(52151.67968="","-",52151.67968/1361213.47779*100)</f>
        <v>3.8312638341394432</v>
      </c>
      <c r="E30" s="135">
        <f>IF(46796.79321="","-",46796.79321/1170176.53664*100)</f>
        <v>3.9991225037181581</v>
      </c>
      <c r="F30" s="135">
        <f>IF(51781.25467="","-",51781.25467/1331502.34087*100)</f>
        <v>3.8889345576490895</v>
      </c>
      <c r="G30" s="136">
        <f>IF(63012.15815="","-",63012.15815/2290386.35979*100)</f>
        <v>2.7511584620062717</v>
      </c>
      <c r="J30" s="98"/>
      <c r="K30" s="6"/>
    </row>
    <row r="31" spans="1:11" x14ac:dyDescent="0.2">
      <c r="A31" s="134" t="s">
        <v>64</v>
      </c>
      <c r="B31" s="135">
        <f>IF(OR(12262.94346="",12262.94346="***"),"-",12262.94346/1028187.45002*100)</f>
        <v>1.1926758549485763</v>
      </c>
      <c r="C31" s="135">
        <f>IF(29088.33905="","-",29088.33905/1314797.53704*100)</f>
        <v>2.2123816200239084</v>
      </c>
      <c r="D31" s="135">
        <f>IF(33581.89443="","-",33581.89443/1361213.47779*100)</f>
        <v>2.467055680680001</v>
      </c>
      <c r="E31" s="135">
        <f>IF(40324.65371="","-",40324.65371/1170176.53664*100)</f>
        <v>3.4460316411561847</v>
      </c>
      <c r="F31" s="135">
        <f>IF(15743.33442="","-",15743.33442/1331502.34087*100)</f>
        <v>1.1823737695957297</v>
      </c>
      <c r="G31" s="136">
        <f>IF(55010.29349="","-",55010.29349/2290386.35979*100)</f>
        <v>2.4017910015428034</v>
      </c>
      <c r="J31" s="98"/>
      <c r="K31" s="6"/>
    </row>
    <row r="32" spans="1:11" x14ac:dyDescent="0.2">
      <c r="A32" s="134" t="s">
        <v>66</v>
      </c>
      <c r="B32" s="135">
        <f>IF(OR(15047.43739="",15047.43739="***"),"-",15047.43739/1028187.45002*100)</f>
        <v>1.4634916415005164</v>
      </c>
      <c r="C32" s="135">
        <f>IF(20753.54191="","-",20753.54191/1314797.53704*100)</f>
        <v>1.5784591410721982</v>
      </c>
      <c r="D32" s="135">
        <f>IF(24633.96387="","-",24633.96387/1361213.47779*100)</f>
        <v>1.8097061388192031</v>
      </c>
      <c r="E32" s="135">
        <f>IF(39229.52009="","-",39229.52009/1170176.53664*100)</f>
        <v>3.3524445980298099</v>
      </c>
      <c r="F32" s="135">
        <f>IF(42546.95593="","-",42546.95593/1331502.34087*100)</f>
        <v>3.1954097731589366</v>
      </c>
      <c r="G32" s="136">
        <f>IF(50234.41683="","-",50234.41683/2290386.35979*100)</f>
        <v>2.1932726160055314</v>
      </c>
      <c r="J32" s="98"/>
      <c r="K32" s="6"/>
    </row>
    <row r="33" spans="1:11" x14ac:dyDescent="0.2">
      <c r="A33" s="134" t="s">
        <v>88</v>
      </c>
      <c r="B33" s="135">
        <f>IF(OR(11478.71305="",11478.71305="***"),"-",11478.71305/1028187.45002*100)</f>
        <v>1.1164027580551308</v>
      </c>
      <c r="C33" s="135">
        <f>IF(19187.60976="","-",19187.60976/1314797.53704*100)</f>
        <v>1.4593585110599621</v>
      </c>
      <c r="D33" s="135">
        <f>IF(18630.32793="","-",18630.32793/1361213.47779*100)</f>
        <v>1.3686558525887722</v>
      </c>
      <c r="E33" s="135">
        <f>IF(17246.15189="","-",17246.15189/1170176.53664*100)</f>
        <v>1.4738076990946971</v>
      </c>
      <c r="F33" s="135">
        <f>IF(18798.03581="","-",18798.03581/1331502.34087*100)</f>
        <v>1.4117914203378279</v>
      </c>
      <c r="G33" s="136">
        <f>IF(44975.93727="","-",44975.93727/2290386.35979*100)</f>
        <v>1.9636834230065767</v>
      </c>
      <c r="J33" s="98"/>
      <c r="K33" s="6"/>
    </row>
    <row r="34" spans="1:11" x14ac:dyDescent="0.2">
      <c r="A34" s="134" t="s">
        <v>97</v>
      </c>
      <c r="B34" s="135">
        <f>IF(OR(0.9474="",0.9474="***"),"-",0.9474/1028187.45002*100)</f>
        <v>9.2142731364944355E-5</v>
      </c>
      <c r="C34" s="135">
        <f>IF(188.42651="","-",188.42651/1314797.53704*100)</f>
        <v>1.4331218662319985E-2</v>
      </c>
      <c r="D34" s="135" t="str">
        <f>IF(""="","-",""/1361213.47779*100)</f>
        <v>-</v>
      </c>
      <c r="E34" s="135">
        <f>IF(70.05237="","-",70.05237/1170176.53664*100)</f>
        <v>5.986478775343221E-3</v>
      </c>
      <c r="F34" s="135">
        <f>IF(17.81651="","-",17.81651/1331502.34087*100)</f>
        <v>1.3380757549670353E-3</v>
      </c>
      <c r="G34" s="136">
        <f>IF(37696.69329="","-",37696.69329/2290386.35979*100)</f>
        <v>1.6458661277329787</v>
      </c>
      <c r="J34" s="98"/>
      <c r="K34" s="6"/>
    </row>
    <row r="35" spans="1:11" x14ac:dyDescent="0.2">
      <c r="A35" s="134" t="s">
        <v>46</v>
      </c>
      <c r="B35" s="135">
        <f>IF(OR(60488.84795="",60488.84795="***"),"-",60488.84795/1028187.45002*100)</f>
        <v>5.8830564357523905</v>
      </c>
      <c r="C35" s="135">
        <f>IF(42788.61837="","-",42788.61837/1314797.53704*100)</f>
        <v>3.2543883879133122</v>
      </c>
      <c r="D35" s="135">
        <f>IF(26145.7018="","-",26145.7018/1361213.47779*100)</f>
        <v>1.9207642465051764</v>
      </c>
      <c r="E35" s="135">
        <f>IF(18617.51527="","-",18617.51527/1170176.53664*100)</f>
        <v>1.5910005616295826</v>
      </c>
      <c r="F35" s="135">
        <f>IF(25929.58601="","-",25929.58601/1331502.34087*100)</f>
        <v>1.9473931974507592</v>
      </c>
      <c r="G35" s="136">
        <f>IF(37637.61874="","-",37637.61874/2290386.35979*100)</f>
        <v>1.6432868882196319</v>
      </c>
      <c r="J35" s="98"/>
      <c r="K35" s="6"/>
    </row>
    <row r="36" spans="1:11" x14ac:dyDescent="0.2">
      <c r="A36" s="134" t="s">
        <v>42</v>
      </c>
      <c r="B36" s="135">
        <f>IF(OR(57173.46201="",57173.46201="***"),"-",57173.46201/1028187.45002*100)</f>
        <v>5.5606068726950406</v>
      </c>
      <c r="C36" s="135">
        <f>IF(49022.43812="","-",49022.43812/1314797.53704*100)</f>
        <v>3.7285161204639974</v>
      </c>
      <c r="D36" s="135">
        <f>IF(41805.31588="","-",41805.31588/1361213.47779*100)</f>
        <v>3.0711799847789547</v>
      </c>
      <c r="E36" s="135">
        <f>IF(32611.59569="","-",32611.59569/1170176.53664*100)</f>
        <v>2.786895367398126</v>
      </c>
      <c r="F36" s="135">
        <f>IF(30628.56379="","-",30628.56379/1331502.34087*100)</f>
        <v>2.3003011598152643</v>
      </c>
      <c r="G36" s="136">
        <f>IF(31167.81166="","-",31167.81166/2290386.35979*100)</f>
        <v>1.3608102199341467</v>
      </c>
      <c r="J36" s="98"/>
      <c r="K36" s="6"/>
    </row>
    <row r="37" spans="1:11" x14ac:dyDescent="0.2">
      <c r="A37" s="134" t="s">
        <v>43</v>
      </c>
      <c r="B37" s="135">
        <f>IF(OR(3363.43982="",3363.43982="***"),"-",3363.43982/1028187.45002*100)</f>
        <v>0.32712321278912471</v>
      </c>
      <c r="C37" s="135">
        <f>IF(3844.23494="","-",3844.23494/1314797.53704*100)</f>
        <v>0.29238227420584578</v>
      </c>
      <c r="D37" s="135">
        <f>IF(4194.6282="","-",4194.6282/1361213.47779*100)</f>
        <v>0.30815359004600767</v>
      </c>
      <c r="E37" s="135">
        <f>IF(8639.94947="","-",8639.94947/1170176.53664*100)</f>
        <v>0.73834581359906759</v>
      </c>
      <c r="F37" s="135">
        <f>IF(19218.27851="","-",19218.27851/1331502.34087*100)</f>
        <v>1.4433529645500158</v>
      </c>
      <c r="G37" s="136">
        <f>IF(27394.40994="","-",27394.40994/2290386.35979*100)</f>
        <v>1.1960606481481022</v>
      </c>
      <c r="J37" s="98"/>
      <c r="K37" s="6"/>
    </row>
    <row r="38" spans="1:11" x14ac:dyDescent="0.2">
      <c r="A38" s="134" t="s">
        <v>65</v>
      </c>
      <c r="B38" s="135">
        <f>IF(OR(17322.7735="",17322.7735="***"),"-",17322.7735/1028187.45002*100)</f>
        <v>1.6847874869181725</v>
      </c>
      <c r="C38" s="135">
        <f>IF(26992.63284="","-",26992.63284/1314797.53704*100)</f>
        <v>2.0529877855390901</v>
      </c>
      <c r="D38" s="135">
        <f>IF(17926.68986="","-",17926.68986/1361213.47779*100)</f>
        <v>1.3169638820433149</v>
      </c>
      <c r="E38" s="135">
        <f>IF(18384.844="","-",18384.844/1170176.53664*100)</f>
        <v>1.5711171284282912</v>
      </c>
      <c r="F38" s="135">
        <f>IF(17840.99208="","-",17840.99208/1331502.34087*100)</f>
        <v>1.3399144359252682</v>
      </c>
      <c r="G38" s="136">
        <f>IF(23355.90786="","-",23355.90786/2290386.35979*100)</f>
        <v>1.0197365942286456</v>
      </c>
      <c r="J38" s="98"/>
      <c r="K38" s="6"/>
    </row>
    <row r="39" spans="1:11" x14ac:dyDescent="0.2">
      <c r="A39" s="134" t="s">
        <v>67</v>
      </c>
      <c r="B39" s="135">
        <f>IF(OR(8339.4795="",8339.4795="***"),"-",8339.4795/1028187.45002*100)</f>
        <v>0.81108551751315228</v>
      </c>
      <c r="C39" s="135">
        <f>IF(11119.41616="","-",11119.41616/1314797.53704*100)</f>
        <v>0.84571318752491054</v>
      </c>
      <c r="D39" s="135">
        <f>IF(11108.34418="","-",11108.34418/1361213.47779*100)</f>
        <v>0.81606187135576758</v>
      </c>
      <c r="E39" s="135">
        <f>IF(12371.62955="","-",12371.62955/1170176.53664*100)</f>
        <v>1.0572447115991079</v>
      </c>
      <c r="F39" s="135">
        <f>IF(11507.30844="","-",11507.30844/1331502.34087*100)</f>
        <v>0.86423493874454305</v>
      </c>
      <c r="G39" s="136">
        <f>IF(21462.14225="","-",21462.14225/2290386.35979*100)</f>
        <v>0.93705335600967388</v>
      </c>
      <c r="J39" s="98"/>
      <c r="K39" s="6"/>
    </row>
    <row r="40" spans="1:11" x14ac:dyDescent="0.2">
      <c r="A40" s="134" t="s">
        <v>62</v>
      </c>
      <c r="B40" s="135">
        <f>IF(OR(11712.18026="",11712.18026="***"),"-",11712.18026/1028187.45002*100)</f>
        <v>1.139109435713515</v>
      </c>
      <c r="C40" s="135">
        <f>IF(17761.18814="","-",17761.18814/1314797.53704*100)</f>
        <v>1.350868680510743</v>
      </c>
      <c r="D40" s="135">
        <f>IF(10646.02983="","-",10646.02983/1361213.47779*100)</f>
        <v>0.78209847343595051</v>
      </c>
      <c r="E40" s="135">
        <f>IF(20594.02363="","-",20594.02363/1170176.53664*100)</f>
        <v>1.7599074144088451</v>
      </c>
      <c r="F40" s="135">
        <f>IF(13606.23085="","-",13606.23085/1331502.34087*100)</f>
        <v>1.0218705917640165</v>
      </c>
      <c r="G40" s="136">
        <f>IF(19684.66888="","-",19684.66888/2290386.35979*100)</f>
        <v>0.85944752490600929</v>
      </c>
      <c r="J40" s="98"/>
      <c r="K40" s="6"/>
    </row>
    <row r="41" spans="1:11" x14ac:dyDescent="0.2">
      <c r="A41" s="134" t="s">
        <v>83</v>
      </c>
      <c r="B41" s="135">
        <f>IF(OR(4944.19723="",4944.19723="***"),"-",4944.19723/1028187.45002*100)</f>
        <v>0.48086535484398557</v>
      </c>
      <c r="C41" s="135">
        <f>IF(8492.50015="","-",8492.50015/1314797.53704*100)</f>
        <v>0.64591695000578886</v>
      </c>
      <c r="D41" s="135">
        <f>IF(7795.97754="","-",7795.97754/1361213.47779*100)</f>
        <v>0.57272262339461777</v>
      </c>
      <c r="E41" s="135">
        <f>IF(8269.452="","-",8269.452/1170176.53664*100)</f>
        <v>0.70668414047546935</v>
      </c>
      <c r="F41" s="135">
        <f>IF(14266.01887="","-",14266.01887/1331502.34087*100)</f>
        <v>1.0714227404721364</v>
      </c>
      <c r="G41" s="136">
        <f>IF(15398.39887="","-",15398.39887/2290386.35979*100)</f>
        <v>0.67230573585025377</v>
      </c>
      <c r="J41" s="98"/>
      <c r="K41" s="6"/>
    </row>
    <row r="42" spans="1:11" x14ac:dyDescent="0.2">
      <c r="A42" s="134" t="s">
        <v>44</v>
      </c>
      <c r="B42" s="135">
        <f>IF(OR(10354.93194="",10354.93194="***"),"-",10354.93194/1028187.45002*100)</f>
        <v>1.0071054592038231</v>
      </c>
      <c r="C42" s="135">
        <f>IF(17555.36542="","-",17555.36542/1314797.53704*100)</f>
        <v>1.3352143524334812</v>
      </c>
      <c r="D42" s="135">
        <f>IF(19934.79232="","-",19934.79232/1361213.47779*100)</f>
        <v>1.4644868453965914</v>
      </c>
      <c r="E42" s="135">
        <f>IF(21744.1889="","-",21744.1889/1170176.53664*100)</f>
        <v>1.8581973077699394</v>
      </c>
      <c r="F42" s="135">
        <f>IF(18605.90427="","-",18605.90427/1331502.34087*100)</f>
        <v>1.3973617393599889</v>
      </c>
      <c r="G42" s="136">
        <f>IF(14697.4172="","-",14697.4172/2290386.35979*100)</f>
        <v>0.64170034619607019</v>
      </c>
      <c r="J42" s="6"/>
      <c r="K42" s="6"/>
    </row>
    <row r="43" spans="1:11" x14ac:dyDescent="0.2">
      <c r="A43" s="137" t="s">
        <v>87</v>
      </c>
      <c r="B43" s="138">
        <f>IF(OR(48.48508="",48.48508="***"),"-",48.48508/1028187.45002*100)</f>
        <v>4.7155876099301622E-3</v>
      </c>
      <c r="C43" s="138">
        <f>IF(9226.32139="","-",9226.32139/1314797.53704*100)</f>
        <v>0.70172943971063328</v>
      </c>
      <c r="D43" s="138">
        <f>IF(78.03909="","-",78.03909/1361213.47779*100)</f>
        <v>5.7330529908284833E-3</v>
      </c>
      <c r="E43" s="138">
        <f>IF(8961.73015="","-",8961.73015/1170176.53664*100)</f>
        <v>0.76584428668620952</v>
      </c>
      <c r="F43" s="138">
        <f>IF(16117.97122="","-",16117.97122/1331502.34087*100)</f>
        <v>1.2105101677454477</v>
      </c>
      <c r="G43" s="139">
        <f>IF(14548.81161="","-",14548.81161/2290386.35979*100)</f>
        <v>0.63521211379087783</v>
      </c>
      <c r="J43" s="6"/>
      <c r="K43" s="6"/>
    </row>
    <row r="44" spans="1:11" x14ac:dyDescent="0.2">
      <c r="B44" s="6"/>
      <c r="C44" s="6"/>
      <c r="D44" s="6"/>
      <c r="E44" s="6"/>
      <c r="F44" s="6"/>
      <c r="G44" s="6"/>
    </row>
  </sheetData>
  <mergeCells count="1">
    <mergeCell ref="A2:G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53"/>
  <sheetViews>
    <sheetView workbookViewId="0">
      <selection activeCell="N23" sqref="N23"/>
    </sheetView>
  </sheetViews>
  <sheetFormatPr defaultRowHeight="12" x14ac:dyDescent="0.2"/>
  <cols>
    <col min="1" max="1" width="47.140625" style="3" customWidth="1"/>
    <col min="2" max="2" width="13.5703125" style="3" customWidth="1"/>
    <col min="3" max="3" width="10.7109375" style="3" customWidth="1"/>
    <col min="4" max="4" width="13.28515625" style="3" customWidth="1"/>
    <col min="5" max="5" width="11.85546875" style="3" customWidth="1"/>
    <col min="6" max="6" width="8.28515625" style="3" customWidth="1"/>
    <col min="7" max="7" width="8" style="3" customWidth="1"/>
    <col min="8" max="8" width="6" style="3" customWidth="1"/>
    <col min="9" max="16384" width="9.140625" style="3"/>
  </cols>
  <sheetData>
    <row r="2" spans="1:8" ht="15" customHeight="1" x14ac:dyDescent="0.2">
      <c r="A2" s="186" t="s">
        <v>115</v>
      </c>
      <c r="B2" s="186"/>
      <c r="C2" s="186"/>
      <c r="D2" s="186"/>
      <c r="E2" s="186"/>
      <c r="F2" s="186"/>
      <c r="G2" s="186"/>
    </row>
    <row r="3" spans="1:8" ht="15" customHeight="1" x14ac:dyDescent="0.2">
      <c r="A3" s="92"/>
      <c r="B3" s="92"/>
      <c r="C3" s="92"/>
      <c r="D3" s="92"/>
      <c r="E3" s="92"/>
      <c r="F3" s="92"/>
      <c r="G3" s="92"/>
    </row>
    <row r="4" spans="1:8" x14ac:dyDescent="0.2">
      <c r="A4" s="185"/>
      <c r="B4" s="185"/>
      <c r="C4" s="185"/>
      <c r="D4" s="185"/>
      <c r="E4" s="185"/>
      <c r="F4" s="185"/>
      <c r="G4" s="185"/>
      <c r="H4" s="185"/>
    </row>
    <row r="27" spans="1:2" ht="16.5" customHeight="1" x14ac:dyDescent="0.2">
      <c r="A27" s="55" t="s">
        <v>98</v>
      </c>
      <c r="B27" s="91" t="s">
        <v>47</v>
      </c>
    </row>
    <row r="28" spans="1:2" x14ac:dyDescent="0.2">
      <c r="A28" s="109" t="s">
        <v>69</v>
      </c>
      <c r="B28" s="140">
        <v>4.4000000000000004</v>
      </c>
    </row>
    <row r="29" spans="1:2" x14ac:dyDescent="0.2">
      <c r="A29" s="109" t="s">
        <v>74</v>
      </c>
      <c r="B29" s="141">
        <v>22</v>
      </c>
    </row>
    <row r="30" spans="1:2" x14ac:dyDescent="0.2">
      <c r="A30" s="109" t="s">
        <v>71</v>
      </c>
      <c r="B30" s="141">
        <v>5.8</v>
      </c>
    </row>
    <row r="31" spans="1:2" x14ac:dyDescent="0.2">
      <c r="A31" s="109" t="s">
        <v>72</v>
      </c>
      <c r="B31" s="141">
        <v>3.3</v>
      </c>
    </row>
    <row r="32" spans="1:2" x14ac:dyDescent="0.2">
      <c r="A32" s="109" t="s">
        <v>84</v>
      </c>
      <c r="B32" s="141">
        <v>1</v>
      </c>
    </row>
    <row r="33" spans="1:2" ht="13.5" customHeight="1" x14ac:dyDescent="0.2">
      <c r="A33" s="109" t="s">
        <v>70</v>
      </c>
      <c r="B33" s="141">
        <v>10</v>
      </c>
    </row>
    <row r="34" spans="1:2" x14ac:dyDescent="0.2">
      <c r="A34" s="109" t="s">
        <v>76</v>
      </c>
      <c r="B34" s="141">
        <v>9.9</v>
      </c>
    </row>
    <row r="35" spans="1:2" x14ac:dyDescent="0.2">
      <c r="A35" s="109" t="s">
        <v>75</v>
      </c>
      <c r="B35" s="141">
        <v>6</v>
      </c>
    </row>
    <row r="36" spans="1:2" x14ac:dyDescent="0.2">
      <c r="A36" s="110" t="s">
        <v>78</v>
      </c>
      <c r="B36" s="141">
        <v>7.1</v>
      </c>
    </row>
    <row r="37" spans="1:2" x14ac:dyDescent="0.2">
      <c r="A37" s="110" t="s">
        <v>85</v>
      </c>
      <c r="B37" s="141">
        <v>3</v>
      </c>
    </row>
    <row r="38" spans="1:2" x14ac:dyDescent="0.2">
      <c r="A38" s="110" t="s">
        <v>89</v>
      </c>
      <c r="B38" s="141">
        <v>2</v>
      </c>
    </row>
    <row r="39" spans="1:2" x14ac:dyDescent="0.2">
      <c r="A39" s="111" t="s">
        <v>77</v>
      </c>
      <c r="B39" s="142">
        <v>25.5</v>
      </c>
    </row>
    <row r="40" spans="1:2" x14ac:dyDescent="0.2">
      <c r="A40" s="90"/>
      <c r="B40" s="68"/>
    </row>
    <row r="41" spans="1:2" x14ac:dyDescent="0.2">
      <c r="A41" s="55" t="s">
        <v>99</v>
      </c>
      <c r="B41" s="39" t="s">
        <v>47</v>
      </c>
    </row>
    <row r="42" spans="1:2" x14ac:dyDescent="0.2">
      <c r="A42" s="109" t="s">
        <v>69</v>
      </c>
      <c r="B42" s="140">
        <v>14.6</v>
      </c>
    </row>
    <row r="43" spans="1:2" x14ac:dyDescent="0.2">
      <c r="A43" s="109" t="s">
        <v>74</v>
      </c>
      <c r="B43" s="141">
        <v>12.3</v>
      </c>
    </row>
    <row r="44" spans="1:2" x14ac:dyDescent="0.2">
      <c r="A44" s="109" t="s">
        <v>71</v>
      </c>
      <c r="B44" s="141">
        <v>11.2</v>
      </c>
    </row>
    <row r="45" spans="1:2" x14ac:dyDescent="0.2">
      <c r="A45" s="109" t="s">
        <v>72</v>
      </c>
      <c r="B45" s="141">
        <v>10</v>
      </c>
    </row>
    <row r="46" spans="1:2" x14ac:dyDescent="0.2">
      <c r="A46" s="109" t="s">
        <v>84</v>
      </c>
      <c r="B46" s="141">
        <v>8.6999999999999993</v>
      </c>
    </row>
    <row r="47" spans="1:2" x14ac:dyDescent="0.2">
      <c r="A47" s="109" t="s">
        <v>70</v>
      </c>
      <c r="B47" s="141">
        <v>8.3000000000000007</v>
      </c>
    </row>
    <row r="48" spans="1:2" x14ac:dyDescent="0.2">
      <c r="A48" s="109" t="s">
        <v>76</v>
      </c>
      <c r="B48" s="141">
        <v>6.4</v>
      </c>
    </row>
    <row r="49" spans="1:2" x14ac:dyDescent="0.2">
      <c r="A49" s="109" t="s">
        <v>75</v>
      </c>
      <c r="B49" s="141">
        <v>3.3</v>
      </c>
    </row>
    <row r="50" spans="1:2" x14ac:dyDescent="0.2">
      <c r="A50" s="110" t="s">
        <v>78</v>
      </c>
      <c r="B50" s="141">
        <v>3.2</v>
      </c>
    </row>
    <row r="51" spans="1:2" x14ac:dyDescent="0.2">
      <c r="A51" s="110" t="s">
        <v>85</v>
      </c>
      <c r="B51" s="141">
        <v>2</v>
      </c>
    </row>
    <row r="52" spans="1:2" x14ac:dyDescent="0.2">
      <c r="A52" s="110" t="s">
        <v>89</v>
      </c>
      <c r="B52" s="141">
        <v>2</v>
      </c>
    </row>
    <row r="53" spans="1:2" x14ac:dyDescent="0.2">
      <c r="A53" s="111" t="s">
        <v>77</v>
      </c>
      <c r="B53" s="142">
        <v>18</v>
      </c>
    </row>
  </sheetData>
  <mergeCells count="2">
    <mergeCell ref="A4:H4"/>
    <mergeCell ref="A2:G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27"/>
  <sheetViews>
    <sheetView workbookViewId="0">
      <selection activeCell="A2" sqref="A2:M2"/>
    </sheetView>
  </sheetViews>
  <sheetFormatPr defaultRowHeight="12" x14ac:dyDescent="0.2"/>
  <cols>
    <col min="1" max="1" width="9.85546875" style="3" customWidth="1"/>
    <col min="2" max="2" width="11.28515625" style="3" bestFit="1" customWidth="1"/>
    <col min="3" max="3" width="10" style="3" customWidth="1"/>
    <col min="4" max="4" width="11.28515625" style="3" bestFit="1" customWidth="1"/>
    <col min="5" max="5" width="9.28515625" style="3" bestFit="1" customWidth="1"/>
    <col min="6" max="6" width="11.28515625" style="3" bestFit="1" customWidth="1"/>
    <col min="7" max="7" width="9.28515625" style="3" bestFit="1" customWidth="1"/>
    <col min="8" max="8" width="11.28515625" style="3" bestFit="1" customWidth="1"/>
    <col min="9" max="9" width="9.28515625" style="3" bestFit="1" customWidth="1"/>
    <col min="10" max="10" width="11.85546875" style="3" bestFit="1" customWidth="1"/>
    <col min="11" max="11" width="11.140625" style="3" bestFit="1" customWidth="1"/>
    <col min="12" max="12" width="11.28515625" style="3" bestFit="1" customWidth="1"/>
    <col min="13" max="13" width="11.42578125" style="3" bestFit="1" customWidth="1"/>
    <col min="14" max="14" width="11.28515625" style="3" bestFit="1" customWidth="1"/>
    <col min="15" max="15" width="9.28515625" style="3" bestFit="1" customWidth="1"/>
    <col min="16" max="16" width="11.28515625" style="3" bestFit="1" customWidth="1"/>
    <col min="17" max="17" width="9.28515625" style="3" bestFit="1" customWidth="1"/>
    <col min="18" max="18" width="11.28515625" style="3" bestFit="1" customWidth="1"/>
    <col min="19" max="19" width="9.28515625" style="3" bestFit="1" customWidth="1"/>
    <col min="20" max="20" width="11.28515625" style="3" bestFit="1" customWidth="1"/>
    <col min="21" max="21" width="9.28515625" style="3" bestFit="1" customWidth="1"/>
    <col min="22" max="22" width="11.28515625" style="3" bestFit="1" customWidth="1"/>
    <col min="23" max="23" width="9.28515625" style="3" bestFit="1" customWidth="1"/>
    <col min="24" max="24" width="11.28515625" style="3" bestFit="1" customWidth="1"/>
    <col min="25" max="25" width="9.28515625" style="3" bestFit="1" customWidth="1"/>
    <col min="26" max="16384" width="9.140625" style="3"/>
  </cols>
  <sheetData>
    <row r="2" spans="1:13" s="168" customFormat="1" x14ac:dyDescent="0.2">
      <c r="A2" s="183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70"/>
    </row>
    <row r="3" spans="1:13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3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3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3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3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3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3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3" x14ac:dyDescent="0.2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3" x14ac:dyDescent="0.2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3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3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3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3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3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3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3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3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1" spans="1:13" x14ac:dyDescent="0.2">
      <c r="A21" s="37" t="s">
        <v>0</v>
      </c>
      <c r="B21" s="37" t="s">
        <v>1</v>
      </c>
      <c r="C21" s="54" t="s">
        <v>2</v>
      </c>
      <c r="D21" s="54" t="s">
        <v>3</v>
      </c>
      <c r="E21" s="54" t="s">
        <v>4</v>
      </c>
      <c r="F21" s="54" t="s">
        <v>5</v>
      </c>
      <c r="G21" s="54" t="s">
        <v>6</v>
      </c>
      <c r="H21" s="54" t="s">
        <v>7</v>
      </c>
      <c r="I21" s="54" t="s">
        <v>8</v>
      </c>
      <c r="J21" s="54" t="s">
        <v>9</v>
      </c>
      <c r="K21" s="54" t="s">
        <v>10</v>
      </c>
      <c r="L21" s="54" t="s">
        <v>11</v>
      </c>
      <c r="M21" s="54" t="s">
        <v>12</v>
      </c>
    </row>
    <row r="22" spans="1:13" x14ac:dyDescent="0.2">
      <c r="A22" s="41">
        <v>2017</v>
      </c>
      <c r="B22" s="53">
        <v>266.8</v>
      </c>
      <c r="C22" s="53">
        <v>332.7</v>
      </c>
      <c r="D22" s="53">
        <v>431.2</v>
      </c>
      <c r="E22" s="53">
        <v>361.5</v>
      </c>
      <c r="F22" s="53">
        <v>400.4</v>
      </c>
      <c r="G22" s="53">
        <v>388.8</v>
      </c>
      <c r="H22" s="53">
        <v>396.9</v>
      </c>
      <c r="I22" s="53">
        <v>429.7</v>
      </c>
      <c r="J22" s="53">
        <v>430.8</v>
      </c>
      <c r="K22" s="53">
        <v>465.9</v>
      </c>
      <c r="L22" s="53">
        <v>455.3</v>
      </c>
      <c r="M22" s="50">
        <v>471.4</v>
      </c>
    </row>
    <row r="23" spans="1:13" x14ac:dyDescent="0.2">
      <c r="A23" s="41">
        <v>2018</v>
      </c>
      <c r="B23" s="53">
        <v>374.3</v>
      </c>
      <c r="C23" s="53">
        <v>427.6</v>
      </c>
      <c r="D23" s="53">
        <v>524.1</v>
      </c>
      <c r="E23" s="53">
        <v>444.6</v>
      </c>
      <c r="F23" s="53">
        <v>505.6</v>
      </c>
      <c r="G23" s="53">
        <v>458.7</v>
      </c>
      <c r="H23" s="53">
        <v>488</v>
      </c>
      <c r="I23" s="53">
        <v>480.7</v>
      </c>
      <c r="J23" s="53">
        <v>474</v>
      </c>
      <c r="K23" s="53">
        <v>540.6</v>
      </c>
      <c r="L23" s="53">
        <v>522.6</v>
      </c>
      <c r="M23" s="50">
        <v>519.29999999999995</v>
      </c>
    </row>
    <row r="24" spans="1:13" x14ac:dyDescent="0.2">
      <c r="A24" s="41">
        <v>2019</v>
      </c>
      <c r="B24" s="53">
        <v>372.6</v>
      </c>
      <c r="C24" s="53">
        <v>459.3</v>
      </c>
      <c r="D24" s="53">
        <v>533.79999999999995</v>
      </c>
      <c r="E24" s="53">
        <v>515.6</v>
      </c>
      <c r="F24" s="53">
        <v>481.6</v>
      </c>
      <c r="G24" s="53">
        <v>445.4</v>
      </c>
      <c r="H24" s="53">
        <v>499.1</v>
      </c>
      <c r="I24" s="53">
        <v>464.3</v>
      </c>
      <c r="J24" s="53">
        <v>501.7</v>
      </c>
      <c r="K24" s="53">
        <v>525.29999999999995</v>
      </c>
      <c r="L24" s="53">
        <v>504.1</v>
      </c>
      <c r="M24" s="50">
        <v>539.70000000000005</v>
      </c>
    </row>
    <row r="25" spans="1:13" x14ac:dyDescent="0.2">
      <c r="A25" s="41">
        <v>2020</v>
      </c>
      <c r="B25" s="49">
        <v>379.8</v>
      </c>
      <c r="C25" s="49">
        <v>484.8</v>
      </c>
      <c r="D25" s="49">
        <v>500.5</v>
      </c>
      <c r="E25" s="49">
        <v>285.60000000000002</v>
      </c>
      <c r="F25" s="49">
        <v>329.4</v>
      </c>
      <c r="G25" s="49">
        <v>413.5</v>
      </c>
      <c r="H25" s="49">
        <v>496.6</v>
      </c>
      <c r="I25" s="49">
        <v>433.6</v>
      </c>
      <c r="J25" s="49">
        <v>508.3</v>
      </c>
      <c r="K25" s="49">
        <v>493.6</v>
      </c>
      <c r="L25" s="49">
        <v>522.9</v>
      </c>
      <c r="M25" s="50">
        <v>567.29999999999995</v>
      </c>
    </row>
    <row r="26" spans="1:13" x14ac:dyDescent="0.2">
      <c r="A26" s="41">
        <v>2021</v>
      </c>
      <c r="B26" s="49">
        <v>399.4</v>
      </c>
      <c r="C26" s="49">
        <v>521.4</v>
      </c>
      <c r="D26" s="49">
        <v>630.1</v>
      </c>
      <c r="E26" s="49">
        <v>562.20000000000005</v>
      </c>
      <c r="F26" s="49">
        <v>563.4</v>
      </c>
      <c r="G26" s="49">
        <v>589.6</v>
      </c>
      <c r="H26" s="49">
        <v>562</v>
      </c>
      <c r="I26" s="49">
        <v>574.9</v>
      </c>
      <c r="J26" s="49">
        <v>671.2</v>
      </c>
      <c r="K26" s="49">
        <v>646.79999999999995</v>
      </c>
      <c r="L26" s="49">
        <v>701.5</v>
      </c>
      <c r="M26" s="50">
        <v>754.2</v>
      </c>
    </row>
    <row r="27" spans="1:13" x14ac:dyDescent="0.2">
      <c r="A27" s="42">
        <v>2022</v>
      </c>
      <c r="B27" s="51">
        <v>621.70000000000005</v>
      </c>
      <c r="C27" s="51">
        <v>669.1</v>
      </c>
      <c r="D27" s="51">
        <v>748.3</v>
      </c>
      <c r="E27" s="51">
        <v>770.5</v>
      </c>
      <c r="F27" s="51">
        <v>772.7</v>
      </c>
      <c r="G27" s="51">
        <v>764.8</v>
      </c>
      <c r="H27" s="51"/>
      <c r="I27" s="51"/>
      <c r="J27" s="51"/>
      <c r="K27" s="51"/>
      <c r="L27" s="51"/>
      <c r="M27" s="52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Q32"/>
  <sheetViews>
    <sheetView workbookViewId="0">
      <selection activeCell="A2" sqref="A2:M2"/>
    </sheetView>
  </sheetViews>
  <sheetFormatPr defaultRowHeight="12" x14ac:dyDescent="0.2"/>
  <cols>
    <col min="1" max="1" width="19.140625" style="3" customWidth="1"/>
    <col min="2" max="2" width="9.140625" style="3" customWidth="1"/>
    <col min="3" max="3" width="8" style="3" customWidth="1"/>
    <col min="4" max="5" width="8.85546875" style="3" customWidth="1"/>
    <col min="6" max="6" width="7.42578125" style="3" customWidth="1"/>
    <col min="7" max="7" width="9" style="3" customWidth="1"/>
    <col min="8" max="8" width="8.28515625" style="3" customWidth="1"/>
    <col min="9" max="9" width="9.28515625" style="3" bestFit="1" customWidth="1"/>
    <col min="10" max="10" width="7.5703125" style="3" bestFit="1" customWidth="1"/>
    <col min="11" max="11" width="8" style="3" customWidth="1"/>
    <col min="12" max="12" width="8.85546875" style="3" customWidth="1"/>
    <col min="13" max="13" width="8.42578125" style="3" bestFit="1" customWidth="1"/>
    <col min="14" max="36" width="6" style="3" customWidth="1"/>
    <col min="37" max="38" width="6.42578125" style="3" customWidth="1"/>
    <col min="39" max="39" width="6.5703125" style="3" customWidth="1"/>
    <col min="40" max="40" width="7.28515625" style="3" customWidth="1"/>
    <col min="41" max="42" width="6.7109375" style="3" customWidth="1"/>
    <col min="43" max="43" width="6.5703125" style="3" customWidth="1"/>
    <col min="44" max="16384" width="9.140625" style="3"/>
  </cols>
  <sheetData>
    <row r="2" spans="1:13" s="168" customFormat="1" x14ac:dyDescent="0.2">
      <c r="A2" s="178" t="s">
        <v>108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3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3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3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3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3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3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43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43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43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43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43" ht="1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43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43" x14ac:dyDescent="0.2">
      <c r="A23" s="187"/>
      <c r="B23" s="182">
        <v>2019</v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>
        <v>2020</v>
      </c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75">
        <v>2021</v>
      </c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7"/>
      <c r="AL23" s="175">
        <v>2022</v>
      </c>
      <c r="AM23" s="176"/>
      <c r="AN23" s="176"/>
      <c r="AO23" s="176"/>
      <c r="AP23" s="176"/>
      <c r="AQ23" s="177"/>
    </row>
    <row r="24" spans="1:43" x14ac:dyDescent="0.2">
      <c r="A24" s="188"/>
      <c r="B24" s="30" t="s">
        <v>13</v>
      </c>
      <c r="C24" s="30" t="s">
        <v>14</v>
      </c>
      <c r="D24" s="30" t="s">
        <v>15</v>
      </c>
      <c r="E24" s="30" t="s">
        <v>16</v>
      </c>
      <c r="F24" s="30" t="s">
        <v>17</v>
      </c>
      <c r="G24" s="30" t="s">
        <v>18</v>
      </c>
      <c r="H24" s="30" t="s">
        <v>19</v>
      </c>
      <c r="I24" s="30" t="s">
        <v>20</v>
      </c>
      <c r="J24" s="30" t="s">
        <v>21</v>
      </c>
      <c r="K24" s="30" t="s">
        <v>22</v>
      </c>
      <c r="L24" s="30" t="s">
        <v>23</v>
      </c>
      <c r="M24" s="30" t="s">
        <v>24</v>
      </c>
      <c r="N24" s="30" t="s">
        <v>13</v>
      </c>
      <c r="O24" s="30" t="s">
        <v>14</v>
      </c>
      <c r="P24" s="30" t="s">
        <v>15</v>
      </c>
      <c r="Q24" s="30" t="s">
        <v>16</v>
      </c>
      <c r="R24" s="30" t="s">
        <v>17</v>
      </c>
      <c r="S24" s="30" t="s">
        <v>25</v>
      </c>
      <c r="T24" s="30" t="s">
        <v>19</v>
      </c>
      <c r="U24" s="30" t="s">
        <v>26</v>
      </c>
      <c r="V24" s="30" t="s">
        <v>21</v>
      </c>
      <c r="W24" s="30" t="s">
        <v>27</v>
      </c>
      <c r="X24" s="30" t="s">
        <v>23</v>
      </c>
      <c r="Y24" s="30" t="s">
        <v>24</v>
      </c>
      <c r="Z24" s="62" t="s">
        <v>13</v>
      </c>
      <c r="AA24" s="62" t="s">
        <v>14</v>
      </c>
      <c r="AB24" s="63" t="s">
        <v>15</v>
      </c>
      <c r="AC24" s="62" t="s">
        <v>16</v>
      </c>
      <c r="AD24" s="62" t="s">
        <v>17</v>
      </c>
      <c r="AE24" s="62" t="s">
        <v>25</v>
      </c>
      <c r="AF24" s="62" t="s">
        <v>19</v>
      </c>
      <c r="AG24" s="62" t="s">
        <v>26</v>
      </c>
      <c r="AH24" s="67" t="s">
        <v>21</v>
      </c>
      <c r="AI24" s="42" t="s">
        <v>27</v>
      </c>
      <c r="AJ24" s="39" t="s">
        <v>23</v>
      </c>
      <c r="AK24" s="39" t="s">
        <v>24</v>
      </c>
      <c r="AL24" s="93" t="s">
        <v>13</v>
      </c>
      <c r="AM24" s="93" t="s">
        <v>14</v>
      </c>
      <c r="AN24" s="93" t="s">
        <v>15</v>
      </c>
      <c r="AO24" s="62" t="s">
        <v>16</v>
      </c>
      <c r="AP24" s="62" t="s">
        <v>17</v>
      </c>
      <c r="AQ24" s="116" t="s">
        <v>25</v>
      </c>
    </row>
    <row r="25" spans="1:43" ht="27.75" customHeight="1" x14ac:dyDescent="0.2">
      <c r="A25" s="27" t="s">
        <v>60</v>
      </c>
      <c r="B25" s="45">
        <v>71.738158213015794</v>
      </c>
      <c r="C25" s="19">
        <v>123.27227087030982</v>
      </c>
      <c r="D25" s="19">
        <v>116.24365644398502</v>
      </c>
      <c r="E25" s="19">
        <v>96.580225893758936</v>
      </c>
      <c r="F25" s="19">
        <v>93.408604141465986</v>
      </c>
      <c r="G25" s="19">
        <v>92.490171422142794</v>
      </c>
      <c r="H25" s="19">
        <v>112.04816621722891</v>
      </c>
      <c r="I25" s="19">
        <v>93.020207912369386</v>
      </c>
      <c r="J25" s="19">
        <v>108.06099409813686</v>
      </c>
      <c r="K25" s="19">
        <v>104.71321760096355</v>
      </c>
      <c r="L25" s="19">
        <v>95.961007942682357</v>
      </c>
      <c r="M25" s="15">
        <v>107.05149255623367</v>
      </c>
      <c r="N25" s="19">
        <v>70.382208343865415</v>
      </c>
      <c r="O25" s="19">
        <v>127.63158194440297</v>
      </c>
      <c r="P25" s="19">
        <v>103.24095247310265</v>
      </c>
      <c r="Q25" s="19">
        <v>57.064146061655876</v>
      </c>
      <c r="R25" s="19">
        <v>115.32045479750228</v>
      </c>
      <c r="S25" s="19">
        <v>125.55839051166471</v>
      </c>
      <c r="T25" s="19">
        <v>120.09478099934977</v>
      </c>
      <c r="U25" s="19">
        <v>87.312042792465732</v>
      </c>
      <c r="V25" s="19">
        <v>117.22959939467061</v>
      </c>
      <c r="W25" s="19">
        <v>97.096953437578748</v>
      </c>
      <c r="X25" s="19">
        <v>105.93754706899317</v>
      </c>
      <c r="Y25" s="15">
        <v>108.49423751970338</v>
      </c>
      <c r="Z25" s="112">
        <v>70.397914008513311</v>
      </c>
      <c r="AA25" s="20">
        <v>130.56565598353049</v>
      </c>
      <c r="AB25" s="20">
        <v>120.83026196604835</v>
      </c>
      <c r="AC25" s="113">
        <v>89.231037795592442</v>
      </c>
      <c r="AD25" s="20">
        <v>100.2114807539604</v>
      </c>
      <c r="AE25" s="20">
        <v>104.66057637383682</v>
      </c>
      <c r="AF25" s="20">
        <v>95.30942393156748</v>
      </c>
      <c r="AG25" s="20">
        <v>102.30310816744974</v>
      </c>
      <c r="AH25" s="20">
        <v>116.7433114933096</v>
      </c>
      <c r="AI25" s="20">
        <v>96.368466717330918</v>
      </c>
      <c r="AJ25" s="105">
        <v>108.45193596997535</v>
      </c>
      <c r="AK25" s="107">
        <v>107.60757399325725</v>
      </c>
      <c r="AL25" s="165">
        <v>82.428114796228584</v>
      </c>
      <c r="AM25" s="105">
        <v>107.62832138935146</v>
      </c>
      <c r="AN25" s="105">
        <v>111.83648900221725</v>
      </c>
      <c r="AO25" s="105">
        <v>102.9712600305761</v>
      </c>
      <c r="AP25" s="20">
        <v>100.2829822644897</v>
      </c>
      <c r="AQ25" s="117">
        <v>98.973315287502942</v>
      </c>
    </row>
    <row r="26" spans="1:43" ht="42" customHeight="1" x14ac:dyDescent="0.2">
      <c r="A26" s="28" t="s">
        <v>61</v>
      </c>
      <c r="B26" s="26">
        <f>IF(374257.25828="","-",372548.49281/374257.25828*100)</f>
        <v>99.543424894989869</v>
      </c>
      <c r="C26" s="14">
        <f>IF(427600.8878="","-",459248.98718/427600.8878*100)</f>
        <v>107.40131750961253</v>
      </c>
      <c r="D26" s="14">
        <f>IF(524151.65323="","-",533847.81488/524151.65323*100)</f>
        <v>101.84987714724333</v>
      </c>
      <c r="E26" s="14">
        <f>IF(444601.83252="","-",515591.42554/444601.83252*100)</f>
        <v>115.96700414337735</v>
      </c>
      <c r="F26" s="14">
        <f>IF(505594.98812="","-",481606.75367/505594.98812*100)</f>
        <v>95.255444572503052</v>
      </c>
      <c r="G26" s="14">
        <f>IF(458682.35918="","-",445438.91205/458682.35918*100)</f>
        <v>97.112719321999705</v>
      </c>
      <c r="H26" s="14">
        <f>IF(488041.26888="","-",499106.13257/488041.26888*100)</f>
        <v>102.26719836939048</v>
      </c>
      <c r="I26" s="14">
        <f>IF(480650.77296="","-",464269.56222/480650.77296*100)</f>
        <v>96.591868428897087</v>
      </c>
      <c r="J26" s="14">
        <f>IF(473973.76404="","-",501694.30423/473973.76404*100)</f>
        <v>105.84853894732886</v>
      </c>
      <c r="K26" s="14">
        <f>IF(540614.13985="","-",525340.24848/540614.13985*100)</f>
        <v>97.174714783775727</v>
      </c>
      <c r="L26" s="14">
        <f>IF(522571.0681="","-",504121.79757/522571.0681*100)</f>
        <v>96.469519333115954</v>
      </c>
      <c r="M26" s="16">
        <f>IF(519317.05816="","-",539669.9086/519317.05816*100)</f>
        <v>103.91915692353963</v>
      </c>
      <c r="N26" s="14">
        <f>IF(372548.49281="","-",379831.59944/372548.49281*100)</f>
        <v>101.95494191241148</v>
      </c>
      <c r="O26" s="14">
        <f>IF(459248.98718="","-",484785.07909/459248.98718*100)</f>
        <v>105.56040244460927</v>
      </c>
      <c r="P26" s="14">
        <f>IF(533847.81488="","-",500496.7331/533847.81488*100)</f>
        <v>93.752698643620619</v>
      </c>
      <c r="Q26" s="14">
        <f>IF(515591.42554="","-",285604.18681/515591.42554*100)</f>
        <v>55.393509795256001</v>
      </c>
      <c r="R26" s="14">
        <f>IF(481606.75367="","-",329360.04715/481606.75367*100)</f>
        <v>68.38775508029515</v>
      </c>
      <c r="S26" s="14">
        <f>IF(445438.91205="","-",413539.17419/445438.91205*100)</f>
        <v>92.838583025180498</v>
      </c>
      <c r="T26" s="14">
        <f>IF(499106.13257="","-",496638.96559/499106.13257*100)</f>
        <v>99.505682896081424</v>
      </c>
      <c r="U26" s="14">
        <f>IF(464269.56222="","-",433625.62616/464269.56222*100)</f>
        <v>93.399537993946922</v>
      </c>
      <c r="V26" s="14">
        <f>IF(501694.30423="","-",508337.58442/501694.30423*100)</f>
        <v>101.32416894790069</v>
      </c>
      <c r="W26" s="14">
        <f>IF(525340.24848="","-",493580.30765/525340.24848*100)</f>
        <v>93.954405564414117</v>
      </c>
      <c r="X26" s="14">
        <f>IF(504121.79757="","-",522886.87074/504121.79757*100)</f>
        <v>103.7223292586142</v>
      </c>
      <c r="Y26" s="16">
        <f>IF(539669.9086="","-",567302.1235/539669.9086*100)</f>
        <v>105.12020671519058</v>
      </c>
      <c r="Z26" s="26">
        <f>IF(379831.59944="","-",399368.86107/379831.59944*100)</f>
        <v>105.14366410240868</v>
      </c>
      <c r="AA26" s="14">
        <f>IF(484785.07909="","-",521438.57325/484785.07909*100)</f>
        <v>107.56077192573727</v>
      </c>
      <c r="AB26" s="14">
        <f>IF(500496.7331="","-",630055.59405/500496.7331*100)</f>
        <v>125.88605526903886</v>
      </c>
      <c r="AC26" s="14">
        <f>IF(285604.18681="","-",562205.14526/285604.18681*100)</f>
        <v>196.84765533007069</v>
      </c>
      <c r="AD26" s="14">
        <f>IF(329360.04715="","-",563394.10094/329360.04715*100)</f>
        <v>171.05720800538208</v>
      </c>
      <c r="AE26" s="14">
        <f>IF(413539.17419="","-",589651.5133/413539.17419*100)</f>
        <v>142.58661575531545</v>
      </c>
      <c r="AF26" s="14">
        <f>IF(496638.96559="","-",561993.46053/496638.96559*100)</f>
        <v>113.15935709199938</v>
      </c>
      <c r="AG26" s="14">
        <f>IF(433625.62616="","-",574936.77782/433625.62616*100)</f>
        <v>132.58828425602752</v>
      </c>
      <c r="AH26" s="14">
        <f>IF(508337.58442="","-",671200.23342/508337.58442*100)</f>
        <v>132.03828597207149</v>
      </c>
      <c r="AI26" s="14">
        <f>IF(493580.30765="","-",646825.37355/493580.30765*100)</f>
        <v>131.0476458490858</v>
      </c>
      <c r="AJ26" s="164">
        <f>IF(522886.87074="","-",701494.63996/522886.87074*100)</f>
        <v>134.15801375299989</v>
      </c>
      <c r="AK26" s="16">
        <f>IF(567302.1235="","-",754196.91196/567302.1235*100)</f>
        <v>132.94448949123316</v>
      </c>
      <c r="AL26" s="166">
        <f>IF(399368.86107="","-",621670.29638/399368.86107*100)</f>
        <v>155.66318683795325</v>
      </c>
      <c r="AM26" s="164">
        <f>IF(521438.57325="","-",669093.30457/521438.57325*100)</f>
        <v>128.31680257172076</v>
      </c>
      <c r="AN26" s="164">
        <f>IF(630055.59405="","-",748290.45998/630055.59405*100)</f>
        <v>118.765783058918</v>
      </c>
      <c r="AO26" s="164">
        <f>IF(562205.14526="","-",770524.11533/562205.14526*100)</f>
        <v>137.05390671472063</v>
      </c>
      <c r="AP26" s="164">
        <f>IF(563394.10094="","-",772704.56192/563394.10094*100)</f>
        <v>137.15169552375045</v>
      </c>
      <c r="AQ26" s="118">
        <f>IF(589651.5133="","-",764771.32231/589651.5133*100)</f>
        <v>129.69886535691859</v>
      </c>
    </row>
    <row r="27" spans="1:43" x14ac:dyDescent="0.2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11"/>
      <c r="T27" s="11"/>
    </row>
    <row r="28" spans="1:43" x14ac:dyDescent="0.2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1"/>
      <c r="P28" s="11"/>
      <c r="Q28" s="11"/>
      <c r="R28" s="11"/>
      <c r="S28" s="11"/>
      <c r="T28" s="11"/>
      <c r="Z28" s="64"/>
      <c r="AA28" s="64"/>
      <c r="AB28" s="65"/>
      <c r="AC28" s="66"/>
      <c r="AD28" s="64"/>
      <c r="AE28" s="61"/>
      <c r="AF28" s="61"/>
      <c r="AG28" s="61"/>
      <c r="AH28" s="61"/>
    </row>
    <row r="31" spans="1:43" ht="15.75" x14ac:dyDescent="0.25">
      <c r="S31" s="82"/>
      <c r="T31" s="83"/>
      <c r="U31" s="84"/>
      <c r="V31" s="83"/>
      <c r="W31" s="82"/>
      <c r="X31" s="83"/>
      <c r="Y31" s="84"/>
      <c r="Z31" s="83"/>
      <c r="AA31" s="84"/>
      <c r="AB31" s="83"/>
      <c r="AC31" s="81"/>
      <c r="AD31" s="83"/>
      <c r="AE31" s="81"/>
      <c r="AF31" s="83"/>
      <c r="AG31" s="81"/>
      <c r="AH31" s="83"/>
      <c r="AI31" s="85"/>
      <c r="AJ31" s="83"/>
      <c r="AK31" s="73"/>
      <c r="AL31" s="83"/>
      <c r="AM31" s="81"/>
      <c r="AN31" s="83"/>
      <c r="AO31" s="80"/>
    </row>
    <row r="32" spans="1:43" ht="15.75" x14ac:dyDescent="0.2">
      <c r="X32" s="81"/>
    </row>
  </sheetData>
  <mergeCells count="6">
    <mergeCell ref="A2:M2"/>
    <mergeCell ref="AL23:AQ23"/>
    <mergeCell ref="A23:A24"/>
    <mergeCell ref="B23:M23"/>
    <mergeCell ref="N23:Y23"/>
    <mergeCell ref="Z23:AK23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42"/>
  <sheetViews>
    <sheetView workbookViewId="0">
      <selection activeCell="A2" sqref="A2:M2"/>
    </sheetView>
  </sheetViews>
  <sheetFormatPr defaultRowHeight="12" x14ac:dyDescent="0.2"/>
  <cols>
    <col min="1" max="1" width="24" style="3" customWidth="1"/>
    <col min="2" max="7" width="14.85546875" style="3" bestFit="1" customWidth="1"/>
    <col min="8" max="16384" width="9.140625" style="3"/>
  </cols>
  <sheetData>
    <row r="2" spans="1:13" s="168" customFormat="1" x14ac:dyDescent="0.2">
      <c r="A2" s="178" t="s">
        <v>107</v>
      </c>
      <c r="B2" s="178"/>
      <c r="C2" s="178"/>
      <c r="D2" s="178"/>
      <c r="E2" s="178"/>
      <c r="F2" s="178"/>
      <c r="G2" s="178"/>
      <c r="H2" s="170"/>
      <c r="I2" s="170"/>
      <c r="J2" s="170"/>
      <c r="K2" s="170"/>
      <c r="L2" s="170"/>
      <c r="M2" s="170"/>
    </row>
    <row r="3" spans="1:13" x14ac:dyDescent="0.2">
      <c r="A3" s="4"/>
      <c r="B3" s="4"/>
      <c r="C3" s="4"/>
      <c r="D3" s="4"/>
      <c r="E3" s="4"/>
      <c r="F3" s="4"/>
      <c r="G3" s="4"/>
    </row>
    <row r="4" spans="1:13" x14ac:dyDescent="0.2">
      <c r="A4" s="4"/>
      <c r="B4" s="4"/>
      <c r="C4" s="4"/>
      <c r="D4" s="4"/>
      <c r="E4" s="4"/>
      <c r="F4" s="4"/>
      <c r="G4" s="4"/>
    </row>
    <row r="5" spans="1:13" x14ac:dyDescent="0.2">
      <c r="A5" s="4"/>
      <c r="B5" s="4"/>
      <c r="C5" s="4"/>
      <c r="D5" s="4"/>
      <c r="E5" s="4"/>
      <c r="F5" s="4"/>
      <c r="G5" s="4"/>
    </row>
    <row r="6" spans="1:13" x14ac:dyDescent="0.2">
      <c r="A6" s="4"/>
      <c r="B6" s="4"/>
      <c r="C6" s="4"/>
      <c r="D6" s="4"/>
      <c r="E6" s="4"/>
      <c r="F6" s="4"/>
      <c r="G6" s="4"/>
    </row>
    <row r="7" spans="1:13" x14ac:dyDescent="0.2">
      <c r="A7" s="4"/>
      <c r="B7" s="4"/>
      <c r="C7" s="4"/>
      <c r="D7" s="4"/>
      <c r="E7" s="4"/>
      <c r="F7" s="4"/>
      <c r="G7" s="4"/>
    </row>
    <row r="8" spans="1:13" x14ac:dyDescent="0.2">
      <c r="A8" s="4"/>
      <c r="B8" s="4"/>
      <c r="C8" s="4"/>
      <c r="D8" s="4"/>
      <c r="E8" s="4"/>
      <c r="F8" s="4"/>
      <c r="G8" s="4"/>
    </row>
    <row r="9" spans="1:13" x14ac:dyDescent="0.2">
      <c r="A9" s="4"/>
      <c r="B9" s="4"/>
      <c r="C9" s="4"/>
      <c r="D9" s="4"/>
      <c r="E9" s="4"/>
      <c r="F9" s="4"/>
      <c r="G9" s="4"/>
    </row>
    <row r="10" spans="1:13" x14ac:dyDescent="0.2">
      <c r="A10" s="4"/>
      <c r="B10" s="4"/>
      <c r="C10" s="4"/>
      <c r="D10" s="4"/>
      <c r="E10" s="4"/>
      <c r="F10" s="4"/>
      <c r="G10" s="4"/>
    </row>
    <row r="11" spans="1:13" x14ac:dyDescent="0.2">
      <c r="A11" s="4"/>
      <c r="B11" s="4"/>
      <c r="C11" s="4"/>
      <c r="D11" s="4"/>
      <c r="E11" s="4"/>
      <c r="F11" s="4"/>
      <c r="G11" s="4"/>
    </row>
    <row r="12" spans="1:13" x14ac:dyDescent="0.2">
      <c r="A12" s="4"/>
      <c r="B12" s="4"/>
      <c r="C12" s="4"/>
      <c r="D12" s="4"/>
      <c r="E12" s="4"/>
      <c r="F12" s="4"/>
      <c r="G12" s="4"/>
    </row>
    <row r="13" spans="1:13" x14ac:dyDescent="0.2">
      <c r="A13" s="4"/>
      <c r="B13" s="4"/>
      <c r="C13" s="4"/>
      <c r="D13" s="4"/>
      <c r="E13" s="4"/>
      <c r="F13" s="4"/>
      <c r="G13" s="4"/>
    </row>
    <row r="14" spans="1:13" x14ac:dyDescent="0.2">
      <c r="A14" s="4"/>
      <c r="B14" s="4"/>
      <c r="C14" s="4"/>
      <c r="D14" s="4"/>
      <c r="E14" s="4"/>
      <c r="F14" s="4"/>
      <c r="G14" s="4"/>
    </row>
    <row r="15" spans="1:13" x14ac:dyDescent="0.2">
      <c r="A15" s="4"/>
      <c r="B15" s="4"/>
      <c r="C15" s="4"/>
      <c r="D15" s="4"/>
      <c r="E15" s="4"/>
      <c r="F15" s="4"/>
      <c r="G15" s="4"/>
    </row>
    <row r="16" spans="1:13" x14ac:dyDescent="0.2">
      <c r="A16" s="4"/>
      <c r="B16" s="4"/>
      <c r="C16" s="4"/>
      <c r="D16" s="4"/>
      <c r="E16" s="4"/>
      <c r="F16" s="4"/>
      <c r="G16" s="4"/>
    </row>
    <row r="17" spans="1:7" x14ac:dyDescent="0.2">
      <c r="A17" s="4"/>
      <c r="B17" s="4"/>
      <c r="C17" s="4"/>
      <c r="D17" s="4"/>
      <c r="E17" s="4"/>
      <c r="F17" s="4"/>
      <c r="G17" s="4"/>
    </row>
    <row r="18" spans="1:7" x14ac:dyDescent="0.2">
      <c r="A18" s="4"/>
      <c r="B18" s="4"/>
      <c r="C18" s="4"/>
      <c r="D18" s="4"/>
      <c r="E18" s="4"/>
      <c r="F18" s="4"/>
      <c r="G18" s="4"/>
    </row>
    <row r="19" spans="1:7" x14ac:dyDescent="0.2">
      <c r="A19" s="4"/>
      <c r="B19" s="4"/>
      <c r="C19" s="4"/>
      <c r="D19" s="4"/>
      <c r="E19" s="4"/>
      <c r="F19" s="4"/>
      <c r="G19" s="4"/>
    </row>
    <row r="20" spans="1:7" ht="13.5" customHeight="1" x14ac:dyDescent="0.2">
      <c r="A20" s="4"/>
      <c r="B20" s="4"/>
      <c r="C20" s="4"/>
      <c r="D20" s="4"/>
      <c r="E20" s="4"/>
      <c r="F20" s="4"/>
      <c r="G20" s="4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ht="4.5" customHeight="1" x14ac:dyDescent="0.2">
      <c r="A22" s="40"/>
      <c r="B22" s="40"/>
      <c r="C22" s="40"/>
      <c r="D22" s="40"/>
      <c r="E22" s="40"/>
      <c r="F22" s="40"/>
      <c r="G22" s="40"/>
    </row>
    <row r="23" spans="1:7" x14ac:dyDescent="0.2">
      <c r="A23" s="40"/>
      <c r="B23" s="40"/>
      <c r="C23" s="40"/>
      <c r="D23" s="40"/>
      <c r="E23" s="40"/>
      <c r="F23" s="40"/>
      <c r="G23" s="40"/>
    </row>
    <row r="24" spans="1:7" ht="24" x14ac:dyDescent="0.2">
      <c r="A24" s="55" t="s">
        <v>28</v>
      </c>
      <c r="B24" s="36" t="s">
        <v>91</v>
      </c>
      <c r="C24" s="13" t="s">
        <v>92</v>
      </c>
      <c r="D24" s="13" t="s">
        <v>93</v>
      </c>
      <c r="E24" s="13" t="s">
        <v>94</v>
      </c>
      <c r="F24" s="13" t="s">
        <v>95</v>
      </c>
      <c r="G24" s="13" t="s">
        <v>96</v>
      </c>
    </row>
    <row r="25" spans="1:7" x14ac:dyDescent="0.2">
      <c r="A25" s="46" t="s">
        <v>29</v>
      </c>
      <c r="B25" s="144">
        <v>6.8</v>
      </c>
      <c r="C25" s="145">
        <v>1.9</v>
      </c>
      <c r="D25" s="130">
        <v>1.7</v>
      </c>
      <c r="E25" s="130">
        <v>2.1</v>
      </c>
      <c r="F25" s="145">
        <v>2.7</v>
      </c>
      <c r="G25" s="146">
        <v>2.4</v>
      </c>
    </row>
    <row r="26" spans="1:7" x14ac:dyDescent="0.2">
      <c r="A26" s="47" t="s">
        <v>30</v>
      </c>
      <c r="B26" s="147">
        <v>4.9000000000000004</v>
      </c>
      <c r="C26" s="148">
        <v>4.7</v>
      </c>
      <c r="D26" s="149">
        <v>4</v>
      </c>
      <c r="E26" s="149">
        <v>4.5999999999999996</v>
      </c>
      <c r="F26" s="148">
        <v>5.2</v>
      </c>
      <c r="G26" s="150">
        <v>5.5</v>
      </c>
    </row>
    <row r="27" spans="1:7" x14ac:dyDescent="0.2">
      <c r="A27" s="47" t="s">
        <v>31</v>
      </c>
      <c r="B27" s="147">
        <v>76.5</v>
      </c>
      <c r="C27" s="148">
        <v>86.6</v>
      </c>
      <c r="D27" s="149">
        <v>86.6</v>
      </c>
      <c r="E27" s="149">
        <v>83.8</v>
      </c>
      <c r="F27" s="148">
        <v>83.4</v>
      </c>
      <c r="G27" s="150">
        <v>82.8</v>
      </c>
    </row>
    <row r="28" spans="1:7" x14ac:dyDescent="0.2">
      <c r="A28" s="47" t="s">
        <v>32</v>
      </c>
      <c r="B28" s="147">
        <v>1.6</v>
      </c>
      <c r="C28" s="148">
        <v>2.4</v>
      </c>
      <c r="D28" s="149">
        <v>2.4</v>
      </c>
      <c r="E28" s="149">
        <v>2.6</v>
      </c>
      <c r="F28" s="148">
        <v>2.6</v>
      </c>
      <c r="G28" s="150">
        <v>2.7</v>
      </c>
    </row>
    <row r="29" spans="1:7" x14ac:dyDescent="0.2">
      <c r="A29" s="47" t="s">
        <v>48</v>
      </c>
      <c r="B29" s="147">
        <v>0.1</v>
      </c>
      <c r="C29" s="148">
        <v>0.2</v>
      </c>
      <c r="D29" s="149">
        <v>0.2</v>
      </c>
      <c r="E29" s="149">
        <v>0.2</v>
      </c>
      <c r="F29" s="148">
        <v>0.3</v>
      </c>
      <c r="G29" s="150">
        <v>0.3</v>
      </c>
    </row>
    <row r="30" spans="1:7" x14ac:dyDescent="0.2">
      <c r="A30" s="47" t="s">
        <v>49</v>
      </c>
      <c r="B30" s="147">
        <v>9.6</v>
      </c>
      <c r="C30" s="148">
        <v>3.6</v>
      </c>
      <c r="D30" s="149">
        <v>4.7</v>
      </c>
      <c r="E30" s="149">
        <v>6</v>
      </c>
      <c r="F30" s="148">
        <v>5.2</v>
      </c>
      <c r="G30" s="150">
        <v>5.7</v>
      </c>
    </row>
    <row r="31" spans="1:7" x14ac:dyDescent="0.2">
      <c r="A31" s="48" t="s">
        <v>50</v>
      </c>
      <c r="B31" s="151">
        <v>0.5</v>
      </c>
      <c r="C31" s="152">
        <v>0.6</v>
      </c>
      <c r="D31" s="153">
        <v>0.4</v>
      </c>
      <c r="E31" s="153">
        <v>0.7</v>
      </c>
      <c r="F31" s="152">
        <v>0.6</v>
      </c>
      <c r="G31" s="154">
        <v>0.6</v>
      </c>
    </row>
    <row r="36" spans="2:7" ht="15" x14ac:dyDescent="0.2">
      <c r="B36" s="96"/>
      <c r="C36" s="96"/>
      <c r="D36" s="97"/>
      <c r="E36" s="97"/>
      <c r="F36" s="97"/>
      <c r="G36" s="97"/>
    </row>
    <row r="37" spans="2:7" ht="15" x14ac:dyDescent="0.2">
      <c r="B37" s="96"/>
      <c r="C37" s="96"/>
      <c r="D37" s="97"/>
      <c r="E37" s="97"/>
      <c r="F37" s="97"/>
      <c r="G37" s="97"/>
    </row>
    <row r="38" spans="2:7" ht="15" x14ac:dyDescent="0.2">
      <c r="B38" s="96"/>
      <c r="C38" s="96"/>
      <c r="D38" s="97"/>
      <c r="E38" s="97"/>
      <c r="F38" s="97"/>
      <c r="G38" s="97"/>
    </row>
    <row r="39" spans="2:7" ht="15" x14ac:dyDescent="0.2">
      <c r="B39" s="96"/>
      <c r="C39" s="96"/>
      <c r="D39" s="97"/>
      <c r="E39" s="97"/>
      <c r="F39" s="97"/>
      <c r="G39" s="97"/>
    </row>
    <row r="40" spans="2:7" ht="15" x14ac:dyDescent="0.2">
      <c r="B40" s="96"/>
      <c r="C40" s="96"/>
      <c r="D40" s="97"/>
      <c r="E40" s="97"/>
      <c r="F40" s="97"/>
      <c r="G40" s="97"/>
    </row>
    <row r="41" spans="2:7" ht="15" x14ac:dyDescent="0.2">
      <c r="B41" s="96"/>
      <c r="C41" s="96"/>
      <c r="D41" s="97"/>
      <c r="E41" s="97"/>
      <c r="F41" s="97"/>
      <c r="G41" s="97"/>
    </row>
    <row r="42" spans="2:7" ht="15" x14ac:dyDescent="0.2">
      <c r="B42" s="96"/>
      <c r="C42" s="96"/>
      <c r="D42" s="97"/>
      <c r="E42" s="97"/>
      <c r="F42" s="97"/>
      <c r="G42" s="97"/>
    </row>
  </sheetData>
  <mergeCells count="1"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Figura 1</vt:lpstr>
      <vt:lpstr>Figura 2</vt:lpstr>
      <vt:lpstr>Figura 3</vt:lpstr>
      <vt:lpstr>Figura 4</vt:lpstr>
      <vt:lpstr>Figura 5</vt:lpstr>
      <vt:lpstr>Figura 6</vt:lpstr>
      <vt:lpstr>Figura 7</vt:lpstr>
      <vt:lpstr>Figura 8</vt:lpstr>
      <vt:lpstr>Figura 9</vt:lpstr>
      <vt:lpstr>Figura 10</vt:lpstr>
      <vt:lpstr>Figura 11</vt:lpstr>
      <vt:lpstr>Figura 12</vt:lpstr>
      <vt:lpstr>Figura 13</vt:lpstr>
      <vt:lpstr>Figura 14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Petrusca</dc:creator>
  <cp:lastModifiedBy>Doina Cebotari</cp:lastModifiedBy>
  <dcterms:created xsi:type="dcterms:W3CDTF">2017-02-13T11:50:10Z</dcterms:created>
  <dcterms:modified xsi:type="dcterms:W3CDTF">2022-08-17T08:01:42Z</dcterms:modified>
</cp:coreProperties>
</file>